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ml.chartshapes+xml"/>
  <Override PartName="/xl/charts/chart11.xml" ContentType="application/vnd.openxmlformats-officedocument.drawingml.chart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90827\15 TOPICS\90 Interest Rate Modelling Lecture\10 Lecture\2019-10 HU Berlin\25_Sheets\"/>
    </mc:Choice>
  </mc:AlternateContent>
  <bookViews>
    <workbookView xWindow="480" yWindow="170" windowWidth="13740" windowHeight="5820" activeTab="1"/>
  </bookViews>
  <sheets>
    <sheet name="YieldCurve" sheetId="1" r:id="rId1"/>
    <sheet name="Dates &amp; Fixed Leg" sheetId="4" r:id="rId2"/>
    <sheet name="Projection Curve" sheetId="3" r:id="rId3"/>
    <sheet name="IborLeg" sheetId="7" r:id="rId4"/>
    <sheet name="Densities" sheetId="5" r:id="rId5"/>
    <sheet name="MarketFit" sheetId="6" r:id="rId6"/>
    <sheet name="SABR" sheetId="2" r:id="rId7"/>
    <sheet name="Swaptions" sheetId="8" r:id="rId8"/>
    <sheet name="YieldCurve (2)" sheetId="9" r:id="rId9"/>
    <sheet name="YieldCurve (3)" sheetId="10" r:id="rId10"/>
  </sheets>
  <externalReferences>
    <externalReference r:id="rId11"/>
  </externalReferences>
  <definedNames>
    <definedName name="__IntlFixup" hidden="1">TRUE</definedName>
    <definedName name="df" hidden="1">{"ArgGraph",#N/A,FALSE,"Graphs";"ArgSpreadData",#N/A,FALSE,"ArgData";"BraGraph",#N/A,FALSE,"Graphs";"BraSpreadData",#N/A,FALSE,"BrazilData";"EcuSpreadData",#N/A,FALSE,"EcuData";"EcuGraph",#N/A,FALSE,"Ecuador";"MexGraph",#N/A,FALSE,"Graphs";"MexSpreadData",#N/A,FALSE,"MexData";"PolGraph",#N/A,FALSE,"Graphs";"PolSpreadData",#N/A,FALSE,"PolandData";"VenGraph",#N/A,FALSE,"Graphs";"VenSpreadData",#N/A,FALSE,"VenData"}</definedName>
    <definedName name="Today">'[1]QL Curves'!$C$2</definedName>
    <definedName name="wrn.EOD." hidden="1">{"ArgGraph",#N/A,FALSE,"Graphs";"ArgSpreadData",#N/A,FALSE,"ArgData";"BraGraph",#N/A,FALSE,"Graphs";"BraSpreadData",#N/A,FALSE,"BrazilData";"EcuSpreadData",#N/A,FALSE,"EcuData";"EcuGraph",#N/A,FALSE,"Ecuador";"MexGraph",#N/A,FALSE,"Graphs";"MexSpreadData",#N/A,FALSE,"MexData";"PolGraph",#N/A,FALSE,"Graphs";"PolSpreadData",#N/A,FALSE,"PolandData";"VenGraph",#N/A,FALSE,"Graphs";"VenSpreadData",#N/A,FALSE,"VenData"}</definedName>
    <definedName name="wrn.Graphs." hidden="1">{"BraGraph",#N/A,FALSE,"Graphs"}</definedName>
    <definedName name="wrn.SpreadData." hidden="1">{"ArgSpreadData",#N/A,FALSE,"ArgData";"BraSpreadData",#N/A,FALSE,"BrazilData";"MexSpreadData",#N/A,FALSE,"MexData";"PolSpreadData",#N/A,FALSE,"PolandData";"VenSpreadData",#N/A,FALSE,"VenData"}</definedName>
    <definedName name="wrn.SpreadGraphs." hidden="1">{"ArgGraph",#N/A,FALSE,"Graphs";"BraGraph",#N/A,FALSE,"Graphs";"MexGraph",#N/A,FALSE,"Graphs";"PolGraph",#N/A,FALSE,"Graphs";"VenGraph",#N/A,FALSE,"Graphs"}</definedName>
    <definedName name="wrn.Test." hidden="1">{"Agraph",#N/A,FALSE,"Graphs"}</definedName>
  </definedNames>
  <calcPr calcId="162913"/>
</workbook>
</file>

<file path=xl/calcChain.xml><?xml version="1.0" encoding="utf-8"?>
<calcChain xmlns="http://schemas.openxmlformats.org/spreadsheetml/2006/main">
  <c r="F23" i="10" l="1"/>
  <c r="F22" i="10"/>
  <c r="F21" i="10"/>
  <c r="F20" i="10"/>
  <c r="F19" i="10"/>
  <c r="F11" i="10"/>
  <c r="F10" i="10"/>
  <c r="F9" i="10"/>
  <c r="F8" i="10"/>
  <c r="C2" i="9"/>
  <c r="C2" i="10"/>
  <c r="B10" i="3"/>
  <c r="D2" i="1"/>
  <c r="C7" i="1" s="1"/>
  <c r="C8" i="10"/>
  <c r="C15" i="10"/>
  <c r="C16" i="10"/>
  <c r="C19" i="10"/>
  <c r="C20" i="10"/>
  <c r="C14" i="10"/>
  <c r="C10" i="10"/>
  <c r="C17" i="10"/>
  <c r="C9" i="10"/>
  <c r="C21" i="10"/>
  <c r="C18" i="10"/>
  <c r="C22" i="10"/>
  <c r="C11" i="10"/>
  <c r="C13" i="10"/>
  <c r="C23" i="10"/>
  <c r="C12" i="10"/>
  <c r="D22" i="10" l="1"/>
  <c r="D11" i="10"/>
  <c r="D23" i="10"/>
  <c r="D19" i="10"/>
  <c r="D18" i="10"/>
  <c r="E18" i="10" s="1"/>
  <c r="F18" i="10" s="1"/>
  <c r="D17" i="10"/>
  <c r="E17" i="10" s="1"/>
  <c r="F17" i="10" s="1"/>
  <c r="D16" i="10"/>
  <c r="E16" i="10" s="1"/>
  <c r="F16" i="10" s="1"/>
  <c r="D15" i="10"/>
  <c r="E15" i="10" s="1"/>
  <c r="F15" i="10" s="1"/>
  <c r="D14" i="10"/>
  <c r="E14" i="10" s="1"/>
  <c r="F14" i="10" s="1"/>
  <c r="D13" i="10"/>
  <c r="E13" i="10" s="1"/>
  <c r="F13" i="10" s="1"/>
  <c r="D12" i="10"/>
  <c r="E12" i="10" s="1"/>
  <c r="D9" i="10"/>
  <c r="D21" i="10"/>
  <c r="D10" i="10"/>
  <c r="D20" i="10"/>
  <c r="D8" i="10"/>
  <c r="B27" i="10"/>
  <c r="F18" i="9"/>
  <c r="F20" i="9"/>
  <c r="F22" i="9"/>
  <c r="F21" i="9"/>
  <c r="F19" i="9"/>
  <c r="F10" i="9"/>
  <c r="F9" i="9"/>
  <c r="F8" i="9"/>
  <c r="F7" i="9"/>
  <c r="B28" i="10"/>
  <c r="B29" i="10"/>
  <c r="B30" i="10"/>
  <c r="B31" i="10"/>
  <c r="B32" i="10"/>
  <c r="B33" i="10" s="1"/>
  <c r="B34" i="10" s="1"/>
  <c r="B35" i="10" s="1"/>
  <c r="B36" i="10" s="1"/>
  <c r="B37" i="10" s="1"/>
  <c r="B38" i="10" s="1"/>
  <c r="B39" i="10" s="1"/>
  <c r="B40" i="10"/>
  <c r="B41" i="10" s="1"/>
  <c r="B42" i="10" s="1"/>
  <c r="B43" i="10" s="1"/>
  <c r="B44" i="10" s="1"/>
  <c r="B45" i="10" s="1"/>
  <c r="B46" i="10" s="1"/>
  <c r="B47" i="10" s="1"/>
  <c r="B48" i="10"/>
  <c r="B49" i="10" s="1"/>
  <c r="B50" i="10" s="1"/>
  <c r="B51" i="10" s="1"/>
  <c r="B52" i="10" s="1"/>
  <c r="B53" i="10" s="1"/>
  <c r="B54" i="10" s="1"/>
  <c r="B55" i="10" s="1"/>
  <c r="B56" i="10"/>
  <c r="B57" i="10" s="1"/>
  <c r="B58" i="10" s="1"/>
  <c r="B59" i="10" s="1"/>
  <c r="B60" i="10" s="1"/>
  <c r="B61" i="10" s="1"/>
  <c r="B62" i="10" s="1"/>
  <c r="B63" i="10" s="1"/>
  <c r="B64" i="10"/>
  <c r="B65" i="10" s="1"/>
  <c r="B66" i="10" s="1"/>
  <c r="B67" i="10" s="1"/>
  <c r="B68" i="10" s="1"/>
  <c r="B69" i="10" s="1"/>
  <c r="B70" i="10" s="1"/>
  <c r="B71" i="10" s="1"/>
  <c r="B72" i="10"/>
  <c r="B73" i="10" s="1"/>
  <c r="B74" i="10" s="1"/>
  <c r="B75" i="10" s="1"/>
  <c r="B76" i="10" s="1"/>
  <c r="B77" i="10" s="1"/>
  <c r="B78" i="10" s="1"/>
  <c r="B79" i="10" s="1"/>
  <c r="B80" i="10"/>
  <c r="B81" i="10" s="1"/>
  <c r="B82" i="10" s="1"/>
  <c r="B83" i="10" s="1"/>
  <c r="B84" i="10" s="1"/>
  <c r="B85" i="10" s="1"/>
  <c r="B86" i="10" s="1"/>
  <c r="B87" i="10" s="1"/>
  <c r="B88" i="10"/>
  <c r="B89" i="10" s="1"/>
  <c r="B90" i="10" s="1"/>
  <c r="B91" i="10" s="1"/>
  <c r="B92" i="10" s="1"/>
  <c r="B93" i="10" s="1"/>
  <c r="B94" i="10" s="1"/>
  <c r="B95" i="10" s="1"/>
  <c r="B96" i="10"/>
  <c r="B97" i="10" s="1"/>
  <c r="B98" i="10" s="1"/>
  <c r="B99" i="10" s="1"/>
  <c r="B100" i="10" s="1"/>
  <c r="B101" i="10" s="1"/>
  <c r="B102" i="10" s="1"/>
  <c r="B103" i="10" s="1"/>
  <c r="B104" i="10"/>
  <c r="B105" i="10" s="1"/>
  <c r="B106" i="10" s="1"/>
  <c r="B107" i="10" s="1"/>
  <c r="B108" i="10" s="1"/>
  <c r="B109" i="10" s="1"/>
  <c r="B110" i="10" s="1"/>
  <c r="B111" i="10" s="1"/>
  <c r="B112" i="10"/>
  <c r="B113" i="10" s="1"/>
  <c r="B114" i="10" s="1"/>
  <c r="B115" i="10" s="1"/>
  <c r="B116" i="10" s="1"/>
  <c r="B117" i="10" s="1"/>
  <c r="B118" i="10" s="1"/>
  <c r="B119" i="10" s="1"/>
  <c r="B120" i="10"/>
  <c r="B121" i="10" s="1"/>
  <c r="B122" i="10" s="1"/>
  <c r="B123" i="10" s="1"/>
  <c r="B124" i="10" s="1"/>
  <c r="B125" i="10" s="1"/>
  <c r="B126" i="10" s="1"/>
  <c r="B127" i="10" s="1"/>
  <c r="B128" i="10"/>
  <c r="B129" i="10" s="1"/>
  <c r="B130" i="10" s="1"/>
  <c r="B131" i="10" s="1"/>
  <c r="B132" i="10" s="1"/>
  <c r="B133" i="10" s="1"/>
  <c r="B134" i="10" s="1"/>
  <c r="B135" i="10" s="1"/>
  <c r="B136" i="10"/>
  <c r="B137" i="10" s="1"/>
  <c r="B138" i="10" s="1"/>
  <c r="B139" i="10" s="1"/>
  <c r="B140" i="10" s="1"/>
  <c r="B141" i="10" s="1"/>
  <c r="B142" i="10" s="1"/>
  <c r="B143" i="10" s="1"/>
  <c r="B144" i="10"/>
  <c r="B145" i="10" s="1"/>
  <c r="B146" i="10" s="1"/>
  <c r="B147" i="10" s="1"/>
  <c r="B148" i="10" s="1"/>
  <c r="B149" i="10" s="1"/>
  <c r="B150" i="10" s="1"/>
  <c r="B151" i="10" s="1"/>
  <c r="B152" i="10"/>
  <c r="B153" i="10" s="1"/>
  <c r="B154" i="10" s="1"/>
  <c r="B155" i="10" s="1"/>
  <c r="B156" i="10" s="1"/>
  <c r="B157" i="10" s="1"/>
  <c r="B158" i="10" s="1"/>
  <c r="B159" i="10" s="1"/>
  <c r="B160" i="10"/>
  <c r="B161" i="10" s="1"/>
  <c r="B162" i="10" s="1"/>
  <c r="B163" i="10" s="1"/>
  <c r="B164" i="10" s="1"/>
  <c r="B165" i="10" s="1"/>
  <c r="B166" i="10" s="1"/>
  <c r="B167" i="10" s="1"/>
  <c r="B168" i="10"/>
  <c r="B169" i="10" s="1"/>
  <c r="B170" i="10" s="1"/>
  <c r="B171" i="10" s="1"/>
  <c r="B172" i="10" s="1"/>
  <c r="B173" i="10" s="1"/>
  <c r="B174" i="10" s="1"/>
  <c r="B175" i="10" s="1"/>
  <c r="B176" i="10"/>
  <c r="B177" i="10" s="1"/>
  <c r="B178" i="10" s="1"/>
  <c r="B179" i="10" s="1"/>
  <c r="B180" i="10" s="1"/>
  <c r="B181" i="10" s="1"/>
  <c r="B182" i="10" s="1"/>
  <c r="B183" i="10" s="1"/>
  <c r="B184" i="10"/>
  <c r="B185" i="10" s="1"/>
  <c r="B186" i="10" s="1"/>
  <c r="B187" i="10" s="1"/>
  <c r="B188" i="10" s="1"/>
  <c r="B189" i="10" s="1"/>
  <c r="B190" i="10" s="1"/>
  <c r="B191" i="10" s="1"/>
  <c r="B192" i="10"/>
  <c r="B193" i="10" s="1"/>
  <c r="B194" i="10" s="1"/>
  <c r="B195" i="10" s="1"/>
  <c r="B196" i="10" s="1"/>
  <c r="B197" i="10" s="1"/>
  <c r="B198" i="10" s="1"/>
  <c r="B199" i="10" s="1"/>
  <c r="B200" i="10"/>
  <c r="B201" i="10" s="1"/>
  <c r="B202" i="10" s="1"/>
  <c r="B203" i="10" s="1"/>
  <c r="B204" i="10" s="1"/>
  <c r="B205" i="10" s="1"/>
  <c r="B206" i="10" s="1"/>
  <c r="B207" i="10" s="1"/>
  <c r="B208" i="10"/>
  <c r="B209" i="10" s="1"/>
  <c r="B210" i="10" s="1"/>
  <c r="B211" i="10" s="1"/>
  <c r="B212" i="10" s="1"/>
  <c r="B213" i="10" s="1"/>
  <c r="B214" i="10" s="1"/>
  <c r="B215" i="10" s="1"/>
  <c r="B216" i="10"/>
  <c r="B217" i="10" s="1"/>
  <c r="B218" i="10" s="1"/>
  <c r="B219" i="10" s="1"/>
  <c r="B220" i="10" s="1"/>
  <c r="B221" i="10" s="1"/>
  <c r="B222" i="10" s="1"/>
  <c r="B223" i="10" s="1"/>
  <c r="B224" i="10"/>
  <c r="B225" i="10" s="1"/>
  <c r="B226" i="10" s="1"/>
  <c r="B227" i="10" s="1"/>
  <c r="B228" i="10" s="1"/>
  <c r="B229" i="10" s="1"/>
  <c r="B230" i="10" s="1"/>
  <c r="B231" i="10" s="1"/>
  <c r="B232" i="10"/>
  <c r="B233" i="10" s="1"/>
  <c r="B234" i="10" s="1"/>
  <c r="B235" i="10" s="1"/>
  <c r="B236" i="10" s="1"/>
  <c r="B237" i="10" s="1"/>
  <c r="B238" i="10" s="1"/>
  <c r="B239" i="10" s="1"/>
  <c r="B240" i="10"/>
  <c r="B241" i="10" s="1"/>
  <c r="B242" i="10" s="1"/>
  <c r="B243" i="10" s="1"/>
  <c r="B244" i="10" s="1"/>
  <c r="B245" i="10" s="1"/>
  <c r="B246" i="10" s="1"/>
  <c r="B247" i="10" s="1"/>
  <c r="B248" i="10"/>
  <c r="B249" i="10" s="1"/>
  <c r="B250" i="10" s="1"/>
  <c r="B251" i="10" s="1"/>
  <c r="B252" i="10" s="1"/>
  <c r="B253" i="10" s="1"/>
  <c r="B254" i="10" s="1"/>
  <c r="B255" i="10" s="1"/>
  <c r="B256" i="10"/>
  <c r="B257" i="10" s="1"/>
  <c r="B258" i="10" s="1"/>
  <c r="B259" i="10" s="1"/>
  <c r="B260" i="10" s="1"/>
  <c r="B261" i="10" s="1"/>
  <c r="B262" i="10" s="1"/>
  <c r="B263" i="10" s="1"/>
  <c r="B264" i="10"/>
  <c r="B265" i="10" s="1"/>
  <c r="B266" i="10" s="1"/>
  <c r="B267" i="10" s="1"/>
  <c r="B268" i="10" s="1"/>
  <c r="B269" i="10" s="1"/>
  <c r="B270" i="10" s="1"/>
  <c r="B271" i="10" s="1"/>
  <c r="B272" i="10"/>
  <c r="B273" i="10" s="1"/>
  <c r="B274" i="10" s="1"/>
  <c r="B275" i="10" s="1"/>
  <c r="B276" i="10" s="1"/>
  <c r="B277" i="10" s="1"/>
  <c r="B278" i="10" s="1"/>
  <c r="B279" i="10" s="1"/>
  <c r="B280" i="10"/>
  <c r="B281" i="10" s="1"/>
  <c r="B282" i="10" s="1"/>
  <c r="B283" i="10" s="1"/>
  <c r="B284" i="10" s="1"/>
  <c r="B285" i="10" s="1"/>
  <c r="B286" i="10" s="1"/>
  <c r="B287" i="10" s="1"/>
  <c r="B288" i="10"/>
  <c r="B289" i="10" s="1"/>
  <c r="B290" i="10" s="1"/>
  <c r="B291" i="10" s="1"/>
  <c r="B292" i="10" s="1"/>
  <c r="B293" i="10" s="1"/>
  <c r="B294" i="10" s="1"/>
  <c r="B295" i="10" s="1"/>
  <c r="B296" i="10"/>
  <c r="B297" i="10" s="1"/>
  <c r="B298" i="10" s="1"/>
  <c r="B299" i="10" s="1"/>
  <c r="B300" i="10" s="1"/>
  <c r="B301" i="10" s="1"/>
  <c r="B302" i="10" s="1"/>
  <c r="B303" i="10" s="1"/>
  <c r="B304" i="10"/>
  <c r="B305" i="10" s="1"/>
  <c r="B306" i="10" s="1"/>
  <c r="B307" i="10" s="1"/>
  <c r="B308" i="10" s="1"/>
  <c r="B309" i="10" s="1"/>
  <c r="B310" i="10" s="1"/>
  <c r="B311" i="10" s="1"/>
  <c r="B312" i="10"/>
  <c r="B313" i="10" s="1"/>
  <c r="B314" i="10" s="1"/>
  <c r="B315" i="10" s="1"/>
  <c r="B316" i="10" s="1"/>
  <c r="B317" i="10" s="1"/>
  <c r="B318" i="10" s="1"/>
  <c r="B319" i="10" s="1"/>
  <c r="B320" i="10"/>
  <c r="B321" i="10" s="1"/>
  <c r="B322" i="10" s="1"/>
  <c r="B323" i="10" s="1"/>
  <c r="B324" i="10" s="1"/>
  <c r="B325" i="10" s="1"/>
  <c r="B326" i="10" s="1"/>
  <c r="B327" i="10" s="1"/>
  <c r="B328" i="10"/>
  <c r="B329" i="10" s="1"/>
  <c r="B330" i="10" s="1"/>
  <c r="B331" i="10" s="1"/>
  <c r="B332" i="10" s="1"/>
  <c r="B333" i="10" s="1"/>
  <c r="B334" i="10" s="1"/>
  <c r="B335" i="10" s="1"/>
  <c r="B336" i="10"/>
  <c r="B337" i="10" s="1"/>
  <c r="B338" i="10" s="1"/>
  <c r="B339" i="10" s="1"/>
  <c r="B340" i="10" s="1"/>
  <c r="B341" i="10" s="1"/>
  <c r="B342" i="10" s="1"/>
  <c r="B343" i="10" s="1"/>
  <c r="B344" i="10"/>
  <c r="B345" i="10" s="1"/>
  <c r="B346" i="10" s="1"/>
  <c r="B347" i="10" s="1"/>
  <c r="B348" i="10" s="1"/>
  <c r="B349" i="10" s="1"/>
  <c r="B350" i="10" s="1"/>
  <c r="B351" i="10" s="1"/>
  <c r="B352" i="10"/>
  <c r="B353" i="10" s="1"/>
  <c r="B354" i="10" s="1"/>
  <c r="B355" i="10" s="1"/>
  <c r="B356" i="10" s="1"/>
  <c r="B357" i="10" s="1"/>
  <c r="B358" i="10" s="1"/>
  <c r="B359" i="10" s="1"/>
  <c r="B360" i="10"/>
  <c r="B361" i="10" s="1"/>
  <c r="B362" i="10" s="1"/>
  <c r="B363" i="10" s="1"/>
  <c r="B364" i="10" s="1"/>
  <c r="B365" i="10" s="1"/>
  <c r="B366" i="10" s="1"/>
  <c r="B367" i="10" s="1"/>
  <c r="B368" i="10"/>
  <c r="B369" i="10" s="1"/>
  <c r="B370" i="10" s="1"/>
  <c r="B371" i="10" s="1"/>
  <c r="B372" i="10" s="1"/>
  <c r="B373" i="10" s="1"/>
  <c r="B374" i="10" s="1"/>
  <c r="B375" i="10" s="1"/>
  <c r="B376" i="10"/>
  <c r="B377" i="10" s="1"/>
  <c r="B378" i="10" s="1"/>
  <c r="B379" i="10" s="1"/>
  <c r="B380" i="10" s="1"/>
  <c r="B381" i="10" s="1"/>
  <c r="B382" i="10" s="1"/>
  <c r="B383" i="10" s="1"/>
  <c r="B384" i="10"/>
  <c r="B385" i="10" s="1"/>
  <c r="B386" i="10" s="1"/>
  <c r="B387" i="10" s="1"/>
  <c r="C387" i="10" l="1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F12" i="10"/>
  <c r="C27" i="10"/>
  <c r="C3" i="6"/>
  <c r="O6" i="6"/>
  <c r="O7" i="6" s="1"/>
  <c r="O8" i="6" s="1"/>
  <c r="C6" i="6"/>
  <c r="L13" i="8"/>
  <c r="P14" i="8"/>
  <c r="F14" i="8"/>
  <c r="J13" i="8"/>
  <c r="R14" i="8"/>
  <c r="G13" i="8"/>
  <c r="H14" i="8"/>
  <c r="O13" i="8"/>
  <c r="E13" i="8"/>
  <c r="Q14" i="8"/>
  <c r="H13" i="8"/>
  <c r="G12" i="8"/>
  <c r="V14" i="8"/>
  <c r="I13" i="8"/>
  <c r="C3" i="8"/>
  <c r="P13" i="8"/>
  <c r="P24" i="8" s="1"/>
  <c r="K14" i="8"/>
  <c r="O14" i="8"/>
  <c r="G50" i="8"/>
  <c r="J12" i="8"/>
  <c r="J50" i="8"/>
  <c r="U14" i="8"/>
  <c r="D13" i="8"/>
  <c r="E12" i="8"/>
  <c r="P19" i="8"/>
  <c r="J14" i="8"/>
  <c r="J19" i="8" s="1"/>
  <c r="O19" i="8"/>
  <c r="H19" i="8"/>
  <c r="T13" i="8"/>
  <c r="K13" i="8"/>
  <c r="O12" i="8"/>
  <c r="O50" i="8" s="1"/>
  <c r="I14" i="8"/>
  <c r="H24" i="8"/>
  <c r="C7" i="9"/>
  <c r="L14" i="8"/>
  <c r="L19" i="8" s="1"/>
  <c r="Q13" i="8"/>
  <c r="V13" i="8"/>
  <c r="D12" i="8"/>
  <c r="U13" i="8"/>
  <c r="N13" i="8"/>
  <c r="N12" i="8" s="1"/>
  <c r="L12" i="8"/>
  <c r="L50" i="8" s="1"/>
  <c r="E14" i="8"/>
  <c r="M14" i="8"/>
  <c r="J24" i="8"/>
  <c r="I24" i="8"/>
  <c r="E24" i="8"/>
  <c r="H12" i="8"/>
  <c r="H50" i="8" s="1"/>
  <c r="C12" i="9"/>
  <c r="C8" i="9"/>
  <c r="G14" i="8"/>
  <c r="G24" i="8" s="1"/>
  <c r="M13" i="8"/>
  <c r="R13" i="8"/>
  <c r="D14" i="8"/>
  <c r="S13" i="8"/>
  <c r="G19" i="8"/>
  <c r="N50" i="8"/>
  <c r="E50" i="8"/>
  <c r="C14" i="9"/>
  <c r="C4" i="10"/>
  <c r="E181" i="10"/>
  <c r="E341" i="10"/>
  <c r="E74" i="10"/>
  <c r="E169" i="10"/>
  <c r="E297" i="10"/>
  <c r="E45" i="10"/>
  <c r="E109" i="10"/>
  <c r="E237" i="10"/>
  <c r="F13" i="8"/>
  <c r="M19" i="8"/>
  <c r="E221" i="10"/>
  <c r="E145" i="10"/>
  <c r="E242" i="10"/>
  <c r="E88" i="10"/>
  <c r="E164" i="10"/>
  <c r="E196" i="10"/>
  <c r="E228" i="10"/>
  <c r="E260" i="10"/>
  <c r="E292" i="10"/>
  <c r="E324" i="10"/>
  <c r="E356" i="10"/>
  <c r="E114" i="10"/>
  <c r="E178" i="10"/>
  <c r="E238" i="10"/>
  <c r="E298" i="10"/>
  <c r="E358" i="10"/>
  <c r="E75" i="10"/>
  <c r="E107" i="10"/>
  <c r="E171" i="10"/>
  <c r="E235" i="10"/>
  <c r="E299" i="10"/>
  <c r="E363" i="10"/>
  <c r="E152" i="10"/>
  <c r="E312" i="10"/>
  <c r="E278" i="10"/>
  <c r="E127" i="10"/>
  <c r="E351" i="10"/>
  <c r="E37" i="10"/>
  <c r="E220" i="10"/>
  <c r="E348" i="10"/>
  <c r="E35" i="10"/>
  <c r="E195" i="10"/>
  <c r="E355" i="10"/>
  <c r="N14" i="8"/>
  <c r="L24" i="8"/>
  <c r="E149" i="10"/>
  <c r="E349" i="10"/>
  <c r="E257" i="10"/>
  <c r="E302" i="10"/>
  <c r="E116" i="10"/>
  <c r="E168" i="10"/>
  <c r="E200" i="10"/>
  <c r="E232" i="10"/>
  <c r="E264" i="10"/>
  <c r="E296" i="10"/>
  <c r="E328" i="10"/>
  <c r="E360" i="10"/>
  <c r="E122" i="10"/>
  <c r="E186" i="10"/>
  <c r="E246" i="10"/>
  <c r="E306" i="10"/>
  <c r="E366" i="10"/>
  <c r="E47" i="10"/>
  <c r="E79" i="10"/>
  <c r="E111" i="10"/>
  <c r="E143" i="10"/>
  <c r="E175" i="10"/>
  <c r="E207" i="10"/>
  <c r="E239" i="10"/>
  <c r="E271" i="10"/>
  <c r="E303" i="10"/>
  <c r="E335" i="10"/>
  <c r="E367" i="10"/>
  <c r="E262" i="10"/>
  <c r="E378" i="10"/>
  <c r="E119" i="10"/>
  <c r="E183" i="10"/>
  <c r="E279" i="10"/>
  <c r="E375" i="10"/>
  <c r="E52" i="10"/>
  <c r="E280" i="10"/>
  <c r="E214" i="10"/>
  <c r="E95" i="10"/>
  <c r="E287" i="10"/>
  <c r="E174" i="10"/>
  <c r="E284" i="10"/>
  <c r="E162" i="10"/>
  <c r="E99" i="10"/>
  <c r="E227" i="10"/>
  <c r="S14" i="8"/>
  <c r="I12" i="8"/>
  <c r="E325" i="10"/>
  <c r="E365" i="10"/>
  <c r="E273" i="10"/>
  <c r="E310" i="10"/>
  <c r="E120" i="10"/>
  <c r="E172" i="10"/>
  <c r="E204" i="10"/>
  <c r="E236" i="10"/>
  <c r="E268" i="10"/>
  <c r="E300" i="10"/>
  <c r="E332" i="10"/>
  <c r="E364" i="10"/>
  <c r="E130" i="10"/>
  <c r="E194" i="10"/>
  <c r="E254" i="10"/>
  <c r="E314" i="10"/>
  <c r="E374" i="10"/>
  <c r="E51" i="10"/>
  <c r="E83" i="10"/>
  <c r="E115" i="10"/>
  <c r="E147" i="10"/>
  <c r="E179" i="10"/>
  <c r="E211" i="10"/>
  <c r="E243" i="10"/>
  <c r="E275" i="10"/>
  <c r="E307" i="10"/>
  <c r="E339" i="10"/>
  <c r="E371" i="10"/>
  <c r="E198" i="10"/>
  <c r="E55" i="10"/>
  <c r="E151" i="10"/>
  <c r="E215" i="10"/>
  <c r="E311" i="10"/>
  <c r="E343" i="10"/>
  <c r="E54" i="10"/>
  <c r="E216" i="10"/>
  <c r="E154" i="10"/>
  <c r="E63" i="10"/>
  <c r="E255" i="10"/>
  <c r="E62" i="10"/>
  <c r="E252" i="10"/>
  <c r="E380" i="10"/>
  <c r="E67" i="10"/>
  <c r="E259" i="10"/>
  <c r="D50" i="8"/>
  <c r="E19" i="8"/>
  <c r="E66" i="10"/>
  <c r="E105" i="10"/>
  <c r="E385" i="10"/>
  <c r="E370" i="10"/>
  <c r="E144" i="10"/>
  <c r="E176" i="10"/>
  <c r="E208" i="10"/>
  <c r="E240" i="10"/>
  <c r="E272" i="10"/>
  <c r="E304" i="10"/>
  <c r="E336" i="10"/>
  <c r="E368" i="10"/>
  <c r="E138" i="10"/>
  <c r="E322" i="10"/>
  <c r="E87" i="10"/>
  <c r="E247" i="10"/>
  <c r="E281" i="10"/>
  <c r="E344" i="10"/>
  <c r="E191" i="10"/>
  <c r="E188" i="10"/>
  <c r="E346" i="10"/>
  <c r="E291" i="10"/>
  <c r="T12" i="8"/>
  <c r="T50" i="8" s="1"/>
  <c r="E153" i="10"/>
  <c r="E133" i="10"/>
  <c r="E110" i="10"/>
  <c r="E382" i="10"/>
  <c r="E148" i="10"/>
  <c r="E180" i="10"/>
  <c r="E212" i="10"/>
  <c r="E244" i="10"/>
  <c r="E276" i="10"/>
  <c r="E308" i="10"/>
  <c r="E340" i="10"/>
  <c r="E372" i="10"/>
  <c r="E146" i="10"/>
  <c r="E206" i="10"/>
  <c r="E270" i="10"/>
  <c r="E330" i="10"/>
  <c r="E386" i="10"/>
  <c r="E59" i="10"/>
  <c r="E91" i="10"/>
  <c r="E123" i="10"/>
  <c r="E155" i="10"/>
  <c r="E187" i="10"/>
  <c r="E219" i="10"/>
  <c r="E251" i="10"/>
  <c r="E283" i="10"/>
  <c r="E315" i="10"/>
  <c r="E347" i="10"/>
  <c r="E379" i="10"/>
  <c r="C13" i="9"/>
  <c r="E166" i="10"/>
  <c r="E248" i="10"/>
  <c r="E376" i="10"/>
  <c r="E31" i="10"/>
  <c r="E159" i="10"/>
  <c r="E319" i="10"/>
  <c r="E383" i="10"/>
  <c r="D24" i="8"/>
  <c r="E56" i="10"/>
  <c r="E316" i="10"/>
  <c r="E286" i="10"/>
  <c r="E163" i="10"/>
  <c r="E387" i="10"/>
  <c r="C19" i="9"/>
  <c r="T14" i="8"/>
  <c r="E101" i="10"/>
  <c r="E129" i="10"/>
  <c r="E234" i="10"/>
  <c r="E84" i="10"/>
  <c r="E160" i="10"/>
  <c r="E192" i="10"/>
  <c r="E224" i="10"/>
  <c r="E256" i="10"/>
  <c r="E288" i="10"/>
  <c r="E320" i="10"/>
  <c r="E352" i="10"/>
  <c r="E384" i="10"/>
  <c r="E170" i="10"/>
  <c r="E230" i="10"/>
  <c r="E294" i="10"/>
  <c r="E350" i="10"/>
  <c r="E39" i="10"/>
  <c r="E71" i="10"/>
  <c r="E103" i="10"/>
  <c r="E135" i="10"/>
  <c r="E167" i="10"/>
  <c r="E199" i="10"/>
  <c r="E231" i="10"/>
  <c r="E263" i="10"/>
  <c r="E295" i="10"/>
  <c r="E327" i="10"/>
  <c r="E359" i="10"/>
  <c r="E43" i="10"/>
  <c r="E139" i="10"/>
  <c r="E203" i="10"/>
  <c r="E267" i="10"/>
  <c r="E331" i="10"/>
  <c r="C7" i="7"/>
  <c r="E184" i="10"/>
  <c r="E338" i="10"/>
  <c r="E223" i="10"/>
  <c r="E156" i="10"/>
  <c r="E222" i="10"/>
  <c r="E131" i="10"/>
  <c r="E323" i="10"/>
  <c r="I50" i="8"/>
  <c r="K24" i="8"/>
  <c r="K12" i="8"/>
  <c r="K50" i="8" s="1"/>
  <c r="C22" i="9"/>
  <c r="C11" i="9"/>
  <c r="C18" i="9"/>
  <c r="C9" i="9"/>
  <c r="C17" i="9"/>
  <c r="C20" i="9"/>
  <c r="C16" i="9"/>
  <c r="C10" i="9"/>
  <c r="C15" i="9"/>
  <c r="C21" i="9"/>
  <c r="Q24" i="8"/>
  <c r="Q12" i="8"/>
  <c r="Q50" i="8" s="1"/>
  <c r="V24" i="8"/>
  <c r="V12" i="8"/>
  <c r="V50" i="8" s="1"/>
  <c r="V19" i="8"/>
  <c r="U24" i="8"/>
  <c r="U12" i="8"/>
  <c r="U50" i="8" s="1"/>
  <c r="R24" i="8"/>
  <c r="R12" i="8"/>
  <c r="R50" i="8" s="1"/>
  <c r="E112" i="10"/>
  <c r="E80" i="10"/>
  <c r="E48" i="10"/>
  <c r="E362" i="10"/>
  <c r="E290" i="10"/>
  <c r="E226" i="10"/>
  <c r="E158" i="10"/>
  <c r="E369" i="10"/>
  <c r="E241" i="10"/>
  <c r="E113" i="10"/>
  <c r="E46" i="10"/>
  <c r="E89" i="10"/>
  <c r="E333" i="10"/>
  <c r="E205" i="10"/>
  <c r="E93" i="10"/>
  <c r="E29" i="10"/>
  <c r="E265" i="10"/>
  <c r="E137" i="10"/>
  <c r="E58" i="10"/>
  <c r="E309" i="10"/>
  <c r="E117" i="10"/>
  <c r="E140" i="10"/>
  <c r="E108" i="10"/>
  <c r="E76" i="10"/>
  <c r="E44" i="10"/>
  <c r="E354" i="10"/>
  <c r="E282" i="10"/>
  <c r="E218" i="10"/>
  <c r="E150" i="10"/>
  <c r="E353" i="10"/>
  <c r="E225" i="10"/>
  <c r="E102" i="10"/>
  <c r="E38" i="10"/>
  <c r="E73" i="10"/>
  <c r="E317" i="10"/>
  <c r="E189" i="10"/>
  <c r="E85" i="10"/>
  <c r="E377" i="10"/>
  <c r="E249" i="10"/>
  <c r="E121" i="10"/>
  <c r="E50" i="10"/>
  <c r="E293" i="10"/>
  <c r="E97" i="10"/>
  <c r="E136" i="10"/>
  <c r="E104" i="10"/>
  <c r="E72" i="10"/>
  <c r="E40" i="10"/>
  <c r="E342" i="10"/>
  <c r="E274" i="10"/>
  <c r="E210" i="10"/>
  <c r="E142" i="10"/>
  <c r="E337" i="10"/>
  <c r="E209" i="10"/>
  <c r="E94" i="10"/>
  <c r="E30" i="10"/>
  <c r="E57" i="10"/>
  <c r="E301" i="10"/>
  <c r="E173" i="10"/>
  <c r="E77" i="10"/>
  <c r="E361" i="10"/>
  <c r="E233" i="10"/>
  <c r="E106" i="10"/>
  <c r="E42" i="10"/>
  <c r="E277" i="10"/>
  <c r="E81" i="10"/>
  <c r="E132" i="10"/>
  <c r="E100" i="10"/>
  <c r="E68" i="10"/>
  <c r="E36" i="10"/>
  <c r="E334" i="10"/>
  <c r="E266" i="10"/>
  <c r="E202" i="10"/>
  <c r="E134" i="10"/>
  <c r="E321" i="10"/>
  <c r="E193" i="10"/>
  <c r="E86" i="10"/>
  <c r="E229" i="10"/>
  <c r="E49" i="10"/>
  <c r="E285" i="10"/>
  <c r="E157" i="10"/>
  <c r="E69" i="10"/>
  <c r="E345" i="10"/>
  <c r="E217" i="10"/>
  <c r="E98" i="10"/>
  <c r="E34" i="10"/>
  <c r="E261" i="10"/>
  <c r="E65" i="10"/>
  <c r="E128" i="10"/>
  <c r="E96" i="10"/>
  <c r="E64" i="10"/>
  <c r="E32" i="10"/>
  <c r="E326" i="10"/>
  <c r="E258" i="10"/>
  <c r="E190" i="10"/>
  <c r="E126" i="10"/>
  <c r="E305" i="10"/>
  <c r="E177" i="10"/>
  <c r="E78" i="10"/>
  <c r="E197" i="10"/>
  <c r="E33" i="10"/>
  <c r="E269" i="10"/>
  <c r="E141" i="10"/>
  <c r="E61" i="10"/>
  <c r="E329" i="10"/>
  <c r="E201" i="10"/>
  <c r="E90" i="10"/>
  <c r="E373" i="10"/>
  <c r="E245" i="10"/>
  <c r="E41" i="10"/>
  <c r="E124" i="10"/>
  <c r="E92" i="10"/>
  <c r="E60" i="10"/>
  <c r="E28" i="10"/>
  <c r="E318" i="10"/>
  <c r="E250" i="10"/>
  <c r="E182" i="10"/>
  <c r="E118" i="10"/>
  <c r="E289" i="10"/>
  <c r="E161" i="10"/>
  <c r="E70" i="10"/>
  <c r="E165" i="10"/>
  <c r="E381" i="10"/>
  <c r="E253" i="10"/>
  <c r="E125" i="10"/>
  <c r="E53" i="10"/>
  <c r="E313" i="10"/>
  <c r="E185" i="10"/>
  <c r="E82" i="10"/>
  <c r="E357" i="10"/>
  <c r="E213" i="10"/>
  <c r="E27" i="10"/>
  <c r="F24" i="8"/>
  <c r="F12" i="8"/>
  <c r="F50" i="8" s="1"/>
  <c r="N24" i="8"/>
  <c r="N19" i="8"/>
  <c r="S24" i="8"/>
  <c r="S19" i="8"/>
  <c r="T24" i="8"/>
  <c r="T19" i="8"/>
  <c r="D22" i="9" l="1"/>
  <c r="D18" i="9"/>
  <c r="D17" i="9"/>
  <c r="E17" i="9" s="1"/>
  <c r="F17" i="9" s="1"/>
  <c r="D16" i="9"/>
  <c r="E16" i="9" s="1"/>
  <c r="F16" i="9" s="1"/>
  <c r="D15" i="9"/>
  <c r="E15" i="9" s="1"/>
  <c r="F15" i="9" s="1"/>
  <c r="D14" i="9"/>
  <c r="E14" i="9" s="1"/>
  <c r="F14" i="9" s="1"/>
  <c r="D13" i="9"/>
  <c r="E13" i="9" s="1"/>
  <c r="F13" i="9" s="1"/>
  <c r="D12" i="9"/>
  <c r="E12" i="9" s="1"/>
  <c r="F12" i="9" s="1"/>
  <c r="D11" i="9"/>
  <c r="E11" i="9" s="1"/>
  <c r="F11" i="9" s="1"/>
  <c r="D9" i="9"/>
  <c r="D20" i="9"/>
  <c r="D10" i="9"/>
  <c r="D21" i="9"/>
  <c r="D8" i="9"/>
  <c r="D19" i="9"/>
  <c r="B26" i="9"/>
  <c r="D7" i="9"/>
  <c r="H54" i="8"/>
  <c r="J54" i="8"/>
  <c r="I54" i="8"/>
  <c r="G54" i="8"/>
  <c r="K54" i="8"/>
  <c r="N54" i="8"/>
  <c r="L54" i="8"/>
  <c r="V54" i="8"/>
  <c r="U54" i="8"/>
  <c r="R54" i="8"/>
  <c r="Q54" i="8"/>
  <c r="O54" i="8"/>
  <c r="T54" i="8"/>
  <c r="E54" i="8"/>
  <c r="F54" i="8"/>
  <c r="D54" i="8"/>
  <c r="O9" i="6"/>
  <c r="O6" i="5"/>
  <c r="O7" i="5" s="1"/>
  <c r="O8" i="5" s="1"/>
  <c r="C6" i="5"/>
  <c r="S12" i="8"/>
  <c r="S50" i="8" s="1"/>
  <c r="R19" i="8"/>
  <c r="H55" i="8"/>
  <c r="D93" i="2"/>
  <c r="D16" i="2"/>
  <c r="D57" i="2"/>
  <c r="C59" i="2"/>
  <c r="F87" i="2"/>
  <c r="E64" i="2"/>
  <c r="F85" i="2"/>
  <c r="C104" i="2"/>
  <c r="E98" i="2"/>
  <c r="E23" i="2"/>
  <c r="J55" i="8"/>
  <c r="F66" i="2"/>
  <c r="E80" i="2"/>
  <c r="C82" i="2"/>
  <c r="E61" i="2"/>
  <c r="D76" i="2"/>
  <c r="C91" i="2"/>
  <c r="D107" i="2"/>
  <c r="C48" i="2"/>
  <c r="D33" i="2"/>
  <c r="C75" i="2"/>
  <c r="F53" i="2"/>
  <c r="E60" i="2"/>
  <c r="F15" i="2"/>
  <c r="E55" i="8"/>
  <c r="D102" i="2"/>
  <c r="C49" i="2"/>
  <c r="C73" i="2"/>
  <c r="C21" i="2"/>
  <c r="F33" i="2"/>
  <c r="F28" i="2"/>
  <c r="E16" i="2"/>
  <c r="D105" i="2"/>
  <c r="D17" i="2"/>
  <c r="E22" i="2"/>
  <c r="D91" i="2"/>
  <c r="D25" i="2"/>
  <c r="C106" i="2"/>
  <c r="C96" i="2"/>
  <c r="E24" i="2"/>
  <c r="H48" i="2"/>
  <c r="J98" i="2"/>
  <c r="F72" i="2"/>
  <c r="E106" i="2"/>
  <c r="K33" i="2"/>
  <c r="F50" i="2"/>
  <c r="C105" i="2"/>
  <c r="D60" i="2"/>
  <c r="C10" i="5"/>
  <c r="H21" i="2"/>
  <c r="I93" i="2"/>
  <c r="J23" i="2"/>
  <c r="C26" i="2"/>
  <c r="J22" i="2"/>
  <c r="F81" i="2"/>
  <c r="I102" i="2"/>
  <c r="D90" i="2"/>
  <c r="D19" i="8"/>
  <c r="K55" i="8"/>
  <c r="C30" i="2"/>
  <c r="H30" i="2" s="1"/>
  <c r="D100" i="2"/>
  <c r="D26" i="2"/>
  <c r="E94" i="2"/>
  <c r="J94" i="2" s="1"/>
  <c r="D37" i="2"/>
  <c r="C86" i="2"/>
  <c r="D83" i="2"/>
  <c r="C63" i="2"/>
  <c r="C85" i="2"/>
  <c r="H85" i="2" s="1"/>
  <c r="N55" i="8"/>
  <c r="D34" i="2"/>
  <c r="C29" i="6"/>
  <c r="C22" i="2"/>
  <c r="E70" i="2"/>
  <c r="C92" i="2"/>
  <c r="D47" i="2"/>
  <c r="C17" i="2"/>
  <c r="F91" i="2"/>
  <c r="C42" i="2"/>
  <c r="C40" i="2"/>
  <c r="F25" i="2"/>
  <c r="D21" i="2"/>
  <c r="O24" i="8"/>
  <c r="C90" i="2"/>
  <c r="E88" i="2"/>
  <c r="M24" i="8"/>
  <c r="U55" i="8"/>
  <c r="D87" i="2"/>
  <c r="E26" i="2"/>
  <c r="D96" i="2"/>
  <c r="F82" i="2"/>
  <c r="C74" i="2"/>
  <c r="C79" i="2"/>
  <c r="H79" i="2" s="1"/>
  <c r="D13" i="2"/>
  <c r="E45" i="2"/>
  <c r="F70" i="2"/>
  <c r="R55" i="8"/>
  <c r="F35" i="2"/>
  <c r="D69" i="2"/>
  <c r="E109" i="2"/>
  <c r="C38" i="2"/>
  <c r="F49" i="2"/>
  <c r="D82" i="2"/>
  <c r="C57" i="2"/>
  <c r="F104" i="2"/>
  <c r="C24" i="2"/>
  <c r="C47" i="2"/>
  <c r="F30" i="2"/>
  <c r="F57" i="2"/>
  <c r="F65" i="2"/>
  <c r="C46" i="2"/>
  <c r="E96" i="2"/>
  <c r="J96" i="2" s="1"/>
  <c r="D66" i="2"/>
  <c r="D24" i="2"/>
  <c r="E78" i="2"/>
  <c r="C84" i="2"/>
  <c r="H84" i="2" s="1"/>
  <c r="E87" i="2"/>
  <c r="E75" i="2"/>
  <c r="E77" i="2"/>
  <c r="C29" i="2"/>
  <c r="C111" i="2"/>
  <c r="D58" i="2"/>
  <c r="E81" i="2"/>
  <c r="F19" i="2"/>
  <c r="K19" i="2" s="1"/>
  <c r="E92" i="2"/>
  <c r="C31" i="2"/>
  <c r="J92" i="2"/>
  <c r="H24" i="2"/>
  <c r="H96" i="2"/>
  <c r="C102" i="2"/>
  <c r="D59" i="2"/>
  <c r="D68" i="2"/>
  <c r="C52" i="2"/>
  <c r="I21" i="2"/>
  <c r="I68" i="2"/>
  <c r="J78" i="2"/>
  <c r="H82" i="2"/>
  <c r="E57" i="2"/>
  <c r="D42" i="2"/>
  <c r="D88" i="2"/>
  <c r="K91" i="2"/>
  <c r="K25" i="2"/>
  <c r="H29" i="2"/>
  <c r="H47" i="2"/>
  <c r="F75" i="2"/>
  <c r="C110" i="2"/>
  <c r="E56" i="2"/>
  <c r="U19" i="8"/>
  <c r="E100" i="2"/>
  <c r="E72" i="2"/>
  <c r="J72" i="2" s="1"/>
  <c r="C62" i="2"/>
  <c r="D97" i="2"/>
  <c r="C28" i="2"/>
  <c r="H28" i="2" s="1"/>
  <c r="E69" i="2"/>
  <c r="F97" i="2"/>
  <c r="C36" i="2"/>
  <c r="E38" i="2"/>
  <c r="J38" i="2" s="1"/>
  <c r="F45" i="2"/>
  <c r="F46" i="2"/>
  <c r="D51" i="2"/>
  <c r="F86" i="2"/>
  <c r="K86" i="2" s="1"/>
  <c r="D48" i="2"/>
  <c r="I48" i="2" s="1"/>
  <c r="E17" i="2"/>
  <c r="D49" i="2"/>
  <c r="C101" i="2"/>
  <c r="H101" i="2" s="1"/>
  <c r="C107" i="2"/>
  <c r="D63" i="2"/>
  <c r="I63" i="2" s="1"/>
  <c r="F32" i="2"/>
  <c r="F78" i="2"/>
  <c r="K78" i="2" s="1"/>
  <c r="E91" i="2"/>
  <c r="D56" i="2"/>
  <c r="F105" i="2"/>
  <c r="K105" i="2" s="1"/>
  <c r="D65" i="2"/>
  <c r="C4" i="3"/>
  <c r="F18" i="2"/>
  <c r="E15" i="2"/>
  <c r="E102" i="2"/>
  <c r="F73" i="2"/>
  <c r="K73" i="2" s="1"/>
  <c r="F63" i="2"/>
  <c r="K63" i="2" s="1"/>
  <c r="F36" i="2"/>
  <c r="K36" i="2" s="1"/>
  <c r="E29" i="2"/>
  <c r="E34" i="2"/>
  <c r="D73" i="2"/>
  <c r="F71" i="2"/>
  <c r="D98" i="2"/>
  <c r="D70" i="2"/>
  <c r="C12" i="2"/>
  <c r="C58" i="2"/>
  <c r="K28" i="2"/>
  <c r="K46" i="2"/>
  <c r="I49" i="2"/>
  <c r="J17" i="2"/>
  <c r="F37" i="2"/>
  <c r="C61" i="2"/>
  <c r="D15" i="2"/>
  <c r="F51" i="2"/>
  <c r="I70" i="2"/>
  <c r="H12" i="2"/>
  <c r="K97" i="2"/>
  <c r="H86" i="2"/>
  <c r="D64" i="2"/>
  <c r="F59" i="2"/>
  <c r="D29" i="2"/>
  <c r="E14" i="2"/>
  <c r="J34" i="2"/>
  <c r="I47" i="2"/>
  <c r="J87" i="2"/>
  <c r="C8" i="4"/>
  <c r="J70" i="2"/>
  <c r="E47" i="2"/>
  <c r="D50" i="2"/>
  <c r="I100" i="2"/>
  <c r="D75" i="2"/>
  <c r="E37" i="2"/>
  <c r="I13" i="2"/>
  <c r="I55" i="8"/>
  <c r="C64" i="2"/>
  <c r="I83" i="2"/>
  <c r="I51" i="2"/>
  <c r="E43" i="2"/>
  <c r="I19" i="8"/>
  <c r="F55" i="8"/>
  <c r="C18" i="2"/>
  <c r="F100" i="2"/>
  <c r="E55" i="2"/>
  <c r="F44" i="2"/>
  <c r="D110" i="2"/>
  <c r="C100" i="2"/>
  <c r="H100" i="2" s="1"/>
  <c r="E28" i="2"/>
  <c r="J28" i="2" s="1"/>
  <c r="D46" i="2"/>
  <c r="D78" i="2"/>
  <c r="F19" i="8"/>
  <c r="F101" i="2"/>
  <c r="K101" i="2" s="1"/>
  <c r="C51" i="2"/>
  <c r="D80" i="2"/>
  <c r="E44" i="2"/>
  <c r="C109" i="2"/>
  <c r="H109" i="2" s="1"/>
  <c r="F17" i="2"/>
  <c r="K17" i="2" s="1"/>
  <c r="F14" i="2"/>
  <c r="D99" i="2"/>
  <c r="E82" i="2"/>
  <c r="J82" i="2" s="1"/>
  <c r="F94" i="2"/>
  <c r="D79" i="2"/>
  <c r="B11" i="3"/>
  <c r="E11" i="3" s="1"/>
  <c r="E50" i="2"/>
  <c r="E25" i="2"/>
  <c r="E46" i="2"/>
  <c r="F103" i="2"/>
  <c r="K103" i="2" s="1"/>
  <c r="D85" i="2"/>
  <c r="E36" i="2"/>
  <c r="F34" i="2"/>
  <c r="C60" i="2"/>
  <c r="C41" i="2"/>
  <c r="F40" i="2"/>
  <c r="E39" i="2"/>
  <c r="J39" i="2" s="1"/>
  <c r="F84" i="2"/>
  <c r="K84" i="2" s="1"/>
  <c r="F24" i="2"/>
  <c r="D84" i="2"/>
  <c r="F56" i="2"/>
  <c r="C28" i="7"/>
  <c r="C65" i="2"/>
  <c r="J81" i="2"/>
  <c r="C83" i="2"/>
  <c r="I78" i="2"/>
  <c r="K49" i="2"/>
  <c r="J75" i="2"/>
  <c r="I99" i="2"/>
  <c r="K57" i="2"/>
  <c r="J91" i="2"/>
  <c r="E104" i="2"/>
  <c r="C15" i="2"/>
  <c r="D109" i="2"/>
  <c r="F67" i="2"/>
  <c r="J25" i="2"/>
  <c r="K94" i="2"/>
  <c r="I96" i="2"/>
  <c r="E54" i="2"/>
  <c r="D71" i="2"/>
  <c r="D36" i="2"/>
  <c r="I85" i="2"/>
  <c r="H111" i="2"/>
  <c r="K65" i="2"/>
  <c r="K14" i="2"/>
  <c r="K59" i="2"/>
  <c r="J29" i="2"/>
  <c r="C14" i="2"/>
  <c r="K51" i="2"/>
  <c r="I76" i="2"/>
  <c r="C44" i="2"/>
  <c r="J77" i="2"/>
  <c r="K34" i="2"/>
  <c r="L55" i="8"/>
  <c r="F20" i="2"/>
  <c r="J80" i="2"/>
  <c r="D104" i="2"/>
  <c r="J54" i="2"/>
  <c r="K19" i="8"/>
  <c r="M12" i="8"/>
  <c r="E32" i="2"/>
  <c r="J32" i="2" s="1"/>
  <c r="D77" i="2"/>
  <c r="E110" i="2"/>
  <c r="E90" i="2"/>
  <c r="C98" i="2"/>
  <c r="F79" i="2"/>
  <c r="K79" i="2" s="1"/>
  <c r="E42" i="2"/>
  <c r="E35" i="2"/>
  <c r="E97" i="2"/>
  <c r="J97" i="2" s="1"/>
  <c r="C72" i="2"/>
  <c r="E86" i="2"/>
  <c r="C97" i="2"/>
  <c r="H97" i="2" s="1"/>
  <c r="F111" i="2"/>
  <c r="K111" i="2" s="1"/>
  <c r="E19" i="2"/>
  <c r="J19" i="2" s="1"/>
  <c r="D111" i="2"/>
  <c r="I111" i="2" s="1"/>
  <c r="C39" i="2"/>
  <c r="C54" i="2"/>
  <c r="H54" i="2" s="1"/>
  <c r="D28" i="2"/>
  <c r="I28" i="2" s="1"/>
  <c r="D22" i="2"/>
  <c r="D44" i="2"/>
  <c r="F16" i="2"/>
  <c r="E108" i="2"/>
  <c r="Q19" i="8"/>
  <c r="B27" i="9"/>
  <c r="C16" i="2"/>
  <c r="H16" i="2" s="1"/>
  <c r="E12" i="2"/>
  <c r="J12" i="2" s="1"/>
  <c r="C93" i="2"/>
  <c r="H93" i="2" s="1"/>
  <c r="F54" i="2"/>
  <c r="C19" i="2"/>
  <c r="H19" i="2" s="1"/>
  <c r="D81" i="2"/>
  <c r="D72" i="2"/>
  <c r="D86" i="2"/>
  <c r="I86" i="2" s="1"/>
  <c r="E30" i="2"/>
  <c r="J30" i="2" s="1"/>
  <c r="C94" i="2"/>
  <c r="H94" i="2" s="1"/>
  <c r="D54" i="2"/>
  <c r="I54" i="2" s="1"/>
  <c r="C67" i="2"/>
  <c r="H67" i="2" s="1"/>
  <c r="E79" i="2"/>
  <c r="E49" i="2"/>
  <c r="D43" i="2"/>
  <c r="I43" i="2" s="1"/>
  <c r="D95" i="2"/>
  <c r="I95" i="2" s="1"/>
  <c r="D14" i="2"/>
  <c r="E83" i="2"/>
  <c r="H18" i="2"/>
  <c r="F22" i="2"/>
  <c r="D30" i="2"/>
  <c r="I30" i="2" s="1"/>
  <c r="F48" i="2"/>
  <c r="K48" i="2" s="1"/>
  <c r="E99" i="2"/>
  <c r="F109" i="2"/>
  <c r="O55" i="8"/>
  <c r="C70" i="2"/>
  <c r="E89" i="2"/>
  <c r="E95" i="2"/>
  <c r="E31" i="2"/>
  <c r="C25" i="2"/>
  <c r="F99" i="2"/>
  <c r="K99" i="2" s="1"/>
  <c r="C50" i="2"/>
  <c r="E66" i="2"/>
  <c r="J66" i="2" s="1"/>
  <c r="E85" i="2"/>
  <c r="J85" i="2" s="1"/>
  <c r="E41" i="2"/>
  <c r="E63" i="2"/>
  <c r="J63" i="2" s="1"/>
  <c r="D106" i="2"/>
  <c r="E103" i="2"/>
  <c r="J103" i="2" s="1"/>
  <c r="E93" i="2"/>
  <c r="C33" i="2"/>
  <c r="F31" i="2"/>
  <c r="E18" i="2"/>
  <c r="K32" i="2"/>
  <c r="J49" i="2"/>
  <c r="J83" i="2"/>
  <c r="F12" i="2"/>
  <c r="F93" i="2"/>
  <c r="C23" i="2"/>
  <c r="D108" i="2"/>
  <c r="I108" i="2" s="1"/>
  <c r="C10" i="6"/>
  <c r="H65" i="2"/>
  <c r="K16" i="2"/>
  <c r="K53" i="2"/>
  <c r="J64" i="2"/>
  <c r="J50" i="2"/>
  <c r="E58" i="2"/>
  <c r="J58" i="2" s="1"/>
  <c r="C89" i="2"/>
  <c r="E48" i="2"/>
  <c r="J48" i="2" s="1"/>
  <c r="F68" i="2"/>
  <c r="K68" i="2" s="1"/>
  <c r="I110" i="2"/>
  <c r="J86" i="2"/>
  <c r="K109" i="2"/>
  <c r="J26" i="2"/>
  <c r="J35" i="2"/>
  <c r="K44" i="2"/>
  <c r="C17" i="1"/>
  <c r="B12" i="3"/>
  <c r="C45" i="2"/>
  <c r="J106" i="2"/>
  <c r="I56" i="2"/>
  <c r="I24" i="2"/>
  <c r="D92" i="2"/>
  <c r="H83" i="2"/>
  <c r="I87" i="2"/>
  <c r="J79" i="2"/>
  <c r="C37" i="2"/>
  <c r="I82" i="2"/>
  <c r="K54" i="2"/>
  <c r="E105" i="2"/>
  <c r="I77" i="2"/>
  <c r="J95" i="2"/>
  <c r="M50" i="8"/>
  <c r="P12" i="8"/>
  <c r="P50" i="8" s="1"/>
  <c r="C55" i="2"/>
  <c r="H55" i="2" s="1"/>
  <c r="D38" i="2"/>
  <c r="I38" i="2" s="1"/>
  <c r="C13" i="2"/>
  <c r="V55" i="8"/>
  <c r="F92" i="2"/>
  <c r="K92" i="2" s="1"/>
  <c r="C78" i="2"/>
  <c r="H78" i="2" s="1"/>
  <c r="F64" i="2"/>
  <c r="K64" i="2" s="1"/>
  <c r="F96" i="2"/>
  <c r="K96" i="2" s="1"/>
  <c r="F38" i="2"/>
  <c r="K38" i="2" s="1"/>
  <c r="C99" i="2"/>
  <c r="H58" i="2"/>
  <c r="I34" i="2"/>
  <c r="C27" i="2"/>
  <c r="H27" i="2" s="1"/>
  <c r="I46" i="2"/>
  <c r="H62" i="2"/>
  <c r="K66" i="2"/>
  <c r="F13" i="2"/>
  <c r="F39" i="2"/>
  <c r="I25" i="2"/>
  <c r="C12" i="5"/>
  <c r="C7" i="4"/>
  <c r="F83" i="2"/>
  <c r="H89" i="2"/>
  <c r="Q55" i="8"/>
  <c r="J88" i="2"/>
  <c r="E68" i="2"/>
  <c r="C12" i="1"/>
  <c r="E52" i="2"/>
  <c r="F62" i="2"/>
  <c r="K62" i="2" s="1"/>
  <c r="C80" i="2"/>
  <c r="D18" i="2"/>
  <c r="I18" i="2" s="1"/>
  <c r="C32" i="2"/>
  <c r="H32" i="2" s="1"/>
  <c r="C103" i="2"/>
  <c r="F102" i="2"/>
  <c r="F95" i="2"/>
  <c r="C87" i="2"/>
  <c r="E74" i="2"/>
  <c r="H40" i="2"/>
  <c r="I81" i="2"/>
  <c r="H72" i="2"/>
  <c r="C9" i="6"/>
  <c r="K102" i="2"/>
  <c r="E107" i="2"/>
  <c r="J107" i="2" s="1"/>
  <c r="C95" i="2"/>
  <c r="H95" i="2" s="1"/>
  <c r="H73" i="2"/>
  <c r="I97" i="2"/>
  <c r="H46" i="2"/>
  <c r="F47" i="2"/>
  <c r="K18" i="2"/>
  <c r="I71" i="2"/>
  <c r="T55" i="8"/>
  <c r="H99" i="2"/>
  <c r="K71" i="2"/>
  <c r="F43" i="2"/>
  <c r="K43" i="2" s="1"/>
  <c r="C81" i="2"/>
  <c r="H81" i="2" s="1"/>
  <c r="F29" i="2"/>
  <c r="C71" i="2"/>
  <c r="F58" i="2"/>
  <c r="K58" i="2" s="1"/>
  <c r="C12" i="6"/>
  <c r="E73" i="2"/>
  <c r="H71" i="2"/>
  <c r="D32" i="2"/>
  <c r="F106" i="2"/>
  <c r="K106" i="2" s="1"/>
  <c r="H104" i="2"/>
  <c r="J100" i="2"/>
  <c r="D55" i="8"/>
  <c r="H23" i="2"/>
  <c r="I73" i="2"/>
  <c r="K15" i="2"/>
  <c r="C10" i="1"/>
  <c r="F60" i="2"/>
  <c r="K60" i="2" s="1"/>
  <c r="E67" i="2"/>
  <c r="H51" i="2"/>
  <c r="H33" i="2"/>
  <c r="K45" i="2"/>
  <c r="C53" i="2"/>
  <c r="H53" i="2" s="1"/>
  <c r="C19" i="1"/>
  <c r="K87" i="2"/>
  <c r="H74" i="2"/>
  <c r="H70" i="2"/>
  <c r="J47" i="2"/>
  <c r="D27" i="2"/>
  <c r="I27" i="2" s="1"/>
  <c r="F52" i="2"/>
  <c r="K52" i="2" s="1"/>
  <c r="F110" i="2"/>
  <c r="F98" i="2"/>
  <c r="K98" i="2" s="1"/>
  <c r="E21" i="2"/>
  <c r="J21" i="2" s="1"/>
  <c r="F90" i="2"/>
  <c r="D41" i="2"/>
  <c r="E84" i="2"/>
  <c r="D103" i="2"/>
  <c r="F107" i="2"/>
  <c r="K107" i="2" s="1"/>
  <c r="J36" i="2"/>
  <c r="I66" i="2"/>
  <c r="E27" i="2"/>
  <c r="C66" i="2"/>
  <c r="K100" i="2"/>
  <c r="I57" i="2"/>
  <c r="D89" i="2"/>
  <c r="I89" i="2" s="1"/>
  <c r="F41" i="2"/>
  <c r="I88" i="2"/>
  <c r="J57" i="2"/>
  <c r="J93" i="2"/>
  <c r="H38" i="2"/>
  <c r="K12" i="2"/>
  <c r="I36" i="2"/>
  <c r="C20" i="2"/>
  <c r="E20" i="2"/>
  <c r="J20" i="2" s="1"/>
  <c r="C77" i="2"/>
  <c r="H77" i="2" s="1"/>
  <c r="D74" i="2"/>
  <c r="I74" i="2" s="1"/>
  <c r="F23" i="2"/>
  <c r="K23" i="2" s="1"/>
  <c r="D94" i="2"/>
  <c r="I94" i="2" s="1"/>
  <c r="F61" i="2"/>
  <c r="C56" i="2"/>
  <c r="F26" i="2"/>
  <c r="D31" i="2"/>
  <c r="I31" i="2" s="1"/>
  <c r="I107" i="2"/>
  <c r="K31" i="2"/>
  <c r="I72" i="2"/>
  <c r="C43" i="2"/>
  <c r="H43" i="2" s="1"/>
  <c r="D101" i="2"/>
  <c r="K90" i="2"/>
  <c r="J110" i="2"/>
  <c r="F21" i="2"/>
  <c r="K39" i="2"/>
  <c r="I14" i="2"/>
  <c r="H52" i="2"/>
  <c r="H36" i="2"/>
  <c r="D19" i="2"/>
  <c r="K22" i="2"/>
  <c r="C35" i="2"/>
  <c r="C9" i="1"/>
  <c r="J99" i="2"/>
  <c r="B28" i="9"/>
  <c r="D61" i="2"/>
  <c r="I61" i="2" s="1"/>
  <c r="C88" i="2"/>
  <c r="H88" i="2" s="1"/>
  <c r="E59" i="2"/>
  <c r="J59" i="2" s="1"/>
  <c r="E51" i="2"/>
  <c r="J51" i="2" s="1"/>
  <c r="D40" i="2"/>
  <c r="E76" i="2"/>
  <c r="D52" i="2"/>
  <c r="E101" i="2"/>
  <c r="J101" i="2" s="1"/>
  <c r="E53" i="2"/>
  <c r="J53" i="2" s="1"/>
  <c r="K35" i="2"/>
  <c r="J46" i="2"/>
  <c r="F69" i="2"/>
  <c r="K69" i="2" s="1"/>
  <c r="D39" i="2"/>
  <c r="J102" i="2"/>
  <c r="I41" i="2"/>
  <c r="D45" i="2"/>
  <c r="I22" i="2"/>
  <c r="K82" i="2"/>
  <c r="I33" i="2"/>
  <c r="J67" i="2"/>
  <c r="H56" i="2"/>
  <c r="F55" i="2"/>
  <c r="J55" i="2"/>
  <c r="J45" i="2"/>
  <c r="C13" i="1"/>
  <c r="B29" i="9"/>
  <c r="F76" i="2"/>
  <c r="K76" i="2" s="1"/>
  <c r="E62" i="2"/>
  <c r="J62" i="2" s="1"/>
  <c r="C34" i="2"/>
  <c r="J90" i="2"/>
  <c r="C22" i="1"/>
  <c r="H22" i="2"/>
  <c r="D53" i="2"/>
  <c r="I19" i="2"/>
  <c r="G55" i="8"/>
  <c r="C108" i="2"/>
  <c r="F27" i="2"/>
  <c r="K27" i="2" s="1"/>
  <c r="D35" i="2"/>
  <c r="I35" i="2" s="1"/>
  <c r="K29" i="2"/>
  <c r="J24" i="2"/>
  <c r="C9" i="5"/>
  <c r="I98" i="2"/>
  <c r="K75" i="2"/>
  <c r="E13" i="2"/>
  <c r="J13" i="2" s="1"/>
  <c r="F89" i="2"/>
  <c r="K89" i="2" s="1"/>
  <c r="D23" i="2"/>
  <c r="I23" i="2" s="1"/>
  <c r="C76" i="2"/>
  <c r="E71" i="2"/>
  <c r="E33" i="2"/>
  <c r="J33" i="2" s="1"/>
  <c r="H80" i="2"/>
  <c r="J69" i="2"/>
  <c r="J31" i="2"/>
  <c r="I44" i="2"/>
  <c r="E111" i="2"/>
  <c r="J15" i="2"/>
  <c r="D62" i="2"/>
  <c r="I62" i="2" s="1"/>
  <c r="F74" i="2"/>
  <c r="K74" i="2" s="1"/>
  <c r="F88" i="2"/>
  <c r="H91" i="2"/>
  <c r="C69" i="2"/>
  <c r="J109" i="2"/>
  <c r="C16" i="1"/>
  <c r="F77" i="2"/>
  <c r="K77" i="2" s="1"/>
  <c r="K30" i="2"/>
  <c r="D20" i="2"/>
  <c r="E65" i="2"/>
  <c r="J65" i="2" s="1"/>
  <c r="F80" i="2"/>
  <c r="K80" i="2" s="1"/>
  <c r="K110" i="2"/>
  <c r="E40" i="2"/>
  <c r="J40" i="2" s="1"/>
  <c r="F42" i="2"/>
  <c r="K42" i="2" s="1"/>
  <c r="I60" i="2"/>
  <c r="K61" i="2"/>
  <c r="B30" i="9"/>
  <c r="H63" i="2"/>
  <c r="D55" i="2"/>
  <c r="I55" i="2" s="1"/>
  <c r="C68" i="2"/>
  <c r="I32" i="2"/>
  <c r="F108" i="2"/>
  <c r="K108" i="2" s="1"/>
  <c r="D12" i="2"/>
  <c r="I12" i="2" s="1"/>
  <c r="C14" i="1"/>
  <c r="K70" i="2"/>
  <c r="B31" i="9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/>
  <c r="B96" i="9" s="1"/>
  <c r="B97" i="9" s="1"/>
  <c r="D67" i="2"/>
  <c r="I67" i="2" s="1"/>
  <c r="K95" i="2"/>
  <c r="I105" i="2"/>
  <c r="B98" i="9"/>
  <c r="B99" i="9" s="1"/>
  <c r="B100" i="9" s="1"/>
  <c r="B101" i="9" s="1"/>
  <c r="C15" i="1"/>
  <c r="B102" i="9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/>
  <c r="B231" i="9" s="1"/>
  <c r="B232" i="9" s="1"/>
  <c r="B233" i="9" s="1"/>
  <c r="B234" i="9" s="1"/>
  <c r="B235" i="9" s="1"/>
  <c r="B236" i="9" s="1"/>
  <c r="B237" i="9" s="1"/>
  <c r="B238" i="9" s="1"/>
  <c r="B239" i="9" s="1"/>
  <c r="B240" i="9" s="1"/>
  <c r="B241" i="9" s="1"/>
  <c r="B242" i="9" s="1"/>
  <c r="B243" i="9" s="1"/>
  <c r="B244" i="9" s="1"/>
  <c r="B245" i="9" s="1"/>
  <c r="B246" i="9" s="1"/>
  <c r="B247" i="9" s="1"/>
  <c r="B248" i="9" s="1"/>
  <c r="B249" i="9" s="1"/>
  <c r="B250" i="9" s="1"/>
  <c r="B251" i="9" s="1"/>
  <c r="B252" i="9" s="1"/>
  <c r="B253" i="9" s="1"/>
  <c r="B254" i="9" s="1"/>
  <c r="B255" i="9" s="1"/>
  <c r="B256" i="9" s="1"/>
  <c r="B257" i="9" s="1"/>
  <c r="B258" i="9" s="1"/>
  <c r="B259" i="9" s="1"/>
  <c r="B260" i="9" s="1"/>
  <c r="B261" i="9" s="1"/>
  <c r="B262" i="9" s="1"/>
  <c r="B263" i="9" s="1"/>
  <c r="B264" i="9" s="1"/>
  <c r="B265" i="9" s="1"/>
  <c r="B266" i="9" s="1"/>
  <c r="B267" i="9" s="1"/>
  <c r="B268" i="9" s="1"/>
  <c r="B269" i="9" s="1"/>
  <c r="B270" i="9" s="1"/>
  <c r="B271" i="9" s="1"/>
  <c r="B272" i="9" s="1"/>
  <c r="B273" i="9" s="1"/>
  <c r="B274" i="9" s="1"/>
  <c r="B275" i="9" s="1"/>
  <c r="B276" i="9" s="1"/>
  <c r="B277" i="9" s="1"/>
  <c r="B278" i="9"/>
  <c r="B279" i="9" s="1"/>
  <c r="B280" i="9" s="1"/>
  <c r="B281" i="9" s="1"/>
  <c r="B282" i="9" s="1"/>
  <c r="B283" i="9" s="1"/>
  <c r="B284" i="9" s="1"/>
  <c r="B285" i="9" s="1"/>
  <c r="B286" i="9" s="1"/>
  <c r="B287" i="9" s="1"/>
  <c r="B288" i="9" s="1"/>
  <c r="B289" i="9" s="1"/>
  <c r="B290" i="9" s="1"/>
  <c r="B291" i="9" s="1"/>
  <c r="B292" i="9" s="1"/>
  <c r="B293" i="9" s="1"/>
  <c r="B294" i="9" s="1"/>
  <c r="B295" i="9" s="1"/>
  <c r="B296" i="9" s="1"/>
  <c r="B297" i="9" s="1"/>
  <c r="B298" i="9" s="1"/>
  <c r="B299" i="9" s="1"/>
  <c r="B300" i="9" s="1"/>
  <c r="B301" i="9" s="1"/>
  <c r="B302" i="9" s="1"/>
  <c r="B303" i="9" s="1"/>
  <c r="B304" i="9" s="1"/>
  <c r="B305" i="9" s="1"/>
  <c r="B306" i="9" s="1"/>
  <c r="B307" i="9" s="1"/>
  <c r="B308" i="9" s="1"/>
  <c r="B309" i="9" s="1"/>
  <c r="B310" i="9"/>
  <c r="B311" i="9" s="1"/>
  <c r="B312" i="9" s="1"/>
  <c r="B313" i="9" s="1"/>
  <c r="B314" i="9" s="1"/>
  <c r="B315" i="9" s="1"/>
  <c r="B316" i="9" s="1"/>
  <c r="B317" i="9" s="1"/>
  <c r="B318" i="9" s="1"/>
  <c r="B319" i="9" s="1"/>
  <c r="B320" i="9" s="1"/>
  <c r="B321" i="9" s="1"/>
  <c r="B322" i="9" s="1"/>
  <c r="B323" i="9" s="1"/>
  <c r="B324" i="9" s="1"/>
  <c r="B325" i="9" s="1"/>
  <c r="B326" i="9" s="1"/>
  <c r="B327" i="9" s="1"/>
  <c r="B328" i="9" s="1"/>
  <c r="B329" i="9" s="1"/>
  <c r="B330" i="9" s="1"/>
  <c r="B331" i="9" s="1"/>
  <c r="B332" i="9" s="1"/>
  <c r="B333" i="9" s="1"/>
  <c r="B334" i="9" s="1"/>
  <c r="B335" i="9" s="1"/>
  <c r="B336" i="9" s="1"/>
  <c r="B337" i="9" s="1"/>
  <c r="B338" i="9" s="1"/>
  <c r="B339" i="9" s="1"/>
  <c r="B340" i="9" s="1"/>
  <c r="B341" i="9" s="1"/>
  <c r="B342" i="9" s="1"/>
  <c r="B343" i="9" s="1"/>
  <c r="B344" i="9" s="1"/>
  <c r="B345" i="9" s="1"/>
  <c r="B346" i="9" s="1"/>
  <c r="B347" i="9" s="1"/>
  <c r="B348" i="9" s="1"/>
  <c r="B349" i="9" s="1"/>
  <c r="B350" i="9"/>
  <c r="B351" i="9" s="1"/>
  <c r="B352" i="9" s="1"/>
  <c r="B353" i="9" s="1"/>
  <c r="B354" i="9" s="1"/>
  <c r="B355" i="9" s="1"/>
  <c r="B356" i="9" s="1"/>
  <c r="B357" i="9" s="1"/>
  <c r="B358" i="9" s="1"/>
  <c r="B359" i="9" s="1"/>
  <c r="B360" i="9" s="1"/>
  <c r="B361" i="9" s="1"/>
  <c r="B362" i="9" s="1"/>
  <c r="B363" i="9" s="1"/>
  <c r="B364" i="9" s="1"/>
  <c r="B365" i="9" s="1"/>
  <c r="B366" i="9" s="1"/>
  <c r="B367" i="9" s="1"/>
  <c r="B368" i="9" s="1"/>
  <c r="B369" i="9" s="1"/>
  <c r="B370" i="9" s="1"/>
  <c r="B371" i="9" s="1"/>
  <c r="B372" i="9" s="1"/>
  <c r="B373" i="9" s="1"/>
  <c r="B374" i="9" s="1"/>
  <c r="B375" i="9" s="1"/>
  <c r="B376" i="9" s="1"/>
  <c r="B377" i="9" s="1"/>
  <c r="B378" i="9" s="1"/>
  <c r="B379" i="9" s="1"/>
  <c r="B380" i="9" s="1"/>
  <c r="B381" i="9" s="1"/>
  <c r="B382" i="9"/>
  <c r="B383" i="9" s="1"/>
  <c r="B384" i="9" s="1"/>
  <c r="B385" i="9" s="1"/>
  <c r="B386" i="9" s="1"/>
  <c r="E12" i="3"/>
  <c r="C21" i="1"/>
  <c r="C20" i="1"/>
  <c r="C11" i="1"/>
  <c r="C18" i="1"/>
  <c r="C8" i="1"/>
  <c r="P54" i="8" l="1"/>
  <c r="S54" i="8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M54" i="8"/>
  <c r="E10" i="3"/>
  <c r="C12" i="3"/>
  <c r="C11" i="3"/>
  <c r="C10" i="3"/>
  <c r="C32" i="6"/>
  <c r="C30" i="6"/>
  <c r="N98" i="2"/>
  <c r="P74" i="2"/>
  <c r="O29" i="2"/>
  <c r="N96" i="2"/>
  <c r="N31" i="2"/>
  <c r="P15" i="2"/>
  <c r="N82" i="2"/>
  <c r="P45" i="2"/>
  <c r="O87" i="2"/>
  <c r="O47" i="2"/>
  <c r="P106" i="2"/>
  <c r="O94" i="2"/>
  <c r="O95" i="2"/>
  <c r="M72" i="2"/>
  <c r="M73" i="2"/>
  <c r="P99" i="2"/>
  <c r="P100" i="2"/>
  <c r="M82" i="2"/>
  <c r="M53" i="2"/>
  <c r="M54" i="2"/>
  <c r="P107" i="2"/>
  <c r="P75" i="2"/>
  <c r="N34" i="2"/>
  <c r="O24" i="2"/>
  <c r="N67" i="2"/>
  <c r="O54" i="2"/>
  <c r="P34" i="2"/>
  <c r="N48" i="2"/>
  <c r="N24" i="2"/>
  <c r="P58" i="2"/>
  <c r="P102" i="2"/>
  <c r="P31" i="2"/>
  <c r="P108" i="2"/>
  <c r="P77" i="2"/>
  <c r="N88" i="2"/>
  <c r="P53" i="2"/>
  <c r="P96" i="2"/>
  <c r="O93" i="2"/>
  <c r="P30" i="2"/>
  <c r="M29" i="2"/>
  <c r="P95" i="2"/>
  <c r="M22" i="2"/>
  <c r="N86" i="2"/>
  <c r="N33" i="2"/>
  <c r="O102" i="2"/>
  <c r="N73" i="2"/>
  <c r="O39" i="2"/>
  <c r="O58" i="2"/>
  <c r="P17" i="2"/>
  <c r="O35" i="2"/>
  <c r="O20" i="2"/>
  <c r="O23" i="2"/>
  <c r="P97" i="2"/>
  <c r="N99" i="2"/>
  <c r="M95" i="2"/>
  <c r="P101" i="2"/>
  <c r="O66" i="2"/>
  <c r="P109" i="2"/>
  <c r="M28" i="2"/>
  <c r="P110" i="2"/>
  <c r="O65" i="2"/>
  <c r="N35" i="2"/>
  <c r="N22" i="2"/>
  <c r="O64" i="2"/>
  <c r="M78" i="2"/>
  <c r="O22" i="2"/>
  <c r="P28" i="2"/>
  <c r="O49" i="2"/>
  <c r="M84" i="2"/>
  <c r="P70" i="2"/>
  <c r="P69" i="2"/>
  <c r="N72" i="2"/>
  <c r="M52" i="2"/>
  <c r="O91" i="2"/>
  <c r="N55" i="2"/>
  <c r="P91" i="2"/>
  <c r="N77" i="2"/>
  <c r="O30" i="2"/>
  <c r="O31" i="2"/>
  <c r="M79" i="2"/>
  <c r="M81" i="2"/>
  <c r="M80" i="2"/>
  <c r="M94" i="2"/>
  <c r="M71" i="2"/>
  <c r="O25" i="2"/>
  <c r="N47" i="2"/>
  <c r="O81" i="2"/>
  <c r="O63" i="2"/>
  <c r="O50" i="2"/>
  <c r="N95" i="2"/>
  <c r="N97" i="2"/>
  <c r="P62" i="2"/>
  <c r="M23" i="2"/>
  <c r="O46" i="2"/>
  <c r="O97" i="2"/>
  <c r="M96" i="2"/>
  <c r="O78" i="2"/>
  <c r="O92" i="2"/>
  <c r="P60" i="2"/>
  <c r="P76" i="2"/>
  <c r="N61" i="2"/>
  <c r="P33" i="2"/>
  <c r="N56" i="2"/>
  <c r="O48" i="2"/>
  <c r="N87" i="2"/>
  <c r="P79" i="2"/>
  <c r="O33" i="2"/>
  <c r="O86" i="2"/>
  <c r="O34" i="2"/>
  <c r="M100" i="2"/>
  <c r="P52" i="2"/>
  <c r="M85" i="2"/>
  <c r="P64" i="2"/>
  <c r="O82" i="2"/>
  <c r="O21" i="2"/>
  <c r="M55" i="2"/>
  <c r="P61" i="2"/>
  <c r="N62" i="2"/>
  <c r="P65" i="2"/>
  <c r="O32" i="2"/>
  <c r="P63" i="2"/>
  <c r="O99" i="2"/>
  <c r="N23" i="2"/>
  <c r="P44" i="2"/>
  <c r="N32" i="2"/>
  <c r="O98" i="2"/>
  <c r="P90" i="2"/>
  <c r="N94" i="2"/>
  <c r="O79" i="2"/>
  <c r="O80" i="2"/>
  <c r="P32" i="2"/>
  <c r="P43" i="2"/>
  <c r="O96" i="2"/>
  <c r="P59" i="2"/>
  <c r="P35" i="2"/>
  <c r="M47" i="2"/>
  <c r="N13" i="2"/>
  <c r="P98" i="2"/>
  <c r="P29" i="2"/>
  <c r="P78" i="2"/>
  <c r="M83" i="2"/>
  <c r="P18" i="2"/>
  <c r="O101" i="2"/>
  <c r="N71" i="2"/>
  <c r="P16" i="2"/>
  <c r="O100" i="2"/>
  <c r="O10" i="6"/>
  <c r="O9" i="5"/>
  <c r="D15" i="1"/>
  <c r="E15" i="1" s="1"/>
  <c r="D9" i="1"/>
  <c r="D13" i="1"/>
  <c r="E13" i="1" s="1"/>
  <c r="D8" i="1"/>
  <c r="D11" i="1"/>
  <c r="E11" i="1" s="1"/>
  <c r="D22" i="1"/>
  <c r="D19" i="1"/>
  <c r="D14" i="1"/>
  <c r="E14" i="1" s="1"/>
  <c r="D21" i="1"/>
  <c r="D10" i="1"/>
  <c r="D20" i="1"/>
  <c r="D17" i="1"/>
  <c r="E17" i="1" s="1"/>
  <c r="D12" i="1"/>
  <c r="E12" i="1" s="1"/>
  <c r="D18" i="1"/>
  <c r="D16" i="1"/>
  <c r="E16" i="1" s="1"/>
  <c r="B26" i="1"/>
  <c r="D7" i="1"/>
  <c r="P55" i="8"/>
  <c r="S55" i="8"/>
  <c r="K21" i="2"/>
  <c r="H87" i="2"/>
  <c r="H45" i="2"/>
  <c r="J104" i="2"/>
  <c r="H61" i="2"/>
  <c r="H105" i="2"/>
  <c r="H26" i="2"/>
  <c r="H34" i="2"/>
  <c r="P5" i="5"/>
  <c r="S9" i="6"/>
  <c r="H107" i="2"/>
  <c r="U8" i="6"/>
  <c r="H39" i="2"/>
  <c r="T5" i="6"/>
  <c r="I40" i="2"/>
  <c r="P9" i="6"/>
  <c r="I20" i="2"/>
  <c r="C40" i="6" a="1"/>
  <c r="K40" i="2"/>
  <c r="P7" i="6"/>
  <c r="R5" i="6"/>
  <c r="T8" i="5"/>
  <c r="I104" i="2"/>
  <c r="K26" i="2"/>
  <c r="U6" i="5"/>
  <c r="H69" i="2"/>
  <c r="I101" i="2"/>
  <c r="H103" i="2"/>
  <c r="B13" i="3"/>
  <c r="C34" i="7"/>
  <c r="J56" i="2"/>
  <c r="K50" i="2"/>
  <c r="H31" i="2"/>
  <c r="I53" i="2"/>
  <c r="S8" i="6"/>
  <c r="J41" i="2"/>
  <c r="H20" i="2"/>
  <c r="H59" i="2"/>
  <c r="Q6" i="5"/>
  <c r="H108" i="2"/>
  <c r="H92" i="2"/>
  <c r="J108" i="2"/>
  <c r="H75" i="2"/>
  <c r="H15" i="2"/>
  <c r="R8" i="5"/>
  <c r="I79" i="2"/>
  <c r="I65" i="2"/>
  <c r="K37" i="2"/>
  <c r="H41" i="2"/>
  <c r="J111" i="2"/>
  <c r="K41" i="2"/>
  <c r="J68" i="2"/>
  <c r="K93" i="2"/>
  <c r="K24" i="2"/>
  <c r="H110" i="2"/>
  <c r="K72" i="2"/>
  <c r="I58" i="2"/>
  <c r="J76" i="2"/>
  <c r="I37" i="2"/>
  <c r="I59" i="2"/>
  <c r="I29" i="2"/>
  <c r="T7" i="6"/>
  <c r="T8" i="6"/>
  <c r="R6" i="5"/>
  <c r="T5" i="5"/>
  <c r="K104" i="2"/>
  <c r="H98" i="2"/>
  <c r="J44" i="2"/>
  <c r="S5" i="6"/>
  <c r="H57" i="2"/>
  <c r="S8" i="5"/>
  <c r="T7" i="5"/>
  <c r="I50" i="2"/>
  <c r="J60" i="2"/>
  <c r="H68" i="2"/>
  <c r="J89" i="2"/>
  <c r="P5" i="6"/>
  <c r="J71" i="2"/>
  <c r="H66" i="2"/>
  <c r="K83" i="2"/>
  <c r="J18" i="2"/>
  <c r="J43" i="2"/>
  <c r="H102" i="2"/>
  <c r="J73" i="2"/>
  <c r="J52" i="2"/>
  <c r="Q5" i="6"/>
  <c r="B27" i="1"/>
  <c r="K88" i="2"/>
  <c r="I52" i="2"/>
  <c r="H17" i="2"/>
  <c r="Q5" i="5"/>
  <c r="U9" i="6"/>
  <c r="M55" i="8"/>
  <c r="U5" i="5"/>
  <c r="Q9" i="6"/>
  <c r="H44" i="2"/>
  <c r="I106" i="2"/>
  <c r="I42" i="2"/>
  <c r="T6" i="5"/>
  <c r="T6" i="6"/>
  <c r="K67" i="2"/>
  <c r="K81" i="2"/>
  <c r="Q8" i="5"/>
  <c r="Q7" i="5"/>
  <c r="J27" i="2"/>
  <c r="K13" i="2"/>
  <c r="H25" i="2"/>
  <c r="H64" i="2"/>
  <c r="I69" i="2"/>
  <c r="J16" i="2"/>
  <c r="P8" i="5"/>
  <c r="P8" i="6"/>
  <c r="V8" i="6" s="1"/>
  <c r="R9" i="6"/>
  <c r="J84" i="2"/>
  <c r="R8" i="6"/>
  <c r="J105" i="2"/>
  <c r="X8" i="6"/>
  <c r="I64" i="2"/>
  <c r="Q7" i="6"/>
  <c r="K56" i="2"/>
  <c r="U7" i="5"/>
  <c r="I16" i="2"/>
  <c r="S7" i="6"/>
  <c r="R7" i="6"/>
  <c r="W5" i="6"/>
  <c r="I92" i="2"/>
  <c r="J42" i="2"/>
  <c r="P6" i="6"/>
  <c r="I91" i="2"/>
  <c r="K55" i="2"/>
  <c r="I103" i="2"/>
  <c r="K20" i="2"/>
  <c r="J37" i="2"/>
  <c r="H90" i="2"/>
  <c r="H42" i="2"/>
  <c r="Q8" i="6"/>
  <c r="K85" i="2"/>
  <c r="U7" i="6"/>
  <c r="I17" i="2"/>
  <c r="I26" i="2"/>
  <c r="P6" i="5"/>
  <c r="I45" i="2"/>
  <c r="H76" i="2"/>
  <c r="S6" i="6"/>
  <c r="U6" i="6"/>
  <c r="P7" i="5"/>
  <c r="I109" i="2"/>
  <c r="H60" i="2"/>
  <c r="S7" i="5"/>
  <c r="J74" i="2"/>
  <c r="S6" i="5"/>
  <c r="I15" i="2"/>
  <c r="I39" i="2"/>
  <c r="K47" i="2"/>
  <c r="H37" i="2"/>
  <c r="H14" i="2"/>
  <c r="I75" i="2"/>
  <c r="I90" i="2"/>
  <c r="J61" i="2"/>
  <c r="H13" i="2"/>
  <c r="H49" i="2"/>
  <c r="T9" i="6"/>
  <c r="H50" i="2"/>
  <c r="R5" i="5"/>
  <c r="J14" i="2"/>
  <c r="I80" i="2"/>
  <c r="I84" i="2"/>
  <c r="U5" i="6"/>
  <c r="R7" i="5"/>
  <c r="W7" i="6"/>
  <c r="H106" i="2"/>
  <c r="S5" i="5"/>
  <c r="Q6" i="6"/>
  <c r="R6" i="6"/>
  <c r="H35" i="2"/>
  <c r="U8" i="5"/>
  <c r="F6" i="4" a="1"/>
  <c r="E13" i="3"/>
  <c r="B14" i="3"/>
  <c r="E14" i="3"/>
  <c r="B15" i="3"/>
  <c r="E15" i="3"/>
  <c r="B16" i="3"/>
  <c r="E16" i="3"/>
  <c r="B17" i="3"/>
  <c r="E17" i="3"/>
  <c r="B18" i="3"/>
  <c r="E18" i="3"/>
  <c r="B19" i="3"/>
  <c r="E19" i="3"/>
  <c r="B20" i="3"/>
  <c r="E20" i="3"/>
  <c r="B21" i="3"/>
  <c r="E21" i="3"/>
  <c r="B22" i="3"/>
  <c r="B23" i="3"/>
  <c r="E22" i="3"/>
  <c r="E23" i="3"/>
  <c r="B24" i="3"/>
  <c r="E24" i="3"/>
  <c r="B25" i="3"/>
  <c r="E25" i="3"/>
  <c r="B26" i="3"/>
  <c r="B27" i="3"/>
  <c r="E26" i="3"/>
  <c r="E27" i="3"/>
  <c r="B28" i="3"/>
  <c r="E28" i="3"/>
  <c r="B29" i="3"/>
  <c r="B30" i="3"/>
  <c r="E29" i="3"/>
  <c r="B31" i="3"/>
  <c r="E30" i="3"/>
  <c r="E31" i="3"/>
  <c r="B32" i="3"/>
  <c r="E32" i="3"/>
  <c r="B33" i="3"/>
  <c r="B34" i="3"/>
  <c r="E33" i="3"/>
  <c r="B35" i="3"/>
  <c r="E34" i="3"/>
  <c r="E35" i="3"/>
  <c r="B36" i="3"/>
  <c r="E36" i="3"/>
  <c r="B37" i="3"/>
  <c r="E37" i="3"/>
  <c r="B38" i="3"/>
  <c r="B39" i="3"/>
  <c r="E38" i="3"/>
  <c r="E39" i="3"/>
  <c r="B40" i="3"/>
  <c r="E40" i="3"/>
  <c r="B41" i="3"/>
  <c r="E41" i="3"/>
  <c r="B42" i="3"/>
  <c r="E42" i="3"/>
  <c r="B43" i="3"/>
  <c r="E43" i="3"/>
  <c r="B44" i="3"/>
  <c r="E44" i="3"/>
  <c r="B45" i="3"/>
  <c r="E45" i="3"/>
  <c r="B46" i="3"/>
  <c r="B47" i="3"/>
  <c r="E46" i="3"/>
  <c r="E47" i="3"/>
  <c r="B48" i="3"/>
  <c r="E48" i="3"/>
  <c r="B49" i="3"/>
  <c r="E49" i="3"/>
  <c r="B50" i="3"/>
  <c r="B51" i="3"/>
  <c r="E50" i="3"/>
  <c r="E51" i="3"/>
  <c r="B52" i="3"/>
  <c r="E52" i="3"/>
  <c r="B53" i="3"/>
  <c r="E53" i="3"/>
  <c r="B54" i="3"/>
  <c r="B55" i="3"/>
  <c r="E54" i="3"/>
  <c r="E55" i="3"/>
  <c r="B56" i="3"/>
  <c r="E56" i="3"/>
  <c r="B57" i="3"/>
  <c r="E57" i="3"/>
  <c r="B58" i="3"/>
  <c r="B59" i="3"/>
  <c r="E58" i="3"/>
  <c r="E59" i="3"/>
  <c r="B60" i="3"/>
  <c r="E60" i="3"/>
  <c r="B61" i="3"/>
  <c r="E61" i="3"/>
  <c r="B62" i="3"/>
  <c r="B63" i="3"/>
  <c r="E62" i="3"/>
  <c r="E63" i="3"/>
  <c r="B64" i="3"/>
  <c r="E64" i="3"/>
  <c r="B65" i="3"/>
  <c r="E65" i="3"/>
  <c r="B66" i="3"/>
  <c r="B67" i="3"/>
  <c r="E66" i="3"/>
  <c r="E67" i="3"/>
  <c r="B68" i="3"/>
  <c r="E68" i="3"/>
  <c r="B69" i="3"/>
  <c r="E69" i="3"/>
  <c r="B70" i="3"/>
  <c r="B71" i="3"/>
  <c r="E70" i="3"/>
  <c r="E71" i="3"/>
  <c r="B72" i="3"/>
  <c r="E72" i="3"/>
  <c r="B73" i="3"/>
  <c r="E73" i="3"/>
  <c r="B74" i="3"/>
  <c r="B75" i="3"/>
  <c r="E74" i="3"/>
  <c r="E75" i="3"/>
  <c r="B76" i="3"/>
  <c r="E76" i="3"/>
  <c r="B77" i="3"/>
  <c r="E77" i="3"/>
  <c r="B78" i="3"/>
  <c r="B79" i="3"/>
  <c r="E78" i="3"/>
  <c r="E79" i="3"/>
  <c r="B80" i="3"/>
  <c r="E80" i="3"/>
  <c r="B81" i="3"/>
  <c r="E81" i="3"/>
  <c r="B82" i="3"/>
  <c r="B83" i="3"/>
  <c r="E82" i="3"/>
  <c r="E83" i="3"/>
  <c r="B84" i="3"/>
  <c r="E84" i="3"/>
  <c r="B85" i="3"/>
  <c r="E85" i="3"/>
  <c r="B86" i="3"/>
  <c r="B87" i="3"/>
  <c r="E86" i="3"/>
  <c r="E87" i="3"/>
  <c r="B88" i="3"/>
  <c r="E88" i="3"/>
  <c r="B89" i="3"/>
  <c r="E89" i="3"/>
  <c r="B90" i="3"/>
  <c r="B91" i="3"/>
  <c r="E90" i="3"/>
  <c r="E91" i="3"/>
  <c r="B92" i="3"/>
  <c r="E92" i="3"/>
  <c r="B93" i="3"/>
  <c r="E93" i="3"/>
  <c r="B94" i="3"/>
  <c r="B95" i="3"/>
  <c r="E94" i="3"/>
  <c r="E95" i="3"/>
  <c r="B96" i="3"/>
  <c r="E96" i="3"/>
  <c r="B97" i="3"/>
  <c r="E97" i="3"/>
  <c r="B98" i="3"/>
  <c r="B99" i="3"/>
  <c r="E98" i="3"/>
  <c r="E99" i="3"/>
  <c r="B100" i="3"/>
  <c r="E100" i="3"/>
  <c r="B101" i="3"/>
  <c r="E101" i="3"/>
  <c r="B102" i="3"/>
  <c r="B103" i="3"/>
  <c r="E102" i="3"/>
  <c r="E103" i="3"/>
  <c r="B104" i="3"/>
  <c r="E104" i="3"/>
  <c r="B105" i="3"/>
  <c r="E105" i="3"/>
  <c r="B106" i="3"/>
  <c r="E106" i="3"/>
  <c r="B107" i="3"/>
  <c r="E107" i="3"/>
  <c r="B108" i="3"/>
  <c r="E108" i="3"/>
  <c r="B109" i="3"/>
  <c r="E109" i="3"/>
  <c r="B110" i="3"/>
  <c r="B111" i="3"/>
  <c r="E110" i="3"/>
  <c r="E111" i="3"/>
  <c r="B112" i="3"/>
  <c r="E112" i="3"/>
  <c r="B113" i="3"/>
  <c r="E113" i="3"/>
  <c r="B114" i="3"/>
  <c r="B115" i="3"/>
  <c r="E114" i="3"/>
  <c r="E115" i="3"/>
  <c r="B116" i="3"/>
  <c r="E116" i="3"/>
  <c r="B117" i="3"/>
  <c r="E117" i="3"/>
  <c r="B118" i="3"/>
  <c r="B119" i="3"/>
  <c r="E118" i="3"/>
  <c r="E119" i="3"/>
  <c r="B120" i="3"/>
  <c r="E120" i="3"/>
  <c r="B121" i="3"/>
  <c r="E121" i="3"/>
  <c r="B122" i="3"/>
  <c r="B123" i="3"/>
  <c r="E122" i="3"/>
  <c r="E123" i="3"/>
  <c r="B124" i="3"/>
  <c r="E124" i="3"/>
  <c r="B125" i="3"/>
  <c r="E125" i="3"/>
  <c r="B126" i="3"/>
  <c r="B127" i="3"/>
  <c r="E126" i="3"/>
  <c r="E127" i="3"/>
  <c r="B128" i="3"/>
  <c r="E128" i="3"/>
  <c r="B129" i="3"/>
  <c r="B130" i="3"/>
  <c r="E129" i="3"/>
  <c r="B131" i="3"/>
  <c r="E130" i="3"/>
  <c r="E131" i="3"/>
  <c r="B132" i="3"/>
  <c r="E132" i="3"/>
  <c r="B133" i="3"/>
  <c r="E133" i="3"/>
  <c r="B134" i="3"/>
  <c r="B135" i="3"/>
  <c r="E134" i="3"/>
  <c r="E135" i="3"/>
  <c r="B136" i="3"/>
  <c r="E136" i="3"/>
  <c r="B137" i="3"/>
  <c r="E137" i="3"/>
  <c r="B138" i="3"/>
  <c r="E138" i="3"/>
  <c r="B139" i="3"/>
  <c r="E139" i="3"/>
  <c r="B140" i="3"/>
  <c r="B141" i="3"/>
  <c r="E140" i="3"/>
  <c r="E141" i="3"/>
  <c r="B142" i="3"/>
  <c r="E142" i="3"/>
  <c r="B143" i="3"/>
  <c r="B144" i="3"/>
  <c r="E143" i="3"/>
  <c r="B145" i="3"/>
  <c r="E144" i="3"/>
  <c r="E145" i="3"/>
  <c r="B146" i="3"/>
  <c r="E146" i="3"/>
  <c r="B147" i="3"/>
  <c r="B148" i="3"/>
  <c r="E147" i="3"/>
  <c r="B149" i="3"/>
  <c r="E148" i="3"/>
  <c r="B150" i="3"/>
  <c r="E149" i="3"/>
  <c r="B151" i="3"/>
  <c r="E150" i="3"/>
  <c r="B152" i="3"/>
  <c r="E151" i="3"/>
  <c r="E152" i="3"/>
  <c r="B153" i="3"/>
  <c r="B154" i="3"/>
  <c r="E153" i="3"/>
  <c r="E154" i="3"/>
  <c r="B155" i="3"/>
  <c r="B156" i="3"/>
  <c r="E155" i="3"/>
  <c r="B157" i="3"/>
  <c r="E156" i="3"/>
  <c r="B158" i="3"/>
  <c r="E157" i="3"/>
  <c r="B159" i="3"/>
  <c r="E158" i="3"/>
  <c r="E159" i="3"/>
  <c r="B160" i="3"/>
  <c r="B161" i="3"/>
  <c r="E160" i="3"/>
  <c r="B162" i="3"/>
  <c r="E161" i="3"/>
  <c r="E162" i="3"/>
  <c r="B163" i="3"/>
  <c r="B164" i="3"/>
  <c r="E163" i="3"/>
  <c r="B165" i="3"/>
  <c r="E164" i="3"/>
  <c r="E165" i="3"/>
  <c r="B166" i="3"/>
  <c r="B167" i="3"/>
  <c r="E166" i="3"/>
  <c r="B168" i="3"/>
  <c r="E167" i="3"/>
  <c r="E168" i="3"/>
  <c r="B169" i="3"/>
  <c r="B170" i="3"/>
  <c r="E169" i="3"/>
  <c r="B171" i="3"/>
  <c r="E170" i="3"/>
  <c r="B172" i="3"/>
  <c r="E171" i="3"/>
  <c r="E172" i="3"/>
  <c r="B173" i="3"/>
  <c r="B174" i="3"/>
  <c r="E173" i="3"/>
  <c r="B175" i="3"/>
  <c r="E174" i="3"/>
  <c r="E175" i="3"/>
  <c r="B176" i="3"/>
  <c r="B177" i="3"/>
  <c r="E176" i="3"/>
  <c r="E177" i="3"/>
  <c r="B178" i="3"/>
  <c r="B179" i="3"/>
  <c r="E178" i="3"/>
  <c r="E179" i="3"/>
  <c r="B180" i="3"/>
  <c r="B181" i="3"/>
  <c r="E180" i="3"/>
  <c r="E181" i="3"/>
  <c r="B182" i="3"/>
  <c r="B183" i="3"/>
  <c r="E182" i="3"/>
  <c r="B184" i="3"/>
  <c r="E183" i="3"/>
  <c r="B185" i="3"/>
  <c r="E184" i="3"/>
  <c r="E185" i="3"/>
  <c r="B186" i="3"/>
  <c r="B187" i="3"/>
  <c r="E186" i="3"/>
  <c r="B188" i="3"/>
  <c r="E187" i="3"/>
  <c r="B189" i="3"/>
  <c r="E188" i="3"/>
  <c r="B190" i="3"/>
  <c r="E189" i="3"/>
  <c r="E190" i="3"/>
  <c r="B191" i="3"/>
  <c r="E191" i="3"/>
  <c r="B192" i="3"/>
  <c r="B193" i="3"/>
  <c r="E192" i="3"/>
  <c r="B194" i="3"/>
  <c r="E193" i="3"/>
  <c r="B195" i="3"/>
  <c r="E194" i="3"/>
  <c r="B196" i="3"/>
  <c r="E195" i="3"/>
  <c r="B197" i="3"/>
  <c r="E196" i="3"/>
  <c r="B198" i="3"/>
  <c r="E197" i="3"/>
  <c r="B199" i="3"/>
  <c r="E198" i="3"/>
  <c r="B200" i="3"/>
  <c r="E199" i="3"/>
  <c r="B201" i="3"/>
  <c r="E200" i="3"/>
  <c r="B202" i="3"/>
  <c r="E201" i="3"/>
  <c r="B203" i="3"/>
  <c r="E202" i="3"/>
  <c r="B204" i="3"/>
  <c r="E203" i="3"/>
  <c r="B205" i="3"/>
  <c r="E204" i="3"/>
  <c r="B206" i="3"/>
  <c r="E205" i="3"/>
  <c r="B207" i="3"/>
  <c r="E206" i="3"/>
  <c r="B208" i="3"/>
  <c r="E207" i="3"/>
  <c r="B209" i="3"/>
  <c r="E208" i="3"/>
  <c r="B210" i="3"/>
  <c r="E209" i="3"/>
  <c r="B211" i="3"/>
  <c r="E210" i="3"/>
  <c r="E211" i="3"/>
  <c r="B212" i="3"/>
  <c r="B213" i="3"/>
  <c r="E212" i="3"/>
  <c r="B214" i="3"/>
  <c r="E213" i="3"/>
  <c r="B215" i="3"/>
  <c r="E214" i="3"/>
  <c r="E215" i="3"/>
  <c r="B216" i="3"/>
  <c r="B217" i="3"/>
  <c r="E216" i="3"/>
  <c r="E217" i="3"/>
  <c r="B218" i="3"/>
  <c r="B219" i="3"/>
  <c r="E218" i="3"/>
  <c r="E219" i="3"/>
  <c r="B220" i="3"/>
  <c r="B221" i="3"/>
  <c r="E220" i="3"/>
  <c r="E221" i="3"/>
  <c r="B222" i="3"/>
  <c r="B223" i="3"/>
  <c r="E222" i="3"/>
  <c r="E223" i="3"/>
  <c r="B224" i="3"/>
  <c r="B225" i="3"/>
  <c r="E224" i="3"/>
  <c r="E225" i="3"/>
  <c r="B226" i="3"/>
  <c r="B227" i="3"/>
  <c r="E226" i="3"/>
  <c r="E227" i="3"/>
  <c r="B228" i="3"/>
  <c r="B229" i="3"/>
  <c r="E228" i="3"/>
  <c r="B230" i="3"/>
  <c r="E229" i="3"/>
  <c r="B231" i="3"/>
  <c r="E230" i="3"/>
  <c r="E231" i="3"/>
  <c r="B232" i="3"/>
  <c r="B233" i="3"/>
  <c r="E232" i="3"/>
  <c r="E233" i="3"/>
  <c r="B234" i="3"/>
  <c r="E234" i="3"/>
  <c r="B235" i="3"/>
  <c r="E235" i="3"/>
  <c r="B236" i="3"/>
  <c r="B237" i="3"/>
  <c r="E236" i="3"/>
  <c r="E237" i="3"/>
  <c r="B238" i="3"/>
  <c r="B239" i="3"/>
  <c r="E238" i="3"/>
  <c r="E239" i="3"/>
  <c r="B240" i="3"/>
  <c r="B241" i="3"/>
  <c r="E240" i="3"/>
  <c r="E241" i="3"/>
  <c r="B242" i="3"/>
  <c r="B243" i="3"/>
  <c r="E242" i="3"/>
  <c r="E243" i="3"/>
  <c r="B244" i="3"/>
  <c r="B245" i="3"/>
  <c r="E244" i="3"/>
  <c r="E245" i="3"/>
  <c r="B246" i="3"/>
  <c r="B247" i="3"/>
  <c r="E246" i="3"/>
  <c r="E247" i="3"/>
  <c r="B248" i="3"/>
  <c r="B249" i="3"/>
  <c r="E248" i="3"/>
  <c r="B250" i="3"/>
  <c r="E249" i="3"/>
  <c r="B251" i="3"/>
  <c r="E250" i="3"/>
  <c r="E251" i="3"/>
  <c r="B252" i="3"/>
  <c r="B253" i="3"/>
  <c r="E252" i="3"/>
  <c r="E253" i="3"/>
  <c r="B254" i="3"/>
  <c r="B255" i="3"/>
  <c r="E254" i="3"/>
  <c r="E255" i="3"/>
  <c r="B256" i="3"/>
  <c r="B257" i="3"/>
  <c r="E256" i="3"/>
  <c r="E257" i="3"/>
  <c r="B258" i="3"/>
  <c r="B259" i="3"/>
  <c r="E258" i="3"/>
  <c r="E259" i="3"/>
  <c r="B260" i="3"/>
  <c r="B261" i="3"/>
  <c r="E260" i="3"/>
  <c r="E261" i="3"/>
  <c r="B262" i="3"/>
  <c r="B263" i="3"/>
  <c r="E262" i="3"/>
  <c r="E263" i="3"/>
  <c r="B264" i="3"/>
  <c r="B265" i="3"/>
  <c r="E264" i="3"/>
  <c r="E265" i="3"/>
  <c r="B266" i="3"/>
  <c r="B267" i="3"/>
  <c r="E266" i="3"/>
  <c r="E267" i="3"/>
  <c r="B268" i="3"/>
  <c r="B269" i="3"/>
  <c r="E268" i="3"/>
  <c r="E269" i="3"/>
  <c r="B270" i="3"/>
  <c r="B271" i="3"/>
  <c r="E270" i="3"/>
  <c r="B272" i="3"/>
  <c r="E271" i="3"/>
  <c r="B273" i="3"/>
  <c r="E272" i="3"/>
  <c r="E273" i="3"/>
  <c r="B274" i="3"/>
  <c r="B275" i="3"/>
  <c r="E274" i="3"/>
  <c r="E275" i="3"/>
  <c r="B276" i="3"/>
  <c r="B277" i="3"/>
  <c r="E276" i="3"/>
  <c r="E277" i="3"/>
  <c r="B278" i="3"/>
  <c r="B279" i="3"/>
  <c r="E278" i="3"/>
  <c r="E279" i="3"/>
  <c r="B280" i="3"/>
  <c r="B281" i="3"/>
  <c r="E280" i="3"/>
  <c r="E281" i="3"/>
  <c r="B282" i="3"/>
  <c r="B283" i="3"/>
  <c r="E282" i="3"/>
  <c r="E283" i="3"/>
  <c r="B284" i="3"/>
  <c r="B285" i="3"/>
  <c r="E284" i="3"/>
  <c r="E285" i="3"/>
  <c r="B286" i="3"/>
  <c r="B287" i="3"/>
  <c r="E286" i="3"/>
  <c r="B288" i="3"/>
  <c r="E287" i="3"/>
  <c r="B289" i="3"/>
  <c r="E288" i="3"/>
  <c r="E289" i="3"/>
  <c r="B290" i="3"/>
  <c r="B291" i="3"/>
  <c r="E290" i="3"/>
  <c r="E291" i="3"/>
  <c r="B292" i="3"/>
  <c r="E292" i="3"/>
  <c r="B293" i="3"/>
  <c r="B294" i="3"/>
  <c r="E293" i="3"/>
  <c r="B295" i="3"/>
  <c r="E294" i="3"/>
  <c r="E295" i="3"/>
  <c r="B296" i="3"/>
  <c r="B297" i="3"/>
  <c r="E296" i="3"/>
  <c r="E297" i="3"/>
  <c r="B298" i="3"/>
  <c r="E298" i="3"/>
  <c r="B299" i="3"/>
  <c r="E299" i="3"/>
  <c r="B300" i="3"/>
  <c r="B301" i="3"/>
  <c r="E300" i="3"/>
  <c r="E301" i="3"/>
  <c r="B302" i="3"/>
  <c r="E302" i="3"/>
  <c r="B303" i="3"/>
  <c r="E303" i="3"/>
  <c r="B304" i="3"/>
  <c r="B305" i="3"/>
  <c r="E304" i="3"/>
  <c r="E305" i="3"/>
  <c r="B306" i="3"/>
  <c r="E306" i="3"/>
  <c r="B307" i="3"/>
  <c r="E307" i="3"/>
  <c r="B308" i="3"/>
  <c r="B309" i="3"/>
  <c r="E308" i="3"/>
  <c r="E309" i="3"/>
  <c r="B310" i="3"/>
  <c r="E310" i="3"/>
  <c r="B311" i="3"/>
  <c r="E311" i="3"/>
  <c r="B312" i="3"/>
  <c r="E312" i="3"/>
  <c r="B313" i="3"/>
  <c r="B314" i="3"/>
  <c r="E313" i="3"/>
  <c r="B315" i="3"/>
  <c r="E314" i="3"/>
  <c r="E315" i="3"/>
  <c r="B316" i="3"/>
  <c r="E316" i="3"/>
  <c r="B317" i="3"/>
  <c r="E317" i="3"/>
  <c r="B318" i="3"/>
  <c r="B319" i="3"/>
  <c r="E318" i="3"/>
  <c r="B320" i="3"/>
  <c r="E319" i="3"/>
  <c r="E320" i="3"/>
  <c r="B321" i="3"/>
  <c r="E321" i="3"/>
  <c r="B322" i="3"/>
  <c r="B323" i="3"/>
  <c r="E322" i="3"/>
  <c r="E323" i="3"/>
  <c r="B324" i="3"/>
  <c r="E324" i="3"/>
  <c r="B325" i="3"/>
  <c r="E325" i="3"/>
  <c r="B326" i="3"/>
  <c r="B327" i="3"/>
  <c r="E326" i="3"/>
  <c r="E327" i="3"/>
  <c r="B328" i="3"/>
  <c r="E328" i="3"/>
  <c r="B329" i="3"/>
  <c r="E329" i="3"/>
  <c r="B330" i="3"/>
  <c r="B331" i="3"/>
  <c r="E330" i="3"/>
  <c r="E331" i="3"/>
  <c r="B332" i="3"/>
  <c r="E332" i="3"/>
  <c r="B333" i="3"/>
  <c r="E333" i="3"/>
  <c r="B334" i="3"/>
  <c r="B335" i="3"/>
  <c r="E334" i="3"/>
  <c r="E335" i="3"/>
  <c r="B336" i="3"/>
  <c r="E336" i="3"/>
  <c r="B337" i="3"/>
  <c r="B338" i="3"/>
  <c r="E337" i="3"/>
  <c r="B339" i="3"/>
  <c r="E338" i="3"/>
  <c r="E339" i="3"/>
  <c r="B340" i="3"/>
  <c r="E340" i="3"/>
  <c r="B341" i="3"/>
  <c r="E341" i="3"/>
  <c r="B342" i="3"/>
  <c r="B343" i="3"/>
  <c r="E342" i="3"/>
  <c r="E343" i="3"/>
  <c r="B344" i="3"/>
  <c r="E344" i="3"/>
  <c r="B345" i="3"/>
  <c r="E345" i="3"/>
  <c r="B346" i="3"/>
  <c r="B347" i="3"/>
  <c r="E346" i="3"/>
  <c r="E347" i="3"/>
  <c r="B348" i="3"/>
  <c r="E348" i="3"/>
  <c r="B349" i="3"/>
  <c r="B350" i="3"/>
  <c r="E349" i="3"/>
  <c r="B351" i="3"/>
  <c r="E350" i="3"/>
  <c r="E351" i="3"/>
  <c r="B352" i="3"/>
  <c r="E352" i="3"/>
  <c r="B353" i="3"/>
  <c r="B354" i="3"/>
  <c r="E353" i="3"/>
  <c r="B355" i="3"/>
  <c r="E354" i="3"/>
  <c r="E355" i="3"/>
  <c r="B356" i="3"/>
  <c r="E356" i="3"/>
  <c r="B357" i="3"/>
  <c r="E357" i="3"/>
  <c r="B358" i="3"/>
  <c r="B359" i="3"/>
  <c r="E358" i="3"/>
  <c r="E359" i="3"/>
  <c r="B360" i="3"/>
  <c r="E360" i="3"/>
  <c r="B361" i="3"/>
  <c r="E361" i="3"/>
  <c r="B362" i="3"/>
  <c r="B363" i="3"/>
  <c r="E362" i="3"/>
  <c r="B364" i="3"/>
  <c r="E363" i="3"/>
  <c r="B365" i="3"/>
  <c r="E364" i="3"/>
  <c r="B366" i="3"/>
  <c r="E365" i="3"/>
  <c r="E366" i="3"/>
  <c r="B367" i="3"/>
  <c r="B368" i="3"/>
  <c r="E367" i="3"/>
  <c r="B369" i="3"/>
  <c r="E368" i="3"/>
  <c r="B370" i="3"/>
  <c r="E369" i="3"/>
  <c r="E370" i="3"/>
  <c r="C370" i="3" l="1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N89" i="2"/>
  <c r="N75" i="2"/>
  <c r="N76" i="2"/>
  <c r="N74" i="2"/>
  <c r="M37" i="2"/>
  <c r="M36" i="2"/>
  <c r="P47" i="2"/>
  <c r="P46" i="2"/>
  <c r="P48" i="2"/>
  <c r="M89" i="2"/>
  <c r="M90" i="2"/>
  <c r="O36" i="2"/>
  <c r="O37" i="2"/>
  <c r="O38" i="2"/>
  <c r="P19" i="2"/>
  <c r="N102" i="2"/>
  <c r="P54" i="2"/>
  <c r="N93" i="2"/>
  <c r="N69" i="2"/>
  <c r="N68" i="2"/>
  <c r="N70" i="2"/>
  <c r="M63" i="2"/>
  <c r="M64" i="2"/>
  <c r="M24" i="2"/>
  <c r="P14" i="2"/>
  <c r="P13" i="2"/>
  <c r="O28" i="2"/>
  <c r="O27" i="2"/>
  <c r="O26" i="2"/>
  <c r="P81" i="2"/>
  <c r="P80" i="2"/>
  <c r="P67" i="2"/>
  <c r="P68" i="2"/>
  <c r="P66" i="2"/>
  <c r="M101" i="2"/>
  <c r="O18" i="2"/>
  <c r="O19" i="2"/>
  <c r="P82" i="2"/>
  <c r="P83" i="2"/>
  <c r="M65" i="2"/>
  <c r="M66" i="2"/>
  <c r="O70" i="2"/>
  <c r="O71" i="2"/>
  <c r="N50" i="2"/>
  <c r="N49" i="2"/>
  <c r="P73" i="2"/>
  <c r="P71" i="2"/>
  <c r="P72" i="2"/>
  <c r="M110" i="2"/>
  <c r="P23" i="2"/>
  <c r="P24" i="2"/>
  <c r="P94" i="2"/>
  <c r="P92" i="2"/>
  <c r="P93" i="2"/>
  <c r="O67" i="2"/>
  <c r="O68" i="2"/>
  <c r="O69" i="2"/>
  <c r="P42" i="2"/>
  <c r="O110" i="2"/>
  <c r="P50" i="2"/>
  <c r="P51" i="2"/>
  <c r="P49" i="2"/>
  <c r="O57" i="2"/>
  <c r="O56" i="2"/>
  <c r="O55" i="2"/>
  <c r="C13" i="3"/>
  <c r="M102" i="2"/>
  <c r="M103" i="2"/>
  <c r="N101" i="2"/>
  <c r="N100" i="2"/>
  <c r="M70" i="2"/>
  <c r="M104" i="2"/>
  <c r="M62" i="2"/>
  <c r="O103" i="2"/>
  <c r="M46" i="2"/>
  <c r="M87" i="2"/>
  <c r="M86" i="2"/>
  <c r="M88" i="2"/>
  <c r="P22" i="2"/>
  <c r="P21" i="2"/>
  <c r="P20" i="2"/>
  <c r="M56" i="2"/>
  <c r="M57" i="2"/>
  <c r="N78" i="2"/>
  <c r="P41" i="2"/>
  <c r="P39" i="2"/>
  <c r="P40" i="2"/>
  <c r="N91" i="2"/>
  <c r="N90" i="2"/>
  <c r="N92" i="2"/>
  <c r="M105" i="2"/>
  <c r="N110" i="2"/>
  <c r="N108" i="2"/>
  <c r="N109" i="2"/>
  <c r="P103" i="2"/>
  <c r="P104" i="2"/>
  <c r="P105" i="2"/>
  <c r="O108" i="2"/>
  <c r="O107" i="2"/>
  <c r="O109" i="2"/>
  <c r="N40" i="2"/>
  <c r="N39" i="2"/>
  <c r="M67" i="2"/>
  <c r="M69" i="2"/>
  <c r="M68" i="2"/>
  <c r="N84" i="2"/>
  <c r="N85" i="2"/>
  <c r="N83" i="2"/>
  <c r="M77" i="2"/>
  <c r="N63" i="2"/>
  <c r="M58" i="2"/>
  <c r="M106" i="2"/>
  <c r="O59" i="2"/>
  <c r="M51" i="2"/>
  <c r="N18" i="2"/>
  <c r="O84" i="2"/>
  <c r="O85" i="2"/>
  <c r="O83" i="2"/>
  <c r="P88" i="2"/>
  <c r="P87" i="2"/>
  <c r="P89" i="2"/>
  <c r="N29" i="2"/>
  <c r="N30" i="2"/>
  <c r="N28" i="2"/>
  <c r="M21" i="2"/>
  <c r="M20" i="2"/>
  <c r="M19" i="2"/>
  <c r="O62" i="2"/>
  <c r="O60" i="2"/>
  <c r="O61" i="2"/>
  <c r="O16" i="2"/>
  <c r="O17" i="2"/>
  <c r="O74" i="2"/>
  <c r="O72" i="2"/>
  <c r="O73" i="2"/>
  <c r="N57" i="2"/>
  <c r="M31" i="2"/>
  <c r="M30" i="2"/>
  <c r="M32" i="2"/>
  <c r="M25" i="2"/>
  <c r="M26" i="2"/>
  <c r="M27" i="2"/>
  <c r="N104" i="2"/>
  <c r="N103" i="2"/>
  <c r="N16" i="2"/>
  <c r="N17" i="2"/>
  <c r="N15" i="2"/>
  <c r="M43" i="2"/>
  <c r="M44" i="2"/>
  <c r="M45" i="2"/>
  <c r="M91" i="2"/>
  <c r="M93" i="2"/>
  <c r="M92" i="2"/>
  <c r="M40" i="2"/>
  <c r="M42" i="2"/>
  <c r="M41" i="2"/>
  <c r="C40" i="6"/>
  <c r="N79" i="2"/>
  <c r="N80" i="2"/>
  <c r="N81" i="2"/>
  <c r="N60" i="2"/>
  <c r="N59" i="2"/>
  <c r="N58" i="2"/>
  <c r="N45" i="2"/>
  <c r="N46" i="2"/>
  <c r="N44" i="2"/>
  <c r="O40" i="2"/>
  <c r="O41" i="2"/>
  <c r="O42" i="2"/>
  <c r="M107" i="2"/>
  <c r="M109" i="2"/>
  <c r="M108" i="2"/>
  <c r="M49" i="2"/>
  <c r="M48" i="2"/>
  <c r="M50" i="2"/>
  <c r="P37" i="2"/>
  <c r="P38" i="2"/>
  <c r="P36" i="2"/>
  <c r="O44" i="2"/>
  <c r="O43" i="2"/>
  <c r="O45" i="2"/>
  <c r="M38" i="2"/>
  <c r="M39" i="2"/>
  <c r="P86" i="2"/>
  <c r="P84" i="2"/>
  <c r="P85" i="2"/>
  <c r="M15" i="2"/>
  <c r="M14" i="2"/>
  <c r="N14" i="2"/>
  <c r="N20" i="2"/>
  <c r="N21" i="2"/>
  <c r="N19" i="2"/>
  <c r="O13" i="2"/>
  <c r="O15" i="2"/>
  <c r="O14" i="2"/>
  <c r="O106" i="2"/>
  <c r="O104" i="2"/>
  <c r="O105" i="2"/>
  <c r="N36" i="2"/>
  <c r="N37" i="2"/>
  <c r="N38" i="2"/>
  <c r="M16" i="2"/>
  <c r="M18" i="2"/>
  <c r="M17" i="2"/>
  <c r="N43" i="2"/>
  <c r="N42" i="2"/>
  <c r="N41" i="2"/>
  <c r="P57" i="2"/>
  <c r="P56" i="2"/>
  <c r="P55" i="2"/>
  <c r="N65" i="2"/>
  <c r="N64" i="2"/>
  <c r="N66" i="2"/>
  <c r="M98" i="2"/>
  <c r="M97" i="2"/>
  <c r="M99" i="2"/>
  <c r="M13" i="2"/>
  <c r="M76" i="2"/>
  <c r="M74" i="2"/>
  <c r="M75" i="2"/>
  <c r="P26" i="2"/>
  <c r="P27" i="2"/>
  <c r="P25" i="2"/>
  <c r="O89" i="2"/>
  <c r="O88" i="2"/>
  <c r="O90" i="2"/>
  <c r="N26" i="2"/>
  <c r="N25" i="2"/>
  <c r="N27" i="2"/>
  <c r="O51" i="2"/>
  <c r="O52" i="2"/>
  <c r="O53" i="2"/>
  <c r="M60" i="2"/>
  <c r="M59" i="2"/>
  <c r="M61" i="2"/>
  <c r="O75" i="2"/>
  <c r="O76" i="2"/>
  <c r="O77" i="2"/>
  <c r="N51" i="2"/>
  <c r="N54" i="2"/>
  <c r="N53" i="2"/>
  <c r="N52" i="2"/>
  <c r="N106" i="2"/>
  <c r="N107" i="2"/>
  <c r="N105" i="2"/>
  <c r="M35" i="2"/>
  <c r="M34" i="2"/>
  <c r="M33" i="2"/>
  <c r="O11" i="6"/>
  <c r="F22" i="4"/>
  <c r="F23" i="4"/>
  <c r="F13" i="4"/>
  <c r="F25" i="4"/>
  <c r="F12" i="4"/>
  <c r="F8" i="4"/>
  <c r="F24" i="4"/>
  <c r="F14" i="4"/>
  <c r="F11" i="4"/>
  <c r="F16" i="4"/>
  <c r="F17" i="4"/>
  <c r="F20" i="4"/>
  <c r="F7" i="4"/>
  <c r="F26" i="4"/>
  <c r="F15" i="4"/>
  <c r="F10" i="4"/>
  <c r="F19" i="4"/>
  <c r="F9" i="4"/>
  <c r="F21" i="4"/>
  <c r="F6" i="4"/>
  <c r="F18" i="4"/>
  <c r="O10" i="5"/>
  <c r="C27" i="1"/>
  <c r="C26" i="1"/>
  <c r="W6" i="6"/>
  <c r="P9" i="5"/>
  <c r="P10" i="6"/>
  <c r="Y6" i="6"/>
  <c r="H16" i="4"/>
  <c r="H17" i="4"/>
  <c r="H24" i="4"/>
  <c r="H19" i="4"/>
  <c r="W6" i="5"/>
  <c r="H10" i="4"/>
  <c r="G13" i="4"/>
  <c r="X7" i="5"/>
  <c r="H6" i="4"/>
  <c r="G16" i="4"/>
  <c r="G10" i="4"/>
  <c r="R10" i="6"/>
  <c r="G20" i="4"/>
  <c r="S10" i="6"/>
  <c r="G11" i="4"/>
  <c r="V6" i="5"/>
  <c r="V9" i="6"/>
  <c r="W9" i="6"/>
  <c r="V7" i="6"/>
  <c r="G18" i="4"/>
  <c r="C43" i="6"/>
  <c r="T9" i="5"/>
  <c r="G6" i="4"/>
  <c r="Y11" i="6"/>
  <c r="H18" i="4"/>
  <c r="Y9" i="6"/>
  <c r="H7" i="4"/>
  <c r="V8" i="5"/>
  <c r="W8" i="6"/>
  <c r="S9" i="5"/>
  <c r="V5" i="6"/>
  <c r="G12" i="4"/>
  <c r="G17" i="4"/>
  <c r="T10" i="6"/>
  <c r="X7" i="6"/>
  <c r="B28" i="1"/>
  <c r="G14" i="4"/>
  <c r="G15" i="4"/>
  <c r="X6" i="5"/>
  <c r="X5" i="5"/>
  <c r="Y10" i="6"/>
  <c r="H12" i="4"/>
  <c r="C41" i="6"/>
  <c r="H22" i="4"/>
  <c r="H23" i="4"/>
  <c r="R9" i="5"/>
  <c r="U9" i="5"/>
  <c r="X6" i="6"/>
  <c r="Q10" i="6"/>
  <c r="G25" i="4"/>
  <c r="G9" i="4"/>
  <c r="G7" i="4"/>
  <c r="H8" i="4"/>
  <c r="Y5" i="6"/>
  <c r="H13" i="4"/>
  <c r="C44" i="6"/>
  <c r="G19" i="4"/>
  <c r="V5" i="5"/>
  <c r="Q9" i="5"/>
  <c r="H25" i="4"/>
  <c r="G24" i="4"/>
  <c r="H9" i="4"/>
  <c r="V6" i="6"/>
  <c r="H20" i="4"/>
  <c r="G23" i="4"/>
  <c r="W8" i="5"/>
  <c r="H14" i="4"/>
  <c r="H15" i="4"/>
  <c r="Y7" i="6"/>
  <c r="W5" i="5"/>
  <c r="W7" i="5"/>
  <c r="U10" i="6"/>
  <c r="C42" i="6"/>
  <c r="H26" i="4"/>
  <c r="X5" i="6"/>
  <c r="H11" i="4"/>
  <c r="G22" i="4"/>
  <c r="G8" i="4"/>
  <c r="G21" i="4"/>
  <c r="H21" i="4"/>
  <c r="X8" i="5"/>
  <c r="V7" i="5"/>
  <c r="X9" i="6"/>
  <c r="Y8" i="6"/>
  <c r="G26" i="4"/>
  <c r="C28" i="1" l="1"/>
  <c r="O12" i="6"/>
  <c r="I7" i="4"/>
  <c r="J7" i="4" s="1"/>
  <c r="K7" i="4" s="1"/>
  <c r="M7" i="4" s="1"/>
  <c r="I11" i="4"/>
  <c r="J11" i="4" s="1"/>
  <c r="K11" i="4" s="1"/>
  <c r="M11" i="4" s="1"/>
  <c r="I21" i="4"/>
  <c r="J21" i="4" s="1"/>
  <c r="K21" i="4" s="1"/>
  <c r="M21" i="4" s="1"/>
  <c r="I15" i="4"/>
  <c r="J15" i="4" s="1"/>
  <c r="K15" i="4" s="1"/>
  <c r="M15" i="4" s="1"/>
  <c r="I26" i="4"/>
  <c r="J26" i="4" s="1"/>
  <c r="K26" i="4" s="1"/>
  <c r="M26" i="4" s="1"/>
  <c r="I22" i="4"/>
  <c r="J22" i="4" s="1"/>
  <c r="K22" i="4" s="1"/>
  <c r="M22" i="4" s="1"/>
  <c r="I16" i="4"/>
  <c r="J16" i="4" s="1"/>
  <c r="K16" i="4" s="1"/>
  <c r="M16" i="4" s="1"/>
  <c r="I18" i="4"/>
  <c r="J18" i="4" s="1"/>
  <c r="K18" i="4" s="1"/>
  <c r="M18" i="4" s="1"/>
  <c r="I25" i="4"/>
  <c r="J25" i="4" s="1"/>
  <c r="K25" i="4" s="1"/>
  <c r="M25" i="4" s="1"/>
  <c r="I14" i="4"/>
  <c r="J14" i="4" s="1"/>
  <c r="K14" i="4" s="1"/>
  <c r="M14" i="4" s="1"/>
  <c r="I10" i="4"/>
  <c r="J10" i="4" s="1"/>
  <c r="K10" i="4" s="1"/>
  <c r="M10" i="4" s="1"/>
  <c r="I17" i="4"/>
  <c r="J17" i="4" s="1"/>
  <c r="K17" i="4" s="1"/>
  <c r="M17" i="4" s="1"/>
  <c r="I9" i="4"/>
  <c r="J9" i="4" s="1"/>
  <c r="K9" i="4" s="1"/>
  <c r="M9" i="4" s="1"/>
  <c r="I24" i="4"/>
  <c r="J24" i="4" s="1"/>
  <c r="K24" i="4" s="1"/>
  <c r="M24" i="4" s="1"/>
  <c r="I19" i="4"/>
  <c r="J19" i="4" s="1"/>
  <c r="K19" i="4" s="1"/>
  <c r="M19" i="4" s="1"/>
  <c r="I20" i="4"/>
  <c r="J20" i="4" s="1"/>
  <c r="K20" i="4" s="1"/>
  <c r="M20" i="4" s="1"/>
  <c r="I8" i="4"/>
  <c r="J8" i="4" s="1"/>
  <c r="K8" i="4" s="1"/>
  <c r="M8" i="4" s="1"/>
  <c r="I12" i="4"/>
  <c r="J12" i="4" s="1"/>
  <c r="K12" i="4" s="1"/>
  <c r="M12" i="4" s="1"/>
  <c r="I13" i="4"/>
  <c r="J13" i="4" s="1"/>
  <c r="K13" i="4" s="1"/>
  <c r="M13" i="4" s="1"/>
  <c r="I23" i="4"/>
  <c r="J23" i="4" s="1"/>
  <c r="K23" i="4" s="1"/>
  <c r="M23" i="4" s="1"/>
  <c r="O11" i="5"/>
  <c r="W9" i="5"/>
  <c r="Q10" i="5"/>
  <c r="Y12" i="6"/>
  <c r="P11" i="6"/>
  <c r="P10" i="5"/>
  <c r="U10" i="5"/>
  <c r="V9" i="5"/>
  <c r="R10" i="5"/>
  <c r="V10" i="6"/>
  <c r="S10" i="5"/>
  <c r="W10" i="6"/>
  <c r="Q11" i="6"/>
  <c r="R11" i="6"/>
  <c r="T10" i="5"/>
  <c r="B29" i="1"/>
  <c r="X9" i="5"/>
  <c r="X10" i="6"/>
  <c r="T11" i="6"/>
  <c r="S11" i="6"/>
  <c r="U11" i="6"/>
  <c r="C29" i="1" l="1"/>
  <c r="O13" i="6"/>
  <c r="O12" i="5"/>
  <c r="B30" i="1"/>
  <c r="V11" i="6"/>
  <c r="X10" i="5"/>
  <c r="Y13" i="6"/>
  <c r="X11" i="6"/>
  <c r="V10" i="5"/>
  <c r="R12" i="6"/>
  <c r="S11" i="5"/>
  <c r="P11" i="5"/>
  <c r="W10" i="5"/>
  <c r="P12" i="6"/>
  <c r="T11" i="5"/>
  <c r="U11" i="5"/>
  <c r="Q11" i="5"/>
  <c r="W11" i="6"/>
  <c r="T12" i="6"/>
  <c r="U12" i="6"/>
  <c r="R11" i="5"/>
  <c r="Q12" i="6"/>
  <c r="S12" i="6"/>
  <c r="C30" i="1" l="1"/>
  <c r="O14" i="6"/>
  <c r="O13" i="5"/>
  <c r="R12" i="5"/>
  <c r="S13" i="6"/>
  <c r="Y14" i="6"/>
  <c r="V11" i="5"/>
  <c r="T13" i="6"/>
  <c r="R13" i="6"/>
  <c r="W11" i="5"/>
  <c r="B31" i="1"/>
  <c r="U12" i="5"/>
  <c r="X11" i="5"/>
  <c r="P12" i="5"/>
  <c r="Q12" i="5"/>
  <c r="X12" i="6"/>
  <c r="Q13" i="6"/>
  <c r="W12" i="6"/>
  <c r="U13" i="6"/>
  <c r="T12" i="5"/>
  <c r="V12" i="6"/>
  <c r="P13" i="6"/>
  <c r="S12" i="5"/>
  <c r="C31" i="1" l="1"/>
  <c r="O15" i="6"/>
  <c r="O14" i="5"/>
  <c r="R13" i="5"/>
  <c r="V12" i="5"/>
  <c r="S13" i="5"/>
  <c r="B32" i="1"/>
  <c r="V13" i="6"/>
  <c r="R14" i="6"/>
  <c r="U13" i="5"/>
  <c r="P14" i="6"/>
  <c r="X12" i="5"/>
  <c r="P13" i="5"/>
  <c r="U14" i="6"/>
  <c r="T14" i="6"/>
  <c r="W12" i="5"/>
  <c r="T13" i="5"/>
  <c r="S14" i="6"/>
  <c r="Q14" i="6"/>
  <c r="W14" i="6" s="1"/>
  <c r="X13" i="6"/>
  <c r="Y15" i="6"/>
  <c r="W13" i="6"/>
  <c r="Q13" i="5"/>
  <c r="C32" i="1" l="1"/>
  <c r="O16" i="6"/>
  <c r="O15" i="5"/>
  <c r="P15" i="6"/>
  <c r="Q15" i="6"/>
  <c r="V14" i="6"/>
  <c r="S14" i="5"/>
  <c r="S15" i="6"/>
  <c r="W13" i="5"/>
  <c r="Q14" i="5"/>
  <c r="R14" i="5"/>
  <c r="U14" i="5"/>
  <c r="V13" i="5"/>
  <c r="P14" i="5"/>
  <c r="T14" i="5"/>
  <c r="Y16" i="6"/>
  <c r="T15" i="6"/>
  <c r="X13" i="5"/>
  <c r="R15" i="6"/>
  <c r="X14" i="6"/>
  <c r="B33" i="1"/>
  <c r="U15" i="6"/>
  <c r="C33" i="1" l="1"/>
  <c r="O17" i="6"/>
  <c r="O16" i="5"/>
  <c r="Q15" i="5"/>
  <c r="X14" i="5"/>
  <c r="R15" i="5"/>
  <c r="U15" i="5"/>
  <c r="P15" i="5"/>
  <c r="Q16" i="6"/>
  <c r="T16" i="6"/>
  <c r="S16" i="6"/>
  <c r="R16" i="6"/>
  <c r="U16" i="6"/>
  <c r="W14" i="5"/>
  <c r="V15" i="6"/>
  <c r="P16" i="6"/>
  <c r="W15" i="6"/>
  <c r="Y17" i="6"/>
  <c r="B34" i="1"/>
  <c r="X15" i="6"/>
  <c r="T15" i="5"/>
  <c r="V14" i="5"/>
  <c r="S15" i="5"/>
  <c r="C34" i="1" l="1"/>
  <c r="O18" i="6"/>
  <c r="O17" i="5"/>
  <c r="S16" i="5"/>
  <c r="P16" i="5"/>
  <c r="V15" i="5"/>
  <c r="Q16" i="5"/>
  <c r="V16" i="6"/>
  <c r="P17" i="6"/>
  <c r="R17" i="6"/>
  <c r="Q17" i="6"/>
  <c r="U16" i="5"/>
  <c r="U17" i="6"/>
  <c r="T17" i="6"/>
  <c r="X15" i="5"/>
  <c r="W16" i="6"/>
  <c r="B35" i="1"/>
  <c r="Y18" i="6"/>
  <c r="T16" i="5"/>
  <c r="W15" i="5"/>
  <c r="S17" i="6"/>
  <c r="X16" i="6"/>
  <c r="R16" i="5"/>
  <c r="C35" i="1" l="1"/>
  <c r="O19" i="6"/>
  <c r="O18" i="5"/>
  <c r="S18" i="6"/>
  <c r="R17" i="5"/>
  <c r="U18" i="6"/>
  <c r="X17" i="6"/>
  <c r="T17" i="5"/>
  <c r="W16" i="5"/>
  <c r="Y19" i="6"/>
  <c r="T18" i="6"/>
  <c r="P18" i="6"/>
  <c r="S17" i="5"/>
  <c r="P17" i="5"/>
  <c r="U17" i="5"/>
  <c r="V17" i="6"/>
  <c r="B36" i="1"/>
  <c r="Q18" i="6"/>
  <c r="W17" i="6"/>
  <c r="V16" i="5"/>
  <c r="Q17" i="5"/>
  <c r="X16" i="5"/>
  <c r="R18" i="6"/>
  <c r="C36" i="1" l="1"/>
  <c r="O20" i="6"/>
  <c r="O19" i="5"/>
  <c r="R19" i="6"/>
  <c r="V17" i="5"/>
  <c r="V18" i="6"/>
  <c r="Q18" i="5"/>
  <c r="B37" i="1"/>
  <c r="P18" i="5"/>
  <c r="W17" i="5"/>
  <c r="S19" i="6"/>
  <c r="X17" i="5"/>
  <c r="S18" i="5"/>
  <c r="R18" i="5"/>
  <c r="X18" i="6"/>
  <c r="P19" i="6"/>
  <c r="W18" i="6"/>
  <c r="T19" i="6"/>
  <c r="Q19" i="6"/>
  <c r="Y20" i="6"/>
  <c r="U18" i="5"/>
  <c r="U19" i="6"/>
  <c r="T18" i="5"/>
  <c r="C37" i="1" l="1"/>
  <c r="O21" i="6"/>
  <c r="O20" i="5"/>
  <c r="S20" i="6"/>
  <c r="Q19" i="5"/>
  <c r="X19" i="6"/>
  <c r="R20" i="6"/>
  <c r="W18" i="5"/>
  <c r="P19" i="5"/>
  <c r="U19" i="5"/>
  <c r="P20" i="6"/>
  <c r="S19" i="5"/>
  <c r="T20" i="6"/>
  <c r="U20" i="6"/>
  <c r="R19" i="5"/>
  <c r="V18" i="5"/>
  <c r="X18" i="5"/>
  <c r="B38" i="1"/>
  <c r="W19" i="6"/>
  <c r="Y21" i="6"/>
  <c r="T19" i="5"/>
  <c r="Q20" i="6"/>
  <c r="V19" i="6"/>
  <c r="C38" i="1" l="1"/>
  <c r="O22" i="6"/>
  <c r="O21" i="5"/>
  <c r="Q20" i="5"/>
  <c r="B39" i="1"/>
  <c r="Y22" i="6"/>
  <c r="P21" i="6"/>
  <c r="S21" i="6"/>
  <c r="V20" i="6"/>
  <c r="U20" i="5"/>
  <c r="W19" i="5"/>
  <c r="U21" i="6"/>
  <c r="Q21" i="6"/>
  <c r="S20" i="5"/>
  <c r="T21" i="6"/>
  <c r="R20" i="5"/>
  <c r="W20" i="6"/>
  <c r="R21" i="6"/>
  <c r="T20" i="5"/>
  <c r="V19" i="5"/>
  <c r="X19" i="5"/>
  <c r="P20" i="5"/>
  <c r="X20" i="6"/>
  <c r="C39" i="1" l="1"/>
  <c r="O23" i="6"/>
  <c r="O22" i="5"/>
  <c r="S22" i="6"/>
  <c r="X21" i="6"/>
  <c r="S21" i="5"/>
  <c r="Q21" i="5"/>
  <c r="P21" i="5"/>
  <c r="W20" i="5"/>
  <c r="U22" i="6"/>
  <c r="Q22" i="6"/>
  <c r="U21" i="5"/>
  <c r="V21" i="6"/>
  <c r="V20" i="5"/>
  <c r="Y23" i="6"/>
  <c r="W21" i="6"/>
  <c r="R22" i="6"/>
  <c r="X20" i="5"/>
  <c r="T21" i="5"/>
  <c r="P22" i="6"/>
  <c r="B40" i="1"/>
  <c r="R21" i="5"/>
  <c r="T22" i="6"/>
  <c r="C40" i="1" l="1"/>
  <c r="O24" i="6"/>
  <c r="O23" i="5"/>
  <c r="Q22" i="5"/>
  <c r="P23" i="6"/>
  <c r="X21" i="5"/>
  <c r="U22" i="5"/>
  <c r="T23" i="6"/>
  <c r="V21" i="5"/>
  <c r="R23" i="6"/>
  <c r="W21" i="5"/>
  <c r="P22" i="5"/>
  <c r="R22" i="5"/>
  <c r="Y24" i="6"/>
  <c r="B41" i="1"/>
  <c r="X22" i="6"/>
  <c r="Q23" i="6"/>
  <c r="S23" i="6"/>
  <c r="W22" i="6"/>
  <c r="V22" i="6"/>
  <c r="U23" i="6"/>
  <c r="S22" i="5"/>
  <c r="T22" i="5"/>
  <c r="C41" i="1" l="1"/>
  <c r="O25" i="6"/>
  <c r="O24" i="5"/>
  <c r="P24" i="6"/>
  <c r="X23" i="6"/>
  <c r="B42" i="1"/>
  <c r="U23" i="5"/>
  <c r="R24" i="6"/>
  <c r="X22" i="5"/>
  <c r="R23" i="5"/>
  <c r="S24" i="6"/>
  <c r="T24" i="6"/>
  <c r="U24" i="6"/>
  <c r="W22" i="5"/>
  <c r="V22" i="5"/>
  <c r="P23" i="5"/>
  <c r="Q24" i="6"/>
  <c r="V23" i="6"/>
  <c r="W23" i="6"/>
  <c r="T23" i="5"/>
  <c r="S23" i="5"/>
  <c r="Y25" i="6"/>
  <c r="Q23" i="5"/>
  <c r="C42" i="1" l="1"/>
  <c r="O26" i="6"/>
  <c r="O25" i="5"/>
  <c r="W24" i="6"/>
  <c r="V24" i="6"/>
  <c r="S25" i="6"/>
  <c r="R24" i="5"/>
  <c r="P24" i="5"/>
  <c r="X23" i="5"/>
  <c r="V23" i="5"/>
  <c r="P25" i="6"/>
  <c r="T25" i="6"/>
  <c r="Y26" i="6"/>
  <c r="Q24" i="5"/>
  <c r="Q25" i="6"/>
  <c r="U24" i="5"/>
  <c r="W23" i="5"/>
  <c r="U25" i="6"/>
  <c r="S24" i="5"/>
  <c r="R25" i="6"/>
  <c r="T24" i="5"/>
  <c r="B43" i="1"/>
  <c r="X24" i="6"/>
  <c r="C43" i="1" l="1"/>
  <c r="O27" i="6"/>
  <c r="O26" i="5"/>
  <c r="U26" i="6"/>
  <c r="P26" i="6"/>
  <c r="T25" i="5"/>
  <c r="V25" i="6"/>
  <c r="W25" i="6"/>
  <c r="X25" i="6"/>
  <c r="P25" i="5"/>
  <c r="W24" i="5"/>
  <c r="Q26" i="6"/>
  <c r="R26" i="6"/>
  <c r="Y27" i="6"/>
  <c r="T26" i="6"/>
  <c r="V24" i="5"/>
  <c r="S26" i="6"/>
  <c r="X24" i="5"/>
  <c r="B44" i="1"/>
  <c r="S25" i="5"/>
  <c r="U25" i="5"/>
  <c r="R25" i="5"/>
  <c r="Q25" i="5"/>
  <c r="C44" i="1" l="1"/>
  <c r="O28" i="6"/>
  <c r="O27" i="5"/>
  <c r="Q27" i="6"/>
  <c r="V25" i="5"/>
  <c r="T27" i="6"/>
  <c r="X25" i="5"/>
  <c r="V26" i="6"/>
  <c r="T26" i="5"/>
  <c r="U26" i="5"/>
  <c r="R26" i="5"/>
  <c r="Y28" i="6"/>
  <c r="U27" i="6"/>
  <c r="S27" i="6"/>
  <c r="S26" i="5"/>
  <c r="B45" i="1"/>
  <c r="R27" i="6"/>
  <c r="W25" i="5"/>
  <c r="P26" i="5"/>
  <c r="P27" i="6"/>
  <c r="X26" i="6"/>
  <c r="W26" i="6"/>
  <c r="Q26" i="5"/>
  <c r="C45" i="1" l="1"/>
  <c r="O29" i="6"/>
  <c r="O28" i="5"/>
  <c r="R28" i="6"/>
  <c r="U28" i="6"/>
  <c r="Q27" i="5"/>
  <c r="W27" i="6"/>
  <c r="V27" i="6"/>
  <c r="X27" i="6"/>
  <c r="R27" i="5"/>
  <c r="V26" i="5"/>
  <c r="U27" i="5"/>
  <c r="W26" i="5"/>
  <c r="X26" i="5"/>
  <c r="Q28" i="6"/>
  <c r="T27" i="5"/>
  <c r="Y29" i="6"/>
  <c r="T28" i="6"/>
  <c r="S27" i="5"/>
  <c r="P28" i="6"/>
  <c r="B46" i="1"/>
  <c r="P27" i="5"/>
  <c r="S28" i="6"/>
  <c r="C46" i="1" l="1"/>
  <c r="O30" i="6"/>
  <c r="O29" i="5"/>
  <c r="T29" i="6"/>
  <c r="X27" i="5"/>
  <c r="R28" i="5"/>
  <c r="X28" i="6"/>
  <c r="P28" i="5"/>
  <c r="S29" i="6"/>
  <c r="B47" i="1"/>
  <c r="R29" i="6"/>
  <c r="V28" i="6"/>
  <c r="P29" i="6"/>
  <c r="Q28" i="5"/>
  <c r="S28" i="5"/>
  <c r="W27" i="5"/>
  <c r="U29" i="6"/>
  <c r="Q29" i="6"/>
  <c r="W28" i="6"/>
  <c r="Y30" i="6"/>
  <c r="V27" i="5"/>
  <c r="T28" i="5"/>
  <c r="U28" i="5"/>
  <c r="C47" i="1" l="1"/>
  <c r="O31" i="6"/>
  <c r="O30" i="5"/>
  <c r="S29" i="5"/>
  <c r="P30" i="6"/>
  <c r="S30" i="6"/>
  <c r="R29" i="5"/>
  <c r="Y31" i="6"/>
  <c r="Q30" i="6"/>
  <c r="P29" i="5"/>
  <c r="V28" i="5"/>
  <c r="X29" i="6"/>
  <c r="U29" i="5"/>
  <c r="T29" i="5"/>
  <c r="Q29" i="5"/>
  <c r="W29" i="6"/>
  <c r="X28" i="5"/>
  <c r="U30" i="6"/>
  <c r="V29" i="6"/>
  <c r="W28" i="5"/>
  <c r="W30" i="6"/>
  <c r="R30" i="6"/>
  <c r="T30" i="6"/>
  <c r="B48" i="1"/>
  <c r="C48" i="1" l="1"/>
  <c r="O32" i="6"/>
  <c r="O31" i="5"/>
  <c r="Q31" i="6"/>
  <c r="U31" i="6"/>
  <c r="T31" i="6"/>
  <c r="P30" i="5"/>
  <c r="Q30" i="5"/>
  <c r="W29" i="5"/>
  <c r="S30" i="5"/>
  <c r="R31" i="6"/>
  <c r="X29" i="5"/>
  <c r="Y32" i="6"/>
  <c r="B49" i="1"/>
  <c r="V29" i="5"/>
  <c r="T30" i="5"/>
  <c r="S31" i="6"/>
  <c r="X30" i="6"/>
  <c r="V30" i="6"/>
  <c r="P31" i="6"/>
  <c r="R30" i="5"/>
  <c r="U30" i="5"/>
  <c r="C49" i="1" l="1"/>
  <c r="O33" i="6"/>
  <c r="O32" i="5"/>
  <c r="Q32" i="6"/>
  <c r="T32" i="6"/>
  <c r="W31" i="6"/>
  <c r="P32" i="6"/>
  <c r="X30" i="5"/>
  <c r="Q31" i="5"/>
  <c r="W30" i="5"/>
  <c r="P31" i="5"/>
  <c r="R32" i="6"/>
  <c r="R31" i="5"/>
  <c r="Y33" i="6"/>
  <c r="T31" i="5"/>
  <c r="B50" i="1"/>
  <c r="S31" i="5"/>
  <c r="S32" i="6"/>
  <c r="X31" i="6"/>
  <c r="V30" i="5"/>
  <c r="U32" i="6"/>
  <c r="V31" i="6"/>
  <c r="U31" i="5"/>
  <c r="C50" i="1" l="1"/>
  <c r="O34" i="6"/>
  <c r="O33" i="5"/>
  <c r="Y34" i="6"/>
  <c r="T32" i="5"/>
  <c r="B51" i="1"/>
  <c r="X31" i="5"/>
  <c r="R32" i="5"/>
  <c r="U32" i="5"/>
  <c r="W32" i="6"/>
  <c r="R33" i="6"/>
  <c r="S32" i="5"/>
  <c r="T33" i="6"/>
  <c r="Q33" i="6"/>
  <c r="P32" i="5"/>
  <c r="V31" i="5"/>
  <c r="X32" i="6"/>
  <c r="W31" i="5"/>
  <c r="U33" i="6"/>
  <c r="Q32" i="5"/>
  <c r="V32" i="6"/>
  <c r="S33" i="6"/>
  <c r="P33" i="6"/>
  <c r="C51" i="1" l="1"/>
  <c r="O35" i="6"/>
  <c r="O34" i="5"/>
  <c r="P34" i="6"/>
  <c r="Q34" i="6"/>
  <c r="S33" i="5"/>
  <c r="Q33" i="5"/>
  <c r="Y35" i="6"/>
  <c r="S34" i="6"/>
  <c r="W33" i="6"/>
  <c r="V32" i="5"/>
  <c r="P33" i="5"/>
  <c r="W32" i="5"/>
  <c r="T33" i="5"/>
  <c r="T34" i="6"/>
  <c r="X32" i="5"/>
  <c r="R33" i="5"/>
  <c r="B52" i="1"/>
  <c r="R34" i="6"/>
  <c r="V33" i="6"/>
  <c r="X33" i="6"/>
  <c r="U33" i="5"/>
  <c r="U34" i="6"/>
  <c r="C52" i="1" l="1"/>
  <c r="O36" i="6"/>
  <c r="O35" i="5"/>
  <c r="P34" i="5"/>
  <c r="Q34" i="5"/>
  <c r="B53" i="1"/>
  <c r="V34" i="6"/>
  <c r="W33" i="5"/>
  <c r="U34" i="5"/>
  <c r="S34" i="5"/>
  <c r="T34" i="5"/>
  <c r="R35" i="6"/>
  <c r="R34" i="5"/>
  <c r="U35" i="6"/>
  <c r="Q35" i="6"/>
  <c r="S35" i="6"/>
  <c r="W34" i="6"/>
  <c r="T35" i="6"/>
  <c r="X34" i="6"/>
  <c r="X33" i="5"/>
  <c r="V33" i="5"/>
  <c r="P35" i="6"/>
  <c r="Y36" i="6"/>
  <c r="C53" i="1" l="1"/>
  <c r="O37" i="6"/>
  <c r="O36" i="5"/>
  <c r="X35" i="6"/>
  <c r="T35" i="5"/>
  <c r="V34" i="5"/>
  <c r="T36" i="6"/>
  <c r="S35" i="5"/>
  <c r="B54" i="1"/>
  <c r="R35" i="5"/>
  <c r="Q35" i="5"/>
  <c r="S36" i="6"/>
  <c r="X34" i="5"/>
  <c r="Y37" i="6"/>
  <c r="P35" i="5"/>
  <c r="V35" i="6"/>
  <c r="R36" i="6"/>
  <c r="P36" i="6"/>
  <c r="Q36" i="6"/>
  <c r="W36" i="6" s="1"/>
  <c r="W34" i="5"/>
  <c r="U35" i="5"/>
  <c r="W35" i="6"/>
  <c r="U36" i="6"/>
  <c r="C54" i="1" l="1"/>
  <c r="O38" i="6"/>
  <c r="O37" i="5"/>
  <c r="Q36" i="5"/>
  <c r="V36" i="6"/>
  <c r="S37" i="6"/>
  <c r="P37" i="6"/>
  <c r="P36" i="5"/>
  <c r="R37" i="6"/>
  <c r="X35" i="5"/>
  <c r="T36" i="5"/>
  <c r="Q37" i="6"/>
  <c r="B55" i="1"/>
  <c r="U36" i="5"/>
  <c r="S36" i="5"/>
  <c r="U37" i="6"/>
  <c r="X36" i="6"/>
  <c r="T37" i="6"/>
  <c r="V35" i="5"/>
  <c r="W35" i="5"/>
  <c r="Y38" i="6"/>
  <c r="R36" i="5"/>
  <c r="C55" i="1" l="1"/>
  <c r="O39" i="6"/>
  <c r="O38" i="5"/>
  <c r="Q37" i="5"/>
  <c r="S38" i="6"/>
  <c r="Y39" i="6"/>
  <c r="U37" i="5"/>
  <c r="X36" i="5"/>
  <c r="P38" i="6"/>
  <c r="V36" i="5"/>
  <c r="P37" i="5"/>
  <c r="R37" i="5"/>
  <c r="T37" i="5"/>
  <c r="V37" i="6"/>
  <c r="B56" i="1"/>
  <c r="X37" i="6"/>
  <c r="W37" i="6"/>
  <c r="W36" i="5"/>
  <c r="U38" i="6"/>
  <c r="T38" i="6"/>
  <c r="Q38" i="6"/>
  <c r="R38" i="6"/>
  <c r="S37" i="5"/>
  <c r="C56" i="1" l="1"/>
  <c r="O40" i="6"/>
  <c r="O39" i="5"/>
  <c r="S38" i="5"/>
  <c r="X37" i="5"/>
  <c r="Q39" i="6"/>
  <c r="Q38" i="5"/>
  <c r="W38" i="6"/>
  <c r="W37" i="5"/>
  <c r="P39" i="6"/>
  <c r="P38" i="5"/>
  <c r="B57" i="1"/>
  <c r="U39" i="6"/>
  <c r="V37" i="5"/>
  <c r="T38" i="5"/>
  <c r="V38" i="6"/>
  <c r="T39" i="6"/>
  <c r="X38" i="6"/>
  <c r="S39" i="6"/>
  <c r="Y40" i="6"/>
  <c r="R39" i="6"/>
  <c r="U38" i="5"/>
  <c r="R38" i="5"/>
  <c r="C57" i="1" l="1"/>
  <c r="O41" i="6"/>
  <c r="O40" i="5"/>
  <c r="X39" i="6"/>
  <c r="P39" i="5"/>
  <c r="B58" i="1"/>
  <c r="S39" i="5"/>
  <c r="Q39" i="5"/>
  <c r="P40" i="6"/>
  <c r="U39" i="5"/>
  <c r="V39" i="6"/>
  <c r="U40" i="6"/>
  <c r="W38" i="5"/>
  <c r="T39" i="5"/>
  <c r="R39" i="5"/>
  <c r="V38" i="5"/>
  <c r="Y41" i="6"/>
  <c r="R40" i="6"/>
  <c r="S40" i="6"/>
  <c r="X38" i="5"/>
  <c r="W39" i="6"/>
  <c r="T40" i="6"/>
  <c r="Q40" i="6"/>
  <c r="W40" i="6" s="1"/>
  <c r="C58" i="1" l="1"/>
  <c r="O42" i="6"/>
  <c r="O41" i="5"/>
  <c r="V40" i="6"/>
  <c r="X39" i="5"/>
  <c r="U41" i="6"/>
  <c r="P41" i="6"/>
  <c r="V39" i="5"/>
  <c r="U40" i="5"/>
  <c r="S41" i="6"/>
  <c r="B59" i="1"/>
  <c r="X40" i="6"/>
  <c r="T40" i="5"/>
  <c r="Q41" i="6"/>
  <c r="R41" i="6"/>
  <c r="R40" i="5"/>
  <c r="T41" i="6"/>
  <c r="Y42" i="6"/>
  <c r="P40" i="5"/>
  <c r="W39" i="5"/>
  <c r="Q40" i="5"/>
  <c r="S40" i="5"/>
  <c r="C59" i="1" l="1"/>
  <c r="O43" i="6"/>
  <c r="O42" i="5"/>
  <c r="B60" i="1"/>
  <c r="T42" i="6"/>
  <c r="V41" i="6"/>
  <c r="X41" i="6"/>
  <c r="S42" i="6"/>
  <c r="X40" i="5"/>
  <c r="Q42" i="6"/>
  <c r="Y43" i="6"/>
  <c r="V40" i="5"/>
  <c r="P41" i="5"/>
  <c r="P42" i="6"/>
  <c r="R42" i="6"/>
  <c r="U42" i="6"/>
  <c r="W41" i="6"/>
  <c r="R41" i="5"/>
  <c r="T41" i="5"/>
  <c r="Q41" i="5"/>
  <c r="U41" i="5"/>
  <c r="W40" i="5"/>
  <c r="S41" i="5"/>
  <c r="C60" i="1" l="1"/>
  <c r="O44" i="6"/>
  <c r="O43" i="5"/>
  <c r="W41" i="5"/>
  <c r="Q42" i="5"/>
  <c r="T42" i="5"/>
  <c r="U42" i="5"/>
  <c r="U43" i="6"/>
  <c r="X42" i="6"/>
  <c r="Q43" i="6"/>
  <c r="P43" i="6"/>
  <c r="V42" i="6"/>
  <c r="S43" i="6"/>
  <c r="W42" i="6"/>
  <c r="X41" i="5"/>
  <c r="V41" i="5"/>
  <c r="R42" i="5"/>
  <c r="B61" i="1"/>
  <c r="T43" i="6"/>
  <c r="R43" i="6"/>
  <c r="Y44" i="6"/>
  <c r="S42" i="5"/>
  <c r="P42" i="5"/>
  <c r="C61" i="1" l="1"/>
  <c r="O45" i="6"/>
  <c r="O44" i="5"/>
  <c r="P43" i="5"/>
  <c r="V43" i="6"/>
  <c r="R43" i="5"/>
  <c r="V42" i="5"/>
  <c r="B62" i="1"/>
  <c r="W42" i="5"/>
  <c r="U44" i="6"/>
  <c r="T43" i="5"/>
  <c r="X43" i="6"/>
  <c r="T44" i="6"/>
  <c r="Q44" i="6"/>
  <c r="R44" i="6"/>
  <c r="X42" i="5"/>
  <c r="U43" i="5"/>
  <c r="W43" i="6"/>
  <c r="Y45" i="6"/>
  <c r="P44" i="6"/>
  <c r="S43" i="5"/>
  <c r="Q43" i="5"/>
  <c r="S44" i="6"/>
  <c r="C62" i="1" l="1"/>
  <c r="O46" i="6"/>
  <c r="O45" i="5"/>
  <c r="Q45" i="6"/>
  <c r="Q44" i="5"/>
  <c r="T45" i="6"/>
  <c r="V44" i="6"/>
  <c r="U45" i="6"/>
  <c r="S45" i="6"/>
  <c r="P44" i="5"/>
  <c r="R45" i="6"/>
  <c r="W43" i="5"/>
  <c r="R44" i="5"/>
  <c r="S44" i="5"/>
  <c r="X44" i="6"/>
  <c r="B63" i="1"/>
  <c r="U44" i="5"/>
  <c r="Y46" i="6"/>
  <c r="T44" i="5"/>
  <c r="X43" i="5"/>
  <c r="W44" i="6"/>
  <c r="V43" i="5"/>
  <c r="P45" i="6"/>
  <c r="C63" i="1" l="1"/>
  <c r="O47" i="6"/>
  <c r="O46" i="5"/>
  <c r="P45" i="5"/>
  <c r="U46" i="6"/>
  <c r="Q46" i="6"/>
  <c r="V44" i="5"/>
  <c r="W45" i="6"/>
  <c r="W44" i="5"/>
  <c r="S46" i="6"/>
  <c r="V45" i="6"/>
  <c r="Y47" i="6"/>
  <c r="Q45" i="5"/>
  <c r="R46" i="6"/>
  <c r="T45" i="5"/>
  <c r="B64" i="1"/>
  <c r="P46" i="6"/>
  <c r="X45" i="6"/>
  <c r="R45" i="5"/>
  <c r="X44" i="5"/>
  <c r="S45" i="5"/>
  <c r="T46" i="6"/>
  <c r="U45" i="5"/>
  <c r="C64" i="1" l="1"/>
  <c r="O48" i="6"/>
  <c r="O47" i="5"/>
  <c r="W45" i="5"/>
  <c r="Q47" i="6"/>
  <c r="T47" i="6"/>
  <c r="R46" i="5"/>
  <c r="X46" i="6"/>
  <c r="U46" i="5"/>
  <c r="Q46" i="5"/>
  <c r="Y48" i="6"/>
  <c r="X45" i="5"/>
  <c r="P46" i="5"/>
  <c r="V45" i="5"/>
  <c r="S47" i="6"/>
  <c r="T46" i="5"/>
  <c r="P47" i="6"/>
  <c r="B65" i="1"/>
  <c r="R47" i="6"/>
  <c r="W46" i="6"/>
  <c r="V46" i="6"/>
  <c r="U47" i="6"/>
  <c r="S46" i="5"/>
  <c r="C65" i="1" l="1"/>
  <c r="O49" i="6"/>
  <c r="O48" i="5"/>
  <c r="T48" i="6"/>
  <c r="V47" i="6"/>
  <c r="Q48" i="6"/>
  <c r="U48" i="6"/>
  <c r="X47" i="6"/>
  <c r="S48" i="6"/>
  <c r="W46" i="5"/>
  <c r="S47" i="5"/>
  <c r="P48" i="6"/>
  <c r="R47" i="5"/>
  <c r="P47" i="5"/>
  <c r="R48" i="6"/>
  <c r="Q47" i="5"/>
  <c r="V46" i="5"/>
  <c r="T47" i="5"/>
  <c r="B66" i="1"/>
  <c r="Y49" i="6"/>
  <c r="U47" i="5"/>
  <c r="X46" i="5"/>
  <c r="W47" i="6"/>
  <c r="C66" i="1" l="1"/>
  <c r="O50" i="6"/>
  <c r="O49" i="5"/>
  <c r="S48" i="5"/>
  <c r="U48" i="5"/>
  <c r="T48" i="5"/>
  <c r="Q49" i="6"/>
  <c r="X47" i="5"/>
  <c r="P49" i="6"/>
  <c r="W48" i="6"/>
  <c r="B67" i="1"/>
  <c r="V47" i="5"/>
  <c r="P48" i="5"/>
  <c r="U49" i="6"/>
  <c r="W47" i="5"/>
  <c r="X48" i="6"/>
  <c r="Q48" i="5"/>
  <c r="T49" i="6"/>
  <c r="V48" i="6"/>
  <c r="S49" i="6"/>
  <c r="R49" i="6"/>
  <c r="R48" i="5"/>
  <c r="Y50" i="6"/>
  <c r="C67" i="1" l="1"/>
  <c r="O51" i="6"/>
  <c r="O50" i="5"/>
  <c r="Q50" i="6"/>
  <c r="U49" i="5"/>
  <c r="R50" i="6"/>
  <c r="W48" i="5"/>
  <c r="P50" i="6"/>
  <c r="S50" i="6"/>
  <c r="B68" i="1"/>
  <c r="V48" i="5"/>
  <c r="W49" i="6"/>
  <c r="R49" i="5"/>
  <c r="U50" i="6"/>
  <c r="V49" i="6"/>
  <c r="S49" i="5"/>
  <c r="X49" i="6"/>
  <c r="X48" i="5"/>
  <c r="T49" i="5"/>
  <c r="P49" i="5"/>
  <c r="T50" i="6"/>
  <c r="Y51" i="6"/>
  <c r="Q49" i="5"/>
  <c r="C68" i="1" l="1"/>
  <c r="O52" i="6"/>
  <c r="O51" i="5"/>
  <c r="B69" i="1"/>
  <c r="V50" i="6"/>
  <c r="R51" i="6"/>
  <c r="W49" i="5"/>
  <c r="V49" i="5"/>
  <c r="P51" i="6"/>
  <c r="X49" i="5"/>
  <c r="S51" i="6"/>
  <c r="Y52" i="6"/>
  <c r="Q50" i="5"/>
  <c r="W50" i="6"/>
  <c r="R50" i="5"/>
  <c r="U50" i="5"/>
  <c r="T51" i="6"/>
  <c r="X50" i="6"/>
  <c r="Q51" i="6"/>
  <c r="T50" i="5"/>
  <c r="U51" i="6"/>
  <c r="P50" i="5"/>
  <c r="S50" i="5"/>
  <c r="C69" i="1" l="1"/>
  <c r="O53" i="6"/>
  <c r="O52" i="5"/>
  <c r="V50" i="5"/>
  <c r="X50" i="5"/>
  <c r="W50" i="5"/>
  <c r="V51" i="6"/>
  <c r="Q52" i="6"/>
  <c r="P51" i="5"/>
  <c r="P52" i="6"/>
  <c r="T51" i="5"/>
  <c r="T52" i="6"/>
  <c r="R52" i="6"/>
  <c r="W51" i="6"/>
  <c r="U51" i="5"/>
  <c r="X51" i="6"/>
  <c r="Q51" i="5"/>
  <c r="R51" i="5"/>
  <c r="B70" i="1"/>
  <c r="S52" i="6"/>
  <c r="Y53" i="6"/>
  <c r="S51" i="5"/>
  <c r="U52" i="6"/>
  <c r="C70" i="1" l="1"/>
  <c r="O54" i="6"/>
  <c r="O53" i="5"/>
  <c r="X51" i="5"/>
  <c r="S53" i="6"/>
  <c r="W52" i="6"/>
  <c r="Q52" i="5"/>
  <c r="R53" i="6"/>
  <c r="U53" i="6"/>
  <c r="W51" i="5"/>
  <c r="B71" i="1"/>
  <c r="U52" i="5"/>
  <c r="V51" i="5"/>
  <c r="V52" i="6"/>
  <c r="R52" i="5"/>
  <c r="P52" i="5"/>
  <c r="Y54" i="6"/>
  <c r="T53" i="6"/>
  <c r="T52" i="5"/>
  <c r="P53" i="6"/>
  <c r="X52" i="6"/>
  <c r="S52" i="5"/>
  <c r="Q53" i="6"/>
  <c r="C71" i="1" l="1"/>
  <c r="O55" i="6"/>
  <c r="O54" i="5"/>
  <c r="V52" i="5"/>
  <c r="W53" i="6"/>
  <c r="T53" i="5"/>
  <c r="B72" i="1"/>
  <c r="S53" i="5"/>
  <c r="X53" i="6"/>
  <c r="S54" i="6"/>
  <c r="Y55" i="6"/>
  <c r="T54" i="6"/>
  <c r="R54" i="6"/>
  <c r="W52" i="5"/>
  <c r="P53" i="5"/>
  <c r="P54" i="6"/>
  <c r="Q54" i="6"/>
  <c r="R53" i="5"/>
  <c r="X52" i="5"/>
  <c r="U54" i="6"/>
  <c r="V53" i="6"/>
  <c r="Q53" i="5"/>
  <c r="U53" i="5"/>
  <c r="C72" i="1" l="1"/>
  <c r="O56" i="6"/>
  <c r="O55" i="5"/>
  <c r="S55" i="6"/>
  <c r="X54" i="6"/>
  <c r="P55" i="6"/>
  <c r="R55" i="6"/>
  <c r="Q55" i="6"/>
  <c r="Y56" i="6"/>
  <c r="X53" i="5"/>
  <c r="T55" i="6"/>
  <c r="U55" i="6"/>
  <c r="B73" i="1"/>
  <c r="V54" i="6"/>
  <c r="T54" i="5"/>
  <c r="W54" i="6"/>
  <c r="V53" i="5"/>
  <c r="U54" i="5"/>
  <c r="W53" i="5"/>
  <c r="P54" i="5"/>
  <c r="Q54" i="5"/>
  <c r="S54" i="5"/>
  <c r="R54" i="5"/>
  <c r="C73" i="1" l="1"/>
  <c r="O57" i="6"/>
  <c r="O56" i="5"/>
  <c r="P55" i="5"/>
  <c r="Q55" i="5"/>
  <c r="B74" i="1"/>
  <c r="R55" i="5"/>
  <c r="S55" i="5"/>
  <c r="R56" i="6"/>
  <c r="S56" i="6"/>
  <c r="T56" i="6"/>
  <c r="V55" i="6"/>
  <c r="Y57" i="6"/>
  <c r="T55" i="5"/>
  <c r="P56" i="6"/>
  <c r="W55" i="6"/>
  <c r="V54" i="5"/>
  <c r="Q56" i="6"/>
  <c r="U55" i="5"/>
  <c r="X55" i="6"/>
  <c r="U56" i="6"/>
  <c r="X54" i="5"/>
  <c r="W54" i="5"/>
  <c r="C74" i="1" l="1"/>
  <c r="O58" i="6"/>
  <c r="O57" i="5"/>
  <c r="P57" i="6"/>
  <c r="X55" i="5"/>
  <c r="U57" i="6"/>
  <c r="V55" i="5"/>
  <c r="W55" i="5"/>
  <c r="V56" i="6"/>
  <c r="B75" i="1"/>
  <c r="P56" i="5"/>
  <c r="R57" i="6"/>
  <c r="Y58" i="6"/>
  <c r="X56" i="6"/>
  <c r="T56" i="5"/>
  <c r="S56" i="5"/>
  <c r="S57" i="6"/>
  <c r="R56" i="5"/>
  <c r="Q56" i="5"/>
  <c r="Q57" i="6"/>
  <c r="W56" i="6"/>
  <c r="T57" i="6"/>
  <c r="U56" i="5"/>
  <c r="C75" i="1" l="1"/>
  <c r="O59" i="6"/>
  <c r="O58" i="5"/>
  <c r="P57" i="5"/>
  <c r="U57" i="5"/>
  <c r="R58" i="6"/>
  <c r="S57" i="5"/>
  <c r="P58" i="6"/>
  <c r="S58" i="6"/>
  <c r="V57" i="6"/>
  <c r="X56" i="5"/>
  <c r="W56" i="5"/>
  <c r="W57" i="6"/>
  <c r="Y59" i="6"/>
  <c r="Q57" i="5"/>
  <c r="R57" i="5"/>
  <c r="Q58" i="6"/>
  <c r="B76" i="1"/>
  <c r="W58" i="6"/>
  <c r="U58" i="6"/>
  <c r="V56" i="5"/>
  <c r="X57" i="6"/>
  <c r="T57" i="5"/>
  <c r="T58" i="6"/>
  <c r="C76" i="1" l="1"/>
  <c r="O60" i="6"/>
  <c r="O59" i="5"/>
  <c r="Q58" i="5"/>
  <c r="S58" i="5"/>
  <c r="R59" i="6"/>
  <c r="X57" i="5"/>
  <c r="Y60" i="6"/>
  <c r="V57" i="5"/>
  <c r="U58" i="5"/>
  <c r="V58" i="6"/>
  <c r="B77" i="1"/>
  <c r="T58" i="5"/>
  <c r="P59" i="6"/>
  <c r="W57" i="5"/>
  <c r="P58" i="5"/>
  <c r="X58" i="6"/>
  <c r="R58" i="5"/>
  <c r="Q59" i="6"/>
  <c r="T59" i="6"/>
  <c r="S59" i="6"/>
  <c r="U59" i="6"/>
  <c r="C77" i="1" l="1"/>
  <c r="O61" i="6"/>
  <c r="O60" i="5"/>
  <c r="W58" i="5"/>
  <c r="R59" i="5"/>
  <c r="X59" i="6"/>
  <c r="V59" i="6"/>
  <c r="U60" i="6"/>
  <c r="U59" i="5"/>
  <c r="Q59" i="5"/>
  <c r="B78" i="1"/>
  <c r="Q60" i="6"/>
  <c r="R60" i="6"/>
  <c r="S60" i="6"/>
  <c r="Y61" i="6"/>
  <c r="T59" i="5"/>
  <c r="W59" i="6"/>
  <c r="S59" i="5"/>
  <c r="P60" i="6"/>
  <c r="V58" i="5"/>
  <c r="P59" i="5"/>
  <c r="X58" i="5"/>
  <c r="T60" i="6"/>
  <c r="C78" i="1" l="1"/>
  <c r="O62" i="6"/>
  <c r="O61" i="5"/>
  <c r="P60" i="5"/>
  <c r="U61" i="6"/>
  <c r="R61" i="6"/>
  <c r="U60" i="5"/>
  <c r="P61" i="6"/>
  <c r="V60" i="6"/>
  <c r="W59" i="5"/>
  <c r="Q60" i="5"/>
  <c r="W60" i="6"/>
  <c r="R60" i="5"/>
  <c r="S61" i="6"/>
  <c r="X59" i="5"/>
  <c r="B79" i="1"/>
  <c r="T60" i="5"/>
  <c r="S60" i="5"/>
  <c r="V59" i="5"/>
  <c r="T61" i="6"/>
  <c r="X60" i="6"/>
  <c r="Q61" i="6"/>
  <c r="Y62" i="6"/>
  <c r="C79" i="1" l="1"/>
  <c r="O63" i="6"/>
  <c r="O62" i="5"/>
  <c r="P61" i="5"/>
  <c r="R62" i="6"/>
  <c r="T61" i="5"/>
  <c r="P62" i="6"/>
  <c r="R61" i="5"/>
  <c r="T62" i="6"/>
  <c r="U62" i="6"/>
  <c r="W61" i="6"/>
  <c r="X61" i="6"/>
  <c r="Y63" i="6"/>
  <c r="Q62" i="6"/>
  <c r="X60" i="5"/>
  <c r="W60" i="5"/>
  <c r="V61" i="6"/>
  <c r="B80" i="1"/>
  <c r="S62" i="6"/>
  <c r="U61" i="5"/>
  <c r="Q61" i="5"/>
  <c r="V60" i="5"/>
  <c r="S61" i="5"/>
  <c r="C80" i="1" l="1"/>
  <c r="O64" i="6"/>
  <c r="O63" i="5"/>
  <c r="S63" i="6"/>
  <c r="W61" i="5"/>
  <c r="P63" i="6"/>
  <c r="T62" i="5"/>
  <c r="W62" i="6"/>
  <c r="X62" i="6"/>
  <c r="R62" i="5"/>
  <c r="P62" i="5"/>
  <c r="U62" i="5"/>
  <c r="X61" i="5"/>
  <c r="U63" i="6"/>
  <c r="V61" i="5"/>
  <c r="B81" i="1"/>
  <c r="S62" i="5"/>
  <c r="Q63" i="6"/>
  <c r="Q62" i="5"/>
  <c r="V62" i="6"/>
  <c r="R63" i="6"/>
  <c r="T63" i="6"/>
  <c r="Y64" i="6"/>
  <c r="C81" i="1" l="1"/>
  <c r="O65" i="6"/>
  <c r="O64" i="5"/>
  <c r="S63" i="5"/>
  <c r="W62" i="5"/>
  <c r="P63" i="5"/>
  <c r="B82" i="1"/>
  <c r="S64" i="6"/>
  <c r="V63" i="6"/>
  <c r="Q63" i="5"/>
  <c r="R64" i="6"/>
  <c r="X63" i="6"/>
  <c r="T64" i="6"/>
  <c r="X62" i="5"/>
  <c r="Q64" i="6"/>
  <c r="W64" i="6" s="1"/>
  <c r="T63" i="5"/>
  <c r="W63" i="6"/>
  <c r="U63" i="5"/>
  <c r="P64" i="6"/>
  <c r="V62" i="5"/>
  <c r="Y65" i="6"/>
  <c r="R63" i="5"/>
  <c r="U64" i="6"/>
  <c r="C82" i="1" l="1"/>
  <c r="O66" i="6"/>
  <c r="O65" i="5"/>
  <c r="R64" i="5"/>
  <c r="R65" i="6"/>
  <c r="B83" i="1"/>
  <c r="T65" i="6"/>
  <c r="S65" i="6"/>
  <c r="S64" i="5"/>
  <c r="T64" i="5"/>
  <c r="U64" i="5"/>
  <c r="Q64" i="5"/>
  <c r="X63" i="5"/>
  <c r="V63" i="5"/>
  <c r="V64" i="6"/>
  <c r="X64" i="6"/>
  <c r="P64" i="5"/>
  <c r="U65" i="6"/>
  <c r="Y66" i="6"/>
  <c r="W63" i="5"/>
  <c r="P65" i="6"/>
  <c r="Q65" i="6"/>
  <c r="C83" i="1" l="1"/>
  <c r="O67" i="6"/>
  <c r="O66" i="5"/>
  <c r="X65" i="6"/>
  <c r="V64" i="5"/>
  <c r="U65" i="5"/>
  <c r="S65" i="5"/>
  <c r="V65" i="6"/>
  <c r="W64" i="5"/>
  <c r="U66" i="6"/>
  <c r="Q65" i="5"/>
  <c r="P65" i="5"/>
  <c r="W65" i="6"/>
  <c r="P66" i="6"/>
  <c r="T65" i="5"/>
  <c r="B84" i="1"/>
  <c r="Q66" i="6"/>
  <c r="R65" i="5"/>
  <c r="X64" i="5"/>
  <c r="S66" i="6"/>
  <c r="R66" i="6"/>
  <c r="T66" i="6"/>
  <c r="Y67" i="6"/>
  <c r="C84" i="1" l="1"/>
  <c r="O68" i="6"/>
  <c r="O67" i="5"/>
  <c r="X65" i="5"/>
  <c r="T67" i="6"/>
  <c r="U66" i="5"/>
  <c r="R66" i="5"/>
  <c r="P67" i="6"/>
  <c r="W65" i="5"/>
  <c r="P66" i="5"/>
  <c r="V66" i="6"/>
  <c r="X66" i="6"/>
  <c r="U67" i="6"/>
  <c r="T66" i="5"/>
  <c r="S66" i="5"/>
  <c r="R67" i="6"/>
  <c r="S67" i="6"/>
  <c r="W66" i="6"/>
  <c r="Q66" i="5"/>
  <c r="Q67" i="6"/>
  <c r="B85" i="1"/>
  <c r="V65" i="5"/>
  <c r="Y68" i="6"/>
  <c r="C85" i="1" l="1"/>
  <c r="O69" i="6"/>
  <c r="O68" i="5"/>
  <c r="S68" i="6"/>
  <c r="P67" i="5"/>
  <c r="B86" i="1"/>
  <c r="T67" i="5"/>
  <c r="W66" i="5"/>
  <c r="U67" i="5"/>
  <c r="Q67" i="5"/>
  <c r="Q68" i="6"/>
  <c r="X67" i="6"/>
  <c r="V67" i="6"/>
  <c r="S67" i="5"/>
  <c r="T68" i="6"/>
  <c r="W67" i="6"/>
  <c r="R68" i="6"/>
  <c r="P68" i="6"/>
  <c r="U68" i="6"/>
  <c r="R67" i="5"/>
  <c r="X66" i="5"/>
  <c r="V66" i="5"/>
  <c r="Y69" i="6"/>
  <c r="C86" i="1" l="1"/>
  <c r="O70" i="6"/>
  <c r="O69" i="5"/>
  <c r="S69" i="6"/>
  <c r="V68" i="6"/>
  <c r="R68" i="5"/>
  <c r="S68" i="5"/>
  <c r="Y70" i="6"/>
  <c r="P69" i="6"/>
  <c r="R69" i="6"/>
  <c r="P68" i="5"/>
  <c r="T69" i="6"/>
  <c r="X68" i="6"/>
  <c r="X67" i="5"/>
  <c r="T68" i="5"/>
  <c r="V67" i="5"/>
  <c r="U69" i="6"/>
  <c r="W68" i="6"/>
  <c r="Q68" i="5"/>
  <c r="U68" i="5"/>
  <c r="Q69" i="6"/>
  <c r="B87" i="1"/>
  <c r="W67" i="5"/>
  <c r="C87" i="1" l="1"/>
  <c r="O71" i="6"/>
  <c r="O70" i="5"/>
  <c r="Q70" i="6"/>
  <c r="S70" i="6"/>
  <c r="W68" i="5"/>
  <c r="T70" i="6"/>
  <c r="W69" i="6"/>
  <c r="P69" i="5"/>
  <c r="U70" i="6"/>
  <c r="R70" i="6"/>
  <c r="S69" i="5"/>
  <c r="V69" i="6"/>
  <c r="V68" i="5"/>
  <c r="Q69" i="5"/>
  <c r="X68" i="5"/>
  <c r="U69" i="5"/>
  <c r="B88" i="1"/>
  <c r="X69" i="6"/>
  <c r="T69" i="5"/>
  <c r="R69" i="5"/>
  <c r="P70" i="6"/>
  <c r="Y71" i="6"/>
  <c r="C88" i="1" l="1"/>
  <c r="O72" i="6"/>
  <c r="O71" i="5"/>
  <c r="U71" i="6"/>
  <c r="R70" i="5"/>
  <c r="W70" i="6"/>
  <c r="Q70" i="5"/>
  <c r="T71" i="6"/>
  <c r="P70" i="5"/>
  <c r="P71" i="6"/>
  <c r="X70" i="6"/>
  <c r="V69" i="5"/>
  <c r="Q71" i="6"/>
  <c r="W69" i="5"/>
  <c r="T70" i="5"/>
  <c r="B89" i="1"/>
  <c r="R71" i="6"/>
  <c r="S71" i="6"/>
  <c r="V70" i="6"/>
  <c r="S70" i="5"/>
  <c r="X69" i="5"/>
  <c r="U70" i="5"/>
  <c r="Y72" i="6"/>
  <c r="C89" i="1" l="1"/>
  <c r="O73" i="6"/>
  <c r="O72" i="5"/>
  <c r="V70" i="5"/>
  <c r="B90" i="1"/>
  <c r="S71" i="5"/>
  <c r="Y73" i="6"/>
  <c r="P71" i="5"/>
  <c r="T72" i="6"/>
  <c r="Q71" i="5"/>
  <c r="R71" i="5"/>
  <c r="W71" i="6"/>
  <c r="Q72" i="6"/>
  <c r="U72" i="6"/>
  <c r="P72" i="6"/>
  <c r="X70" i="5"/>
  <c r="U71" i="5"/>
  <c r="V71" i="6"/>
  <c r="T71" i="5"/>
  <c r="S72" i="6"/>
  <c r="R72" i="6"/>
  <c r="X71" i="6"/>
  <c r="W70" i="5"/>
  <c r="C90" i="1" l="1"/>
  <c r="O74" i="6"/>
  <c r="O73" i="5"/>
  <c r="T73" i="6"/>
  <c r="X72" i="6"/>
  <c r="V71" i="5"/>
  <c r="Q73" i="6"/>
  <c r="T72" i="5"/>
  <c r="P73" i="6"/>
  <c r="W71" i="5"/>
  <c r="V72" i="6"/>
  <c r="R73" i="6"/>
  <c r="W72" i="6"/>
  <c r="X71" i="5"/>
  <c r="U73" i="6"/>
  <c r="R72" i="5"/>
  <c r="P72" i="5"/>
  <c r="U72" i="5"/>
  <c r="Q72" i="5"/>
  <c r="S73" i="6"/>
  <c r="B91" i="1"/>
  <c r="S72" i="5"/>
  <c r="Y74" i="6"/>
  <c r="C91" i="1" l="1"/>
  <c r="O75" i="6"/>
  <c r="O74" i="5"/>
  <c r="V72" i="5"/>
  <c r="P74" i="6"/>
  <c r="S73" i="5"/>
  <c r="R74" i="6"/>
  <c r="S74" i="6"/>
  <c r="W72" i="5"/>
  <c r="Q74" i="6"/>
  <c r="X72" i="5"/>
  <c r="T73" i="5"/>
  <c r="Y75" i="6"/>
  <c r="U74" i="6"/>
  <c r="T74" i="6"/>
  <c r="Q73" i="5"/>
  <c r="R73" i="5"/>
  <c r="U73" i="5"/>
  <c r="W73" i="6"/>
  <c r="B92" i="1"/>
  <c r="X73" i="6"/>
  <c r="V73" i="6"/>
  <c r="P73" i="5"/>
  <c r="C92" i="1" l="1"/>
  <c r="O76" i="6"/>
  <c r="O75" i="5"/>
  <c r="U74" i="5"/>
  <c r="X74" i="6"/>
  <c r="U75" i="6"/>
  <c r="Q75" i="6"/>
  <c r="S75" i="6"/>
  <c r="T75" i="6"/>
  <c r="B93" i="1"/>
  <c r="V74" i="6"/>
  <c r="V73" i="5"/>
  <c r="R74" i="5"/>
  <c r="X73" i="5"/>
  <c r="W73" i="5"/>
  <c r="W74" i="6"/>
  <c r="P75" i="6"/>
  <c r="T74" i="5"/>
  <c r="P74" i="5"/>
  <c r="Q74" i="5"/>
  <c r="R75" i="6"/>
  <c r="S74" i="5"/>
  <c r="Y76" i="6"/>
  <c r="C93" i="1" l="1"/>
  <c r="O77" i="6"/>
  <c r="O76" i="5"/>
  <c r="U76" i="6"/>
  <c r="P75" i="5"/>
  <c r="V74" i="5"/>
  <c r="Q76" i="6"/>
  <c r="P76" i="6"/>
  <c r="V75" i="6"/>
  <c r="T75" i="5"/>
  <c r="W74" i="5"/>
  <c r="T76" i="6"/>
  <c r="B94" i="1"/>
  <c r="S75" i="5"/>
  <c r="W75" i="6"/>
  <c r="X74" i="5"/>
  <c r="U75" i="5"/>
  <c r="R76" i="6"/>
  <c r="Q75" i="5"/>
  <c r="Y77" i="6"/>
  <c r="X75" i="6"/>
  <c r="R75" i="5"/>
  <c r="S76" i="6"/>
  <c r="C94" i="1" l="1"/>
  <c r="O78" i="6"/>
  <c r="O77" i="5"/>
  <c r="P77" i="6"/>
  <c r="Q76" i="5"/>
  <c r="R76" i="5"/>
  <c r="W76" i="6"/>
  <c r="P76" i="5"/>
  <c r="S77" i="6"/>
  <c r="T76" i="5"/>
  <c r="B95" i="1"/>
  <c r="V76" i="6"/>
  <c r="U77" i="6"/>
  <c r="T77" i="6"/>
  <c r="W75" i="5"/>
  <c r="X75" i="5"/>
  <c r="Y78" i="6"/>
  <c r="Q77" i="6"/>
  <c r="V75" i="5"/>
  <c r="R77" i="6"/>
  <c r="S76" i="5"/>
  <c r="U76" i="5"/>
  <c r="X76" i="6"/>
  <c r="C95" i="1" l="1"/>
  <c r="O79" i="6"/>
  <c r="O78" i="5"/>
  <c r="U78" i="6"/>
  <c r="B96" i="1"/>
  <c r="Y79" i="6"/>
  <c r="T78" i="6"/>
  <c r="W76" i="5"/>
  <c r="V77" i="6"/>
  <c r="S77" i="5"/>
  <c r="S78" i="6"/>
  <c r="Q77" i="5"/>
  <c r="P77" i="5"/>
  <c r="R78" i="6"/>
  <c r="W77" i="6"/>
  <c r="T77" i="5"/>
  <c r="Q78" i="6"/>
  <c r="X76" i="5"/>
  <c r="P78" i="6"/>
  <c r="V76" i="5"/>
  <c r="R77" i="5"/>
  <c r="U77" i="5"/>
  <c r="X77" i="6"/>
  <c r="C96" i="1" l="1"/>
  <c r="O80" i="6"/>
  <c r="O79" i="5"/>
  <c r="S79" i="6"/>
  <c r="Q79" i="6"/>
  <c r="W78" i="6"/>
  <c r="U79" i="6"/>
  <c r="V78" i="6"/>
  <c r="P78" i="5"/>
  <c r="Q78" i="5"/>
  <c r="W77" i="5"/>
  <c r="S78" i="5"/>
  <c r="R78" i="5"/>
  <c r="X78" i="6"/>
  <c r="R79" i="6"/>
  <c r="T78" i="5"/>
  <c r="T79" i="6"/>
  <c r="P79" i="6"/>
  <c r="B97" i="1"/>
  <c r="X77" i="5"/>
  <c r="U78" i="5"/>
  <c r="V77" i="5"/>
  <c r="Y80" i="6"/>
  <c r="C97" i="1" l="1"/>
  <c r="O81" i="6"/>
  <c r="O80" i="5"/>
  <c r="T80" i="6"/>
  <c r="P80" i="6"/>
  <c r="S80" i="6"/>
  <c r="Y81" i="6"/>
  <c r="U79" i="5"/>
  <c r="Q80" i="6"/>
  <c r="T79" i="5"/>
  <c r="V78" i="5"/>
  <c r="B98" i="1"/>
  <c r="X79" i="6"/>
  <c r="S79" i="5"/>
  <c r="U80" i="6"/>
  <c r="V79" i="6"/>
  <c r="W78" i="5"/>
  <c r="Q79" i="5"/>
  <c r="W79" i="6"/>
  <c r="P79" i="5"/>
  <c r="R80" i="6"/>
  <c r="X78" i="5"/>
  <c r="R79" i="5"/>
  <c r="C98" i="1" l="1"/>
  <c r="O82" i="6"/>
  <c r="O81" i="5"/>
  <c r="W80" i="6"/>
  <c r="B99" i="1"/>
  <c r="X80" i="6"/>
  <c r="T81" i="6"/>
  <c r="Q81" i="6"/>
  <c r="X79" i="5"/>
  <c r="U80" i="5"/>
  <c r="P81" i="6"/>
  <c r="T80" i="5"/>
  <c r="W79" i="5"/>
  <c r="S81" i="6"/>
  <c r="U81" i="6"/>
  <c r="V80" i="6"/>
  <c r="P80" i="5"/>
  <c r="Y82" i="6"/>
  <c r="S80" i="5"/>
  <c r="R81" i="6"/>
  <c r="Q80" i="5"/>
  <c r="R80" i="5"/>
  <c r="V79" i="5"/>
  <c r="C99" i="1" l="1"/>
  <c r="O83" i="6"/>
  <c r="O82" i="5"/>
  <c r="S82" i="6"/>
  <c r="P81" i="5"/>
  <c r="W81" i="6"/>
  <c r="T82" i="6"/>
  <c r="S81" i="5"/>
  <c r="P82" i="6"/>
  <c r="U81" i="5"/>
  <c r="B100" i="1"/>
  <c r="R81" i="5"/>
  <c r="Y83" i="6"/>
  <c r="T81" i="5"/>
  <c r="X81" i="6"/>
  <c r="R82" i="6"/>
  <c r="X80" i="5"/>
  <c r="Q81" i="5"/>
  <c r="W80" i="5"/>
  <c r="Q82" i="6"/>
  <c r="V81" i="6"/>
  <c r="V80" i="5"/>
  <c r="U82" i="6"/>
  <c r="C100" i="1" l="1"/>
  <c r="O84" i="6"/>
  <c r="O83" i="5"/>
  <c r="W81" i="5"/>
  <c r="U82" i="5"/>
  <c r="T83" i="6"/>
  <c r="V82" i="6"/>
  <c r="V81" i="5"/>
  <c r="P83" i="6"/>
  <c r="Q82" i="5"/>
  <c r="U83" i="6"/>
  <c r="R83" i="6"/>
  <c r="B101" i="1"/>
  <c r="P82" i="5"/>
  <c r="W82" i="6"/>
  <c r="Q83" i="6"/>
  <c r="Y84" i="6"/>
  <c r="S83" i="6"/>
  <c r="T82" i="5"/>
  <c r="R82" i="5"/>
  <c r="S82" i="5"/>
  <c r="X81" i="5"/>
  <c r="X82" i="6"/>
  <c r="C101" i="1" l="1"/>
  <c r="O85" i="6"/>
  <c r="O84" i="5"/>
  <c r="W83" i="6"/>
  <c r="V82" i="5"/>
  <c r="R84" i="6"/>
  <c r="W82" i="5"/>
  <c r="Q83" i="5"/>
  <c r="S84" i="6"/>
  <c r="Y85" i="6"/>
  <c r="R83" i="5"/>
  <c r="T83" i="5"/>
  <c r="P84" i="6"/>
  <c r="U83" i="5"/>
  <c r="B102" i="1"/>
  <c r="U84" i="6"/>
  <c r="T84" i="6"/>
  <c r="S83" i="5"/>
  <c r="X83" i="6"/>
  <c r="P83" i="5"/>
  <c r="X82" i="5"/>
  <c r="Q84" i="6"/>
  <c r="V83" i="6"/>
  <c r="C102" i="1" l="1"/>
  <c r="O86" i="6"/>
  <c r="O85" i="5"/>
  <c r="X83" i="5"/>
  <c r="Y86" i="6"/>
  <c r="U85" i="6"/>
  <c r="T85" i="6"/>
  <c r="R85" i="6"/>
  <c r="R84" i="5"/>
  <c r="P85" i="6"/>
  <c r="Q84" i="5"/>
  <c r="T84" i="5"/>
  <c r="Q85" i="6"/>
  <c r="V84" i="6"/>
  <c r="P84" i="5"/>
  <c r="X84" i="6"/>
  <c r="S85" i="6"/>
  <c r="S84" i="5"/>
  <c r="W83" i="5"/>
  <c r="U84" i="5"/>
  <c r="W84" i="6"/>
  <c r="V83" i="5"/>
  <c r="B103" i="1"/>
  <c r="C103" i="1" l="1"/>
  <c r="O87" i="6"/>
  <c r="O86" i="5"/>
  <c r="T85" i="5"/>
  <c r="U86" i="6"/>
  <c r="B104" i="1"/>
  <c r="Y87" i="6"/>
  <c r="T86" i="6"/>
  <c r="P86" i="6"/>
  <c r="S85" i="5"/>
  <c r="V85" i="6"/>
  <c r="R85" i="5"/>
  <c r="U85" i="5"/>
  <c r="V84" i="5"/>
  <c r="Q85" i="5"/>
  <c r="R86" i="6"/>
  <c r="S86" i="6"/>
  <c r="P85" i="5"/>
  <c r="X85" i="6"/>
  <c r="Q86" i="6"/>
  <c r="W85" i="6"/>
  <c r="X84" i="5"/>
  <c r="W84" i="5"/>
  <c r="C104" i="1" l="1"/>
  <c r="O88" i="6"/>
  <c r="O87" i="5"/>
  <c r="U87" i="6"/>
  <c r="T87" i="6"/>
  <c r="W86" i="6"/>
  <c r="S86" i="5"/>
  <c r="R87" i="6"/>
  <c r="V85" i="5"/>
  <c r="P86" i="5"/>
  <c r="T86" i="5"/>
  <c r="P87" i="6"/>
  <c r="V86" i="6"/>
  <c r="B105" i="1"/>
  <c r="W85" i="5"/>
  <c r="X86" i="6"/>
  <c r="Q86" i="5"/>
  <c r="S87" i="6"/>
  <c r="R86" i="5"/>
  <c r="X85" i="5"/>
  <c r="U86" i="5"/>
  <c r="Q87" i="6"/>
  <c r="W87" i="6" s="1"/>
  <c r="Y88" i="6"/>
  <c r="C105" i="1" l="1"/>
  <c r="O89" i="6"/>
  <c r="O88" i="5"/>
  <c r="T87" i="5"/>
  <c r="S88" i="6"/>
  <c r="Q88" i="6"/>
  <c r="R88" i="6"/>
  <c r="P87" i="5"/>
  <c r="V86" i="5"/>
  <c r="W86" i="5"/>
  <c r="X87" i="6"/>
  <c r="X86" i="5"/>
  <c r="B106" i="1"/>
  <c r="S87" i="5"/>
  <c r="R87" i="5"/>
  <c r="U87" i="5"/>
  <c r="Q87" i="5"/>
  <c r="U88" i="6"/>
  <c r="T88" i="6"/>
  <c r="P88" i="6"/>
  <c r="V87" i="6"/>
  <c r="Y89" i="6"/>
  <c r="C106" i="1" l="1"/>
  <c r="O90" i="6"/>
  <c r="O89" i="5"/>
  <c r="T89" i="6"/>
  <c r="X88" i="6"/>
  <c r="R89" i="6"/>
  <c r="Q88" i="5"/>
  <c r="P88" i="5"/>
  <c r="V88" i="6"/>
  <c r="S88" i="5"/>
  <c r="W88" i="6"/>
  <c r="V87" i="5"/>
  <c r="Q89" i="6"/>
  <c r="W87" i="5"/>
  <c r="U89" i="6"/>
  <c r="P89" i="6"/>
  <c r="U88" i="5"/>
  <c r="X87" i="5"/>
  <c r="S89" i="6"/>
  <c r="T88" i="5"/>
  <c r="Y90" i="6"/>
  <c r="B107" i="1"/>
  <c r="R88" i="5"/>
  <c r="C107" i="1" l="1"/>
  <c r="O91" i="6"/>
  <c r="O90" i="5"/>
  <c r="X89" i="6"/>
  <c r="V89" i="6"/>
  <c r="P89" i="5"/>
  <c r="W88" i="5"/>
  <c r="S89" i="5"/>
  <c r="U89" i="5"/>
  <c r="Q90" i="6"/>
  <c r="T90" i="6"/>
  <c r="X88" i="5"/>
  <c r="R89" i="5"/>
  <c r="R90" i="6"/>
  <c r="Q89" i="5"/>
  <c r="W89" i="6"/>
  <c r="V88" i="5"/>
  <c r="U90" i="6"/>
  <c r="Y91" i="6"/>
  <c r="S90" i="6"/>
  <c r="B108" i="1"/>
  <c r="P90" i="6"/>
  <c r="T89" i="5"/>
  <c r="C108" i="1" l="1"/>
  <c r="O92" i="6"/>
  <c r="O91" i="5"/>
  <c r="W90" i="6"/>
  <c r="S91" i="6"/>
  <c r="V90" i="6"/>
  <c r="X89" i="5"/>
  <c r="R91" i="6"/>
  <c r="X90" i="6"/>
  <c r="V89" i="5"/>
  <c r="S90" i="5"/>
  <c r="U91" i="6"/>
  <c r="R90" i="5"/>
  <c r="P91" i="6"/>
  <c r="T90" i="5"/>
  <c r="B109" i="1"/>
  <c r="Q91" i="6"/>
  <c r="P90" i="5"/>
  <c r="Q90" i="5"/>
  <c r="U90" i="5"/>
  <c r="T91" i="6"/>
  <c r="Y92" i="6"/>
  <c r="W89" i="5"/>
  <c r="C109" i="1" l="1"/>
  <c r="O93" i="6"/>
  <c r="O92" i="5"/>
  <c r="R91" i="5"/>
  <c r="Y93" i="6"/>
  <c r="W91" i="6"/>
  <c r="Q92" i="6"/>
  <c r="Q91" i="5"/>
  <c r="V90" i="5"/>
  <c r="U91" i="5"/>
  <c r="R92" i="6"/>
  <c r="T92" i="6"/>
  <c r="W90" i="5"/>
  <c r="P92" i="6"/>
  <c r="U92" i="6"/>
  <c r="X91" i="6"/>
  <c r="T91" i="5"/>
  <c r="P91" i="5"/>
  <c r="V91" i="6"/>
  <c r="X90" i="5"/>
  <c r="B110" i="1"/>
  <c r="S91" i="5"/>
  <c r="S92" i="6"/>
  <c r="C110" i="1" l="1"/>
  <c r="O94" i="6"/>
  <c r="O93" i="5"/>
  <c r="W91" i="5"/>
  <c r="S93" i="6"/>
  <c r="V91" i="5"/>
  <c r="B111" i="1"/>
  <c r="P92" i="5"/>
  <c r="V92" i="6"/>
  <c r="Y94" i="6"/>
  <c r="Q93" i="6"/>
  <c r="S92" i="5"/>
  <c r="Q92" i="5"/>
  <c r="T93" i="6"/>
  <c r="X92" i="6"/>
  <c r="T92" i="5"/>
  <c r="R93" i="6"/>
  <c r="X93" i="6" s="1"/>
  <c r="U92" i="5"/>
  <c r="U93" i="6"/>
  <c r="R92" i="5"/>
  <c r="X91" i="5"/>
  <c r="P93" i="6"/>
  <c r="W92" i="6"/>
  <c r="C111" i="1" l="1"/>
  <c r="O95" i="6"/>
  <c r="O94" i="5"/>
  <c r="U93" i="5"/>
  <c r="B112" i="1"/>
  <c r="S94" i="6"/>
  <c r="Y95" i="6"/>
  <c r="U94" i="6"/>
  <c r="Q94" i="6"/>
  <c r="R93" i="5"/>
  <c r="T94" i="6"/>
  <c r="Q93" i="5"/>
  <c r="R94" i="6"/>
  <c r="W93" i="6"/>
  <c r="T93" i="5"/>
  <c r="W92" i="5"/>
  <c r="V93" i="6"/>
  <c r="P94" i="6"/>
  <c r="P93" i="5"/>
  <c r="V92" i="5"/>
  <c r="S93" i="5"/>
  <c r="X92" i="5"/>
  <c r="C112" i="1" l="1"/>
  <c r="O96" i="6"/>
  <c r="O95" i="5"/>
  <c r="T95" i="6"/>
  <c r="Q94" i="5"/>
  <c r="P95" i="6"/>
  <c r="B113" i="1"/>
  <c r="R94" i="5"/>
  <c r="Y96" i="6"/>
  <c r="P94" i="5"/>
  <c r="X94" i="6"/>
  <c r="S94" i="5"/>
  <c r="W93" i="5"/>
  <c r="V94" i="6"/>
  <c r="S95" i="6"/>
  <c r="X93" i="5"/>
  <c r="R95" i="6"/>
  <c r="U94" i="5"/>
  <c r="T94" i="5"/>
  <c r="Q95" i="6"/>
  <c r="U95" i="6"/>
  <c r="V93" i="5"/>
  <c r="W94" i="6"/>
  <c r="C113" i="1" l="1"/>
  <c r="O97" i="6"/>
  <c r="O96" i="5"/>
  <c r="X95" i="6"/>
  <c r="W94" i="5"/>
  <c r="R95" i="5"/>
  <c r="T96" i="6"/>
  <c r="U96" i="6"/>
  <c r="X94" i="5"/>
  <c r="P96" i="6"/>
  <c r="Q95" i="5"/>
  <c r="V94" i="5"/>
  <c r="S96" i="6"/>
  <c r="W95" i="6"/>
  <c r="V95" i="6"/>
  <c r="T95" i="5"/>
  <c r="R96" i="6"/>
  <c r="S95" i="5"/>
  <c r="U95" i="5"/>
  <c r="B114" i="1"/>
  <c r="Y97" i="6"/>
  <c r="P95" i="5"/>
  <c r="Q96" i="6"/>
  <c r="C114" i="1" l="1"/>
  <c r="O98" i="6"/>
  <c r="O97" i="5"/>
  <c r="V96" i="6"/>
  <c r="B115" i="1"/>
  <c r="R97" i="6"/>
  <c r="X96" i="6"/>
  <c r="T96" i="5"/>
  <c r="S97" i="6"/>
  <c r="X95" i="5"/>
  <c r="W95" i="5"/>
  <c r="U96" i="5"/>
  <c r="Y98" i="6"/>
  <c r="T97" i="6"/>
  <c r="R96" i="5"/>
  <c r="U97" i="6"/>
  <c r="P97" i="6"/>
  <c r="P96" i="5"/>
  <c r="S96" i="5"/>
  <c r="Q96" i="5"/>
  <c r="W96" i="6"/>
  <c r="Q97" i="6"/>
  <c r="V95" i="5"/>
  <c r="C115" i="1" l="1"/>
  <c r="O99" i="6"/>
  <c r="O98" i="5"/>
  <c r="V96" i="5"/>
  <c r="T98" i="6"/>
  <c r="T97" i="5"/>
  <c r="V97" i="6"/>
  <c r="U97" i="5"/>
  <c r="X96" i="5"/>
  <c r="P97" i="5"/>
  <c r="W97" i="6"/>
  <c r="Q98" i="6"/>
  <c r="W96" i="5"/>
  <c r="Q97" i="5"/>
  <c r="Y99" i="6"/>
  <c r="S97" i="5"/>
  <c r="S98" i="6"/>
  <c r="B116" i="1"/>
  <c r="R97" i="5"/>
  <c r="R98" i="6"/>
  <c r="U98" i="6"/>
  <c r="P98" i="6"/>
  <c r="X97" i="6"/>
  <c r="C116" i="1" l="1"/>
  <c r="O100" i="6"/>
  <c r="O99" i="5"/>
  <c r="Q98" i="5"/>
  <c r="T98" i="5"/>
  <c r="U99" i="6"/>
  <c r="B117" i="1"/>
  <c r="P99" i="6"/>
  <c r="R98" i="5"/>
  <c r="V98" i="6"/>
  <c r="X97" i="5"/>
  <c r="V97" i="5"/>
  <c r="Y100" i="6"/>
  <c r="R99" i="6"/>
  <c r="W97" i="5"/>
  <c r="T99" i="6"/>
  <c r="P98" i="5"/>
  <c r="S98" i="5"/>
  <c r="S99" i="6"/>
  <c r="W98" i="6"/>
  <c r="Q99" i="6"/>
  <c r="X98" i="6"/>
  <c r="U98" i="5"/>
  <c r="C117" i="1" l="1"/>
  <c r="O101" i="6"/>
  <c r="O100" i="5"/>
  <c r="X98" i="5"/>
  <c r="T99" i="5"/>
  <c r="V99" i="6"/>
  <c r="S99" i="5"/>
  <c r="P99" i="5"/>
  <c r="X99" i="6"/>
  <c r="Q99" i="5"/>
  <c r="W98" i="5"/>
  <c r="V98" i="5"/>
  <c r="S100" i="6"/>
  <c r="B118" i="1"/>
  <c r="U100" i="6"/>
  <c r="Y101" i="6"/>
  <c r="R100" i="6"/>
  <c r="Q100" i="6"/>
  <c r="R99" i="5"/>
  <c r="T100" i="6"/>
  <c r="U99" i="5"/>
  <c r="W99" i="6"/>
  <c r="P100" i="6"/>
  <c r="C118" i="1" l="1"/>
  <c r="O102" i="6"/>
  <c r="O101" i="5"/>
  <c r="Q100" i="5"/>
  <c r="S101" i="6"/>
  <c r="V100" i="6"/>
  <c r="X100" i="6"/>
  <c r="W99" i="5"/>
  <c r="B119" i="1"/>
  <c r="P100" i="5"/>
  <c r="P101" i="6"/>
  <c r="Q101" i="6"/>
  <c r="T100" i="5"/>
  <c r="W100" i="6"/>
  <c r="R100" i="5"/>
  <c r="T101" i="6"/>
  <c r="X99" i="5"/>
  <c r="V99" i="5"/>
  <c r="Y102" i="6"/>
  <c r="U100" i="5"/>
  <c r="W101" i="6"/>
  <c r="R101" i="6"/>
  <c r="S100" i="5"/>
  <c r="U101" i="6"/>
  <c r="C119" i="1" l="1"/>
  <c r="O103" i="6"/>
  <c r="O102" i="5"/>
  <c r="P101" i="5"/>
  <c r="X100" i="5"/>
  <c r="S102" i="6"/>
  <c r="T101" i="5"/>
  <c r="T102" i="6"/>
  <c r="B120" i="1"/>
  <c r="V100" i="5"/>
  <c r="R102" i="6"/>
  <c r="W100" i="5"/>
  <c r="U101" i="5"/>
  <c r="Y103" i="6"/>
  <c r="Q101" i="5"/>
  <c r="V101" i="6"/>
  <c r="X101" i="6"/>
  <c r="S101" i="5"/>
  <c r="U102" i="6"/>
  <c r="R101" i="5"/>
  <c r="Q102" i="6"/>
  <c r="P102" i="6"/>
  <c r="C120" i="1" l="1"/>
  <c r="O104" i="6"/>
  <c r="O103" i="5"/>
  <c r="U102" i="5"/>
  <c r="B121" i="1"/>
  <c r="P102" i="5"/>
  <c r="U103" i="6"/>
  <c r="R102" i="5"/>
  <c r="S102" i="5"/>
  <c r="R103" i="6"/>
  <c r="X101" i="5"/>
  <c r="W102" i="6"/>
  <c r="W101" i="5"/>
  <c r="S103" i="6"/>
  <c r="Q102" i="5"/>
  <c r="P103" i="6"/>
  <c r="V101" i="5"/>
  <c r="Y104" i="6"/>
  <c r="V102" i="6"/>
  <c r="X102" i="6"/>
  <c r="T103" i="6"/>
  <c r="T102" i="5"/>
  <c r="Q103" i="6"/>
  <c r="C121" i="1" l="1"/>
  <c r="O105" i="6"/>
  <c r="O104" i="5"/>
  <c r="X103" i="6"/>
  <c r="P103" i="5"/>
  <c r="S103" i="5"/>
  <c r="B122" i="1"/>
  <c r="R104" i="6"/>
  <c r="Q104" i="6"/>
  <c r="S104" i="6"/>
  <c r="W102" i="5"/>
  <c r="P104" i="6"/>
  <c r="V102" i="5"/>
  <c r="V103" i="6"/>
  <c r="U104" i="6"/>
  <c r="Y105" i="6"/>
  <c r="W103" i="6"/>
  <c r="Q103" i="5"/>
  <c r="U103" i="5"/>
  <c r="T103" i="5"/>
  <c r="T104" i="6"/>
  <c r="X102" i="5"/>
  <c r="R103" i="5"/>
  <c r="C122" i="1" l="1"/>
  <c r="O106" i="6"/>
  <c r="O105" i="5"/>
  <c r="U104" i="5"/>
  <c r="Q105" i="6"/>
  <c r="T105" i="6"/>
  <c r="V103" i="5"/>
  <c r="B123" i="1"/>
  <c r="V104" i="6"/>
  <c r="R104" i="5"/>
  <c r="R105" i="6"/>
  <c r="X104" i="6"/>
  <c r="Q104" i="5"/>
  <c r="S104" i="5"/>
  <c r="W104" i="6"/>
  <c r="P105" i="6"/>
  <c r="S105" i="6"/>
  <c r="X103" i="5"/>
  <c r="U105" i="6"/>
  <c r="T104" i="5"/>
  <c r="W103" i="5"/>
  <c r="P104" i="5"/>
  <c r="Y106" i="6"/>
  <c r="C123" i="1" l="1"/>
  <c r="O107" i="6"/>
  <c r="O106" i="5"/>
  <c r="X104" i="5"/>
  <c r="Q105" i="5"/>
  <c r="U106" i="6"/>
  <c r="V104" i="5"/>
  <c r="W104" i="5"/>
  <c r="Q106" i="6"/>
  <c r="R106" i="6"/>
  <c r="S105" i="5"/>
  <c r="V105" i="6"/>
  <c r="B124" i="1"/>
  <c r="X105" i="6"/>
  <c r="W105" i="6"/>
  <c r="T106" i="6"/>
  <c r="Y107" i="6"/>
  <c r="R105" i="5"/>
  <c r="T105" i="5"/>
  <c r="U105" i="5"/>
  <c r="P105" i="5"/>
  <c r="S106" i="6"/>
  <c r="P106" i="6"/>
  <c r="C124" i="1" l="1"/>
  <c r="O108" i="6"/>
  <c r="O107" i="5"/>
  <c r="W106" i="6"/>
  <c r="Y108" i="6"/>
  <c r="V106" i="6"/>
  <c r="O109" i="6" l="1"/>
  <c r="O108" i="5"/>
  <c r="T107" i="5"/>
  <c r="X105" i="5"/>
  <c r="T106" i="5"/>
  <c r="S108" i="6"/>
  <c r="W105" i="5"/>
  <c r="R108" i="6"/>
  <c r="B125" i="1"/>
  <c r="R107" i="5"/>
  <c r="Y109" i="6"/>
  <c r="R106" i="5"/>
  <c r="S107" i="6"/>
  <c r="U106" i="5"/>
  <c r="X106" i="6"/>
  <c r="P106" i="5"/>
  <c r="S107" i="5"/>
  <c r="U108" i="6"/>
  <c r="R107" i="6"/>
  <c r="T108" i="6"/>
  <c r="Q106" i="5"/>
  <c r="P107" i="5"/>
  <c r="U107" i="6"/>
  <c r="Q107" i="6"/>
  <c r="V105" i="5"/>
  <c r="Q107" i="5"/>
  <c r="U107" i="5"/>
  <c r="T107" i="6"/>
  <c r="S106" i="5"/>
  <c r="P108" i="6"/>
  <c r="P107" i="6"/>
  <c r="Q108" i="6"/>
  <c r="C125" i="1" l="1"/>
  <c r="O110" i="6"/>
  <c r="O109" i="5"/>
  <c r="W107" i="6"/>
  <c r="U109" i="6"/>
  <c r="W107" i="5"/>
  <c r="X108" i="6"/>
  <c r="W106" i="5"/>
  <c r="T108" i="5"/>
  <c r="R109" i="6"/>
  <c r="W108" i="6"/>
  <c r="S109" i="6"/>
  <c r="R108" i="5"/>
  <c r="T109" i="6"/>
  <c r="X107" i="5"/>
  <c r="P108" i="5"/>
  <c r="V106" i="5"/>
  <c r="B126" i="1"/>
  <c r="V107" i="6"/>
  <c r="Q108" i="5"/>
  <c r="X107" i="6"/>
  <c r="Q109" i="6"/>
  <c r="Y110" i="6"/>
  <c r="S108" i="5"/>
  <c r="U108" i="5"/>
  <c r="P109" i="6"/>
  <c r="V108" i="6"/>
  <c r="V107" i="5"/>
  <c r="X106" i="5"/>
  <c r="C126" i="1" l="1"/>
  <c r="O111" i="6"/>
  <c r="O110" i="5"/>
  <c r="B127" i="1"/>
  <c r="X108" i="5"/>
  <c r="U109" i="5"/>
  <c r="V108" i="5"/>
  <c r="R110" i="6"/>
  <c r="T109" i="5"/>
  <c r="P109" i="5"/>
  <c r="U110" i="6"/>
  <c r="Q109" i="5"/>
  <c r="W109" i="6"/>
  <c r="W108" i="5"/>
  <c r="Q110" i="6"/>
  <c r="X109" i="6"/>
  <c r="R109" i="5"/>
  <c r="V109" i="6"/>
  <c r="T110" i="6"/>
  <c r="P110" i="6"/>
  <c r="B128" i="1"/>
  <c r="S110" i="6"/>
  <c r="S109" i="5"/>
  <c r="Y111" i="6"/>
  <c r="C127" i="1" l="1"/>
  <c r="C128" i="1"/>
  <c r="O112" i="6"/>
  <c r="O111" i="5"/>
  <c r="X110" i="6"/>
  <c r="P111" i="6"/>
  <c r="R111" i="6"/>
  <c r="Q111" i="6"/>
  <c r="V109" i="5"/>
  <c r="S111" i="6"/>
  <c r="T110" i="5"/>
  <c r="V110" i="6"/>
  <c r="T111" i="6"/>
  <c r="S110" i="5"/>
  <c r="Y112" i="6"/>
  <c r="B129" i="1"/>
  <c r="R110" i="5"/>
  <c r="P110" i="5"/>
  <c r="X109" i="5"/>
  <c r="W109" i="5"/>
  <c r="U110" i="5"/>
  <c r="W110" i="6"/>
  <c r="U111" i="6"/>
  <c r="Q110" i="5"/>
  <c r="C129" i="1" l="1"/>
  <c r="O113" i="6"/>
  <c r="O112" i="5"/>
  <c r="R112" i="6"/>
  <c r="Q111" i="5"/>
  <c r="T112" i="6"/>
  <c r="W110" i="5"/>
  <c r="U111" i="5"/>
  <c r="P112" i="6"/>
  <c r="Y113" i="6"/>
  <c r="B130" i="1"/>
  <c r="P111" i="5"/>
  <c r="S111" i="5"/>
  <c r="R111" i="5"/>
  <c r="X110" i="5"/>
  <c r="B131" i="1"/>
  <c r="T111" i="5"/>
  <c r="V111" i="6"/>
  <c r="W111" i="6"/>
  <c r="X111" i="6"/>
  <c r="V110" i="5"/>
  <c r="Q112" i="6"/>
  <c r="U112" i="6"/>
  <c r="S112" i="6"/>
  <c r="C130" i="1" l="1"/>
  <c r="C131" i="1"/>
  <c r="O114" i="6"/>
  <c r="O113" i="5"/>
  <c r="X112" i="6"/>
  <c r="X111" i="5"/>
  <c r="V111" i="5"/>
  <c r="B132" i="1"/>
  <c r="Q112" i="5"/>
  <c r="V112" i="6"/>
  <c r="W112" i="6"/>
  <c r="S113" i="6"/>
  <c r="U112" i="5"/>
  <c r="Q113" i="6"/>
  <c r="R112" i="5"/>
  <c r="P112" i="5"/>
  <c r="U113" i="6"/>
  <c r="T113" i="6"/>
  <c r="T112" i="5"/>
  <c r="R113" i="6"/>
  <c r="W111" i="5"/>
  <c r="Y114" i="6"/>
  <c r="S112" i="5"/>
  <c r="P113" i="6"/>
  <c r="C132" i="1" l="1"/>
  <c r="O115" i="6"/>
  <c r="O114" i="5"/>
  <c r="U113" i="5"/>
  <c r="B133" i="1"/>
  <c r="W112" i="5"/>
  <c r="S113" i="5"/>
  <c r="Y115" i="6"/>
  <c r="T113" i="5"/>
  <c r="X113" i="6"/>
  <c r="Q113" i="5"/>
  <c r="R114" i="6"/>
  <c r="Q114" i="6"/>
  <c r="S114" i="6"/>
  <c r="T114" i="6"/>
  <c r="W113" i="6"/>
  <c r="X112" i="5"/>
  <c r="P114" i="6"/>
  <c r="V112" i="5"/>
  <c r="U114" i="6"/>
  <c r="V113" i="6"/>
  <c r="P113" i="5"/>
  <c r="R113" i="5"/>
  <c r="C133" i="1" l="1"/>
  <c r="O116" i="6"/>
  <c r="O115" i="5"/>
  <c r="S114" i="5"/>
  <c r="U114" i="5"/>
  <c r="Y116" i="6"/>
  <c r="B134" i="1"/>
  <c r="R115" i="6"/>
  <c r="V113" i="5"/>
  <c r="R114" i="5"/>
  <c r="W114" i="6"/>
  <c r="P114" i="5"/>
  <c r="T114" i="5"/>
  <c r="X113" i="5"/>
  <c r="S115" i="6"/>
  <c r="X114" i="6"/>
  <c r="Q114" i="5"/>
  <c r="P115" i="6"/>
  <c r="V114" i="6"/>
  <c r="B135" i="1"/>
  <c r="W113" i="5"/>
  <c r="U115" i="6"/>
  <c r="T115" i="6"/>
  <c r="Q115" i="6"/>
  <c r="C134" i="1" l="1"/>
  <c r="C135" i="1"/>
  <c r="O117" i="6"/>
  <c r="O116" i="5"/>
  <c r="R115" i="5"/>
  <c r="B136" i="1"/>
  <c r="X115" i="6"/>
  <c r="P116" i="6"/>
  <c r="Q115" i="5"/>
  <c r="X114" i="5"/>
  <c r="P115" i="5"/>
  <c r="W114" i="5"/>
  <c r="R116" i="6"/>
  <c r="Q116" i="6"/>
  <c r="U115" i="5"/>
  <c r="W115" i="6"/>
  <c r="T115" i="5"/>
  <c r="V115" i="6"/>
  <c r="S115" i="5"/>
  <c r="S116" i="6"/>
  <c r="U116" i="6"/>
  <c r="Y117" i="6"/>
  <c r="T116" i="6"/>
  <c r="V114" i="5"/>
  <c r="C136" i="1" l="1"/>
  <c r="O118" i="6"/>
  <c r="O117" i="5"/>
  <c r="R116" i="5"/>
  <c r="B137" i="1"/>
  <c r="W116" i="6"/>
  <c r="W115" i="5"/>
  <c r="R117" i="6"/>
  <c r="V116" i="6"/>
  <c r="Y118" i="6"/>
  <c r="T116" i="5"/>
  <c r="V115" i="5"/>
  <c r="T117" i="6"/>
  <c r="S116" i="5"/>
  <c r="Q117" i="6"/>
  <c r="S117" i="6"/>
  <c r="P116" i="5"/>
  <c r="Q116" i="5"/>
  <c r="X116" i="6"/>
  <c r="P117" i="6"/>
  <c r="X115" i="5"/>
  <c r="U116" i="5"/>
  <c r="U117" i="6"/>
  <c r="C137" i="1" l="1"/>
  <c r="O119" i="6"/>
  <c r="O118" i="5"/>
  <c r="W117" i="6"/>
  <c r="U118" i="6"/>
  <c r="V117" i="6"/>
  <c r="X116" i="5"/>
  <c r="R117" i="5"/>
  <c r="B138" i="1"/>
  <c r="T117" i="5"/>
  <c r="U117" i="5"/>
  <c r="V116" i="5"/>
  <c r="T118" i="6"/>
  <c r="W116" i="5"/>
  <c r="Q118" i="6"/>
  <c r="B139" i="1"/>
  <c r="P117" i="5"/>
  <c r="Y119" i="6"/>
  <c r="S117" i="5"/>
  <c r="R118" i="6"/>
  <c r="X117" i="6"/>
  <c r="Q117" i="5"/>
  <c r="S118" i="6"/>
  <c r="P118" i="6"/>
  <c r="C138" i="1" l="1"/>
  <c r="C139" i="1"/>
  <c r="O120" i="6"/>
  <c r="O119" i="5"/>
  <c r="S119" i="6"/>
  <c r="V118" i="6"/>
  <c r="S118" i="5"/>
  <c r="X117" i="5"/>
  <c r="V117" i="5"/>
  <c r="U118" i="5"/>
  <c r="P118" i="5"/>
  <c r="U119" i="6"/>
  <c r="T118" i="5"/>
  <c r="Q118" i="5"/>
  <c r="W118" i="6"/>
  <c r="P119" i="6"/>
  <c r="X118" i="6"/>
  <c r="W117" i="5"/>
  <c r="T119" i="6"/>
  <c r="Y120" i="6"/>
  <c r="Q119" i="6"/>
  <c r="B140" i="1"/>
  <c r="R118" i="5"/>
  <c r="R119" i="6"/>
  <c r="C140" i="1" l="1"/>
  <c r="O121" i="6"/>
  <c r="O120" i="5"/>
  <c r="U120" i="6"/>
  <c r="X119" i="6"/>
  <c r="B141" i="1"/>
  <c r="X118" i="5"/>
  <c r="Q119" i="5"/>
  <c r="R120" i="6"/>
  <c r="V118" i="5"/>
  <c r="Q120" i="6"/>
  <c r="S119" i="5"/>
  <c r="Y121" i="6"/>
  <c r="S120" i="6"/>
  <c r="W119" i="6"/>
  <c r="P119" i="5"/>
  <c r="R119" i="5"/>
  <c r="T119" i="5"/>
  <c r="U119" i="5"/>
  <c r="T120" i="6"/>
  <c r="P120" i="6"/>
  <c r="W118" i="5"/>
  <c r="V119" i="6"/>
  <c r="C141" i="1" l="1"/>
  <c r="O122" i="6"/>
  <c r="O121" i="5"/>
  <c r="V119" i="5"/>
  <c r="W120" i="6"/>
  <c r="W119" i="5"/>
  <c r="X119" i="5"/>
  <c r="Q121" i="6"/>
  <c r="Y122" i="6"/>
  <c r="Q120" i="5"/>
  <c r="P121" i="6"/>
  <c r="S120" i="5"/>
  <c r="R120" i="5"/>
  <c r="V120" i="6"/>
  <c r="S121" i="6"/>
  <c r="U120" i="5"/>
  <c r="B142" i="1"/>
  <c r="T121" i="6"/>
  <c r="T120" i="5"/>
  <c r="B143" i="1"/>
  <c r="P120" i="5"/>
  <c r="U121" i="6"/>
  <c r="X120" i="6"/>
  <c r="R121" i="6"/>
  <c r="C142" i="1" l="1"/>
  <c r="C143" i="1"/>
  <c r="O123" i="6"/>
  <c r="O122" i="5"/>
  <c r="T121" i="5"/>
  <c r="R121" i="5"/>
  <c r="P121" i="5"/>
  <c r="Q121" i="5"/>
  <c r="P122" i="6"/>
  <c r="V120" i="5"/>
  <c r="U122" i="6"/>
  <c r="Q122" i="6"/>
  <c r="W121" i="6"/>
  <c r="B144" i="1"/>
  <c r="W120" i="5"/>
  <c r="Y123" i="6"/>
  <c r="S121" i="5"/>
  <c r="R122" i="6"/>
  <c r="X121" i="6"/>
  <c r="X120" i="5"/>
  <c r="V121" i="6"/>
  <c r="S122" i="6"/>
  <c r="T122" i="6"/>
  <c r="U121" i="5"/>
  <c r="C144" i="1" l="1"/>
  <c r="O124" i="6"/>
  <c r="O123" i="5"/>
  <c r="Q123" i="6"/>
  <c r="T122" i="5"/>
  <c r="T123" i="6"/>
  <c r="P123" i="6"/>
  <c r="V122" i="6"/>
  <c r="P122" i="5"/>
  <c r="X122" i="6"/>
  <c r="X121" i="5"/>
  <c r="W122" i="6"/>
  <c r="B145" i="1"/>
  <c r="V121" i="5"/>
  <c r="W121" i="5"/>
  <c r="U123" i="6"/>
  <c r="Q122" i="5"/>
  <c r="R123" i="6"/>
  <c r="U122" i="5"/>
  <c r="R122" i="5"/>
  <c r="S122" i="5"/>
  <c r="Y124" i="6"/>
  <c r="S123" i="6"/>
  <c r="C145" i="1" l="1"/>
  <c r="O125" i="6"/>
  <c r="O124" i="5"/>
  <c r="B146" i="1"/>
  <c r="X122" i="5"/>
  <c r="R124" i="6"/>
  <c r="W122" i="5"/>
  <c r="X123" i="6"/>
  <c r="U123" i="5"/>
  <c r="V122" i="5"/>
  <c r="P124" i="6"/>
  <c r="S124" i="6"/>
  <c r="B147" i="1"/>
  <c r="Q123" i="5"/>
  <c r="V123" i="6"/>
  <c r="R123" i="5"/>
  <c r="U124" i="6"/>
  <c r="S123" i="5"/>
  <c r="W123" i="6"/>
  <c r="Y125" i="6"/>
  <c r="Q124" i="6"/>
  <c r="T124" i="6"/>
  <c r="P123" i="5"/>
  <c r="T123" i="5"/>
  <c r="C146" i="1" l="1"/>
  <c r="C147" i="1"/>
  <c r="O126" i="6"/>
  <c r="O125" i="5"/>
  <c r="S125" i="6"/>
  <c r="W123" i="5"/>
  <c r="P125" i="6"/>
  <c r="U124" i="5"/>
  <c r="T124" i="5"/>
  <c r="T125" i="6"/>
  <c r="Q124" i="5"/>
  <c r="V124" i="6"/>
  <c r="Y126" i="6"/>
  <c r="X124" i="6"/>
  <c r="V123" i="5"/>
  <c r="P124" i="5"/>
  <c r="B148" i="1"/>
  <c r="S124" i="5"/>
  <c r="U125" i="6"/>
  <c r="R124" i="5"/>
  <c r="X123" i="5"/>
  <c r="W124" i="6"/>
  <c r="Q125" i="6"/>
  <c r="R125" i="6"/>
  <c r="C148" i="1" l="1"/>
  <c r="O127" i="6"/>
  <c r="O126" i="5"/>
  <c r="Q126" i="6"/>
  <c r="T125" i="5"/>
  <c r="Q125" i="5"/>
  <c r="T126" i="6"/>
  <c r="P125" i="5"/>
  <c r="U126" i="6"/>
  <c r="W124" i="5"/>
  <c r="V124" i="5"/>
  <c r="Y127" i="6"/>
  <c r="R126" i="6"/>
  <c r="S126" i="6"/>
  <c r="X125" i="6"/>
  <c r="B149" i="1"/>
  <c r="U125" i="5"/>
  <c r="B150" i="1"/>
  <c r="S125" i="5"/>
  <c r="W125" i="6"/>
  <c r="R125" i="5"/>
  <c r="X124" i="5"/>
  <c r="V125" i="6"/>
  <c r="P126" i="6"/>
  <c r="C150" i="1" l="1"/>
  <c r="C149" i="1"/>
  <c r="O128" i="6"/>
  <c r="O127" i="5"/>
  <c r="P127" i="6"/>
  <c r="R127" i="6"/>
  <c r="Q126" i="5"/>
  <c r="U127" i="6"/>
  <c r="U126" i="5"/>
  <c r="B151" i="1"/>
  <c r="X126" i="6"/>
  <c r="W126" i="6"/>
  <c r="W125" i="5"/>
  <c r="T127" i="6"/>
  <c r="V125" i="5"/>
  <c r="Q127" i="6"/>
  <c r="S126" i="5"/>
  <c r="V126" i="6"/>
  <c r="Y128" i="6"/>
  <c r="R126" i="5"/>
  <c r="S127" i="6"/>
  <c r="X125" i="5"/>
  <c r="T126" i="5"/>
  <c r="P126" i="5"/>
  <c r="C151" i="1" l="1"/>
  <c r="O129" i="6"/>
  <c r="O128" i="5"/>
  <c r="U128" i="6"/>
  <c r="X126" i="5"/>
  <c r="X127" i="6"/>
  <c r="V126" i="5"/>
  <c r="U127" i="5"/>
  <c r="T127" i="5"/>
  <c r="R128" i="6"/>
  <c r="V127" i="6"/>
  <c r="Q127" i="5"/>
  <c r="T128" i="6"/>
  <c r="B152" i="1"/>
  <c r="Y129" i="6"/>
  <c r="X128" i="6"/>
  <c r="Q128" i="6"/>
  <c r="R127" i="5"/>
  <c r="S127" i="5"/>
  <c r="P127" i="5"/>
  <c r="W127" i="6"/>
  <c r="P128" i="6"/>
  <c r="W126" i="5"/>
  <c r="S128" i="6"/>
  <c r="C152" i="1" l="1"/>
  <c r="O130" i="6"/>
  <c r="O129" i="5"/>
  <c r="W127" i="5"/>
  <c r="S129" i="6"/>
  <c r="P129" i="6"/>
  <c r="W128" i="6"/>
  <c r="R129" i="6"/>
  <c r="V128" i="6"/>
  <c r="X127" i="5"/>
  <c r="Q129" i="6"/>
  <c r="P128" i="5"/>
  <c r="U129" i="6"/>
  <c r="Y130" i="6"/>
  <c r="T128" i="5"/>
  <c r="R128" i="5"/>
  <c r="T129" i="6"/>
  <c r="V127" i="5"/>
  <c r="B153" i="1"/>
  <c r="S128" i="5"/>
  <c r="U128" i="5"/>
  <c r="Q128" i="5"/>
  <c r="C153" i="1" l="1"/>
  <c r="O131" i="6"/>
  <c r="O130" i="5"/>
  <c r="X129" i="6"/>
  <c r="U129" i="5"/>
  <c r="X128" i="5"/>
  <c r="W128" i="5"/>
  <c r="R130" i="6"/>
  <c r="B154" i="1"/>
  <c r="R129" i="5"/>
  <c r="Y131" i="6"/>
  <c r="P129" i="5"/>
  <c r="V128" i="5"/>
  <c r="V129" i="6"/>
  <c r="Q130" i="6"/>
  <c r="T130" i="6"/>
  <c r="W129" i="6"/>
  <c r="S130" i="6"/>
  <c r="Q129" i="5"/>
  <c r="T129" i="5"/>
  <c r="S129" i="5"/>
  <c r="U130" i="6"/>
  <c r="B155" i="1"/>
  <c r="P130" i="6"/>
  <c r="C154" i="1" l="1"/>
  <c r="C155" i="1"/>
  <c r="O132" i="6"/>
  <c r="O131" i="5"/>
  <c r="T130" i="5"/>
  <c r="W130" i="6"/>
  <c r="S131" i="6"/>
  <c r="B156" i="1"/>
  <c r="Y132" i="6"/>
  <c r="X129" i="5"/>
  <c r="R130" i="5"/>
  <c r="U131" i="6"/>
  <c r="P131" i="6"/>
  <c r="Q131" i="6"/>
  <c r="P130" i="5"/>
  <c r="R131" i="6"/>
  <c r="Q130" i="5"/>
  <c r="U130" i="5"/>
  <c r="W129" i="5"/>
  <c r="V129" i="5"/>
  <c r="T131" i="6"/>
  <c r="S130" i="5"/>
  <c r="V130" i="6"/>
  <c r="X130" i="6"/>
  <c r="C156" i="1" l="1"/>
  <c r="O133" i="6"/>
  <c r="O132" i="5"/>
  <c r="U131" i="5"/>
  <c r="R131" i="5"/>
  <c r="Q131" i="5"/>
  <c r="P131" i="5"/>
  <c r="S132" i="6"/>
  <c r="V130" i="5"/>
  <c r="T132" i="6"/>
  <c r="S131" i="5"/>
  <c r="R132" i="6"/>
  <c r="X132" i="6" s="1"/>
  <c r="Q132" i="6"/>
  <c r="T131" i="5"/>
  <c r="W131" i="6"/>
  <c r="Y133" i="6"/>
  <c r="P132" i="6"/>
  <c r="X131" i="6"/>
  <c r="W130" i="5"/>
  <c r="B157" i="1"/>
  <c r="V131" i="6"/>
  <c r="X130" i="5"/>
  <c r="U132" i="6"/>
  <c r="B158" i="1"/>
  <c r="C158" i="1" l="1"/>
  <c r="C157" i="1"/>
  <c r="O134" i="6"/>
  <c r="O133" i="5"/>
  <c r="U132" i="5"/>
  <c r="P133" i="6"/>
  <c r="B159" i="1"/>
  <c r="U133" i="6"/>
  <c r="Y134" i="6"/>
  <c r="S133" i="6"/>
  <c r="P132" i="5"/>
  <c r="W132" i="6"/>
  <c r="V132" i="6"/>
  <c r="Q133" i="6"/>
  <c r="R133" i="6"/>
  <c r="Q132" i="5"/>
  <c r="V131" i="5"/>
  <c r="T132" i="5"/>
  <c r="R132" i="5"/>
  <c r="X131" i="5"/>
  <c r="T133" i="6"/>
  <c r="S132" i="5"/>
  <c r="W131" i="5"/>
  <c r="C159" i="1" l="1"/>
  <c r="O135" i="6"/>
  <c r="O134" i="5"/>
  <c r="S133" i="5"/>
  <c r="T134" i="6"/>
  <c r="P133" i="5"/>
  <c r="U134" i="6"/>
  <c r="P134" i="6"/>
  <c r="S134" i="6"/>
  <c r="X132" i="5"/>
  <c r="V132" i="5"/>
  <c r="R133" i="5"/>
  <c r="X133" i="6"/>
  <c r="W133" i="6"/>
  <c r="Y135" i="6"/>
  <c r="R134" i="6"/>
  <c r="V133" i="6"/>
  <c r="Q134" i="6"/>
  <c r="T133" i="5"/>
  <c r="Q133" i="5"/>
  <c r="W132" i="5"/>
  <c r="U133" i="5"/>
  <c r="B160" i="1"/>
  <c r="C160" i="1" l="1"/>
  <c r="O136" i="6"/>
  <c r="O135" i="5"/>
  <c r="Q135" i="6"/>
  <c r="V134" i="6"/>
  <c r="U135" i="6"/>
  <c r="U134" i="5"/>
  <c r="S135" i="6"/>
  <c r="P135" i="6"/>
  <c r="R134" i="5"/>
  <c r="X134" i="6"/>
  <c r="T135" i="6"/>
  <c r="P134" i="5"/>
  <c r="W133" i="5"/>
  <c r="S134" i="5"/>
  <c r="V133" i="5"/>
  <c r="W134" i="6"/>
  <c r="T134" i="5"/>
  <c r="Y136" i="6"/>
  <c r="R135" i="6"/>
  <c r="X133" i="5"/>
  <c r="B161" i="1"/>
  <c r="Q134" i="5"/>
  <c r="C161" i="1" l="1"/>
  <c r="O137" i="6"/>
  <c r="O136" i="5"/>
  <c r="S135" i="5"/>
  <c r="X134" i="5"/>
  <c r="W134" i="5"/>
  <c r="V134" i="5"/>
  <c r="R135" i="5"/>
  <c r="Q135" i="5"/>
  <c r="T136" i="6"/>
  <c r="R136" i="6"/>
  <c r="X135" i="6"/>
  <c r="P136" i="6"/>
  <c r="Q136" i="6"/>
  <c r="Y137" i="6"/>
  <c r="B162" i="1"/>
  <c r="B163" i="1" s="1"/>
  <c r="T135" i="5"/>
  <c r="P135" i="5"/>
  <c r="V135" i="6"/>
  <c r="U136" i="6"/>
  <c r="W135" i="6"/>
  <c r="X136" i="6"/>
  <c r="S136" i="6"/>
  <c r="U135" i="5"/>
  <c r="C162" i="1" l="1"/>
  <c r="C163" i="1"/>
  <c r="O138" i="6"/>
  <c r="O137" i="5"/>
  <c r="W136" i="6"/>
  <c r="U137" i="6"/>
  <c r="Q137" i="6"/>
  <c r="P136" i="5"/>
  <c r="Y138" i="6"/>
  <c r="S137" i="6"/>
  <c r="S136" i="5"/>
  <c r="T136" i="5"/>
  <c r="U136" i="5"/>
  <c r="V136" i="6"/>
  <c r="Q136" i="5"/>
  <c r="P137" i="6"/>
  <c r="W135" i="5"/>
  <c r="X135" i="5"/>
  <c r="B164" i="1"/>
  <c r="R136" i="5"/>
  <c r="T137" i="6"/>
  <c r="R137" i="6"/>
  <c r="V135" i="5"/>
  <c r="C164" i="1" l="1"/>
  <c r="O139" i="6"/>
  <c r="O138" i="5"/>
  <c r="Q138" i="6"/>
  <c r="Q137" i="5"/>
  <c r="X136" i="5"/>
  <c r="Y139" i="6"/>
  <c r="R137" i="5"/>
  <c r="S138" i="6"/>
  <c r="W136" i="5"/>
  <c r="U138" i="6"/>
  <c r="R138" i="6"/>
  <c r="B165" i="1"/>
  <c r="U137" i="5"/>
  <c r="S137" i="5"/>
  <c r="P138" i="6"/>
  <c r="W137" i="6"/>
  <c r="T137" i="5"/>
  <c r="X137" i="6"/>
  <c r="P137" i="5"/>
  <c r="V137" i="6"/>
  <c r="T138" i="6"/>
  <c r="V136" i="5"/>
  <c r="C165" i="1" l="1"/>
  <c r="O140" i="6"/>
  <c r="O139" i="5"/>
  <c r="S138" i="5"/>
  <c r="X138" i="6"/>
  <c r="X137" i="5"/>
  <c r="B166" i="1"/>
  <c r="W138" i="6"/>
  <c r="R139" i="6"/>
  <c r="R138" i="5"/>
  <c r="T138" i="5"/>
  <c r="P139" i="6"/>
  <c r="S139" i="6"/>
  <c r="Q138" i="5"/>
  <c r="U138" i="5"/>
  <c r="V138" i="6"/>
  <c r="P138" i="5"/>
  <c r="Y140" i="6"/>
  <c r="U139" i="6"/>
  <c r="W137" i="5"/>
  <c r="Q139" i="6"/>
  <c r="T139" i="6"/>
  <c r="B167" i="1"/>
  <c r="V137" i="5"/>
  <c r="C166" i="1" l="1"/>
  <c r="C167" i="1"/>
  <c r="O141" i="6"/>
  <c r="O140" i="5"/>
  <c r="T140" i="6"/>
  <c r="V139" i="6"/>
  <c r="P140" i="6"/>
  <c r="R140" i="6"/>
  <c r="W139" i="6"/>
  <c r="T139" i="5"/>
  <c r="B168" i="1"/>
  <c r="U140" i="6"/>
  <c r="X139" i="6"/>
  <c r="W138" i="5"/>
  <c r="V138" i="5"/>
  <c r="U139" i="5"/>
  <c r="P139" i="5"/>
  <c r="S139" i="5"/>
  <c r="X138" i="5"/>
  <c r="Q140" i="6"/>
  <c r="R139" i="5"/>
  <c r="Y141" i="6"/>
  <c r="S140" i="6"/>
  <c r="Q139" i="5"/>
  <c r="C168" i="1" l="1"/>
  <c r="O142" i="6"/>
  <c r="O141" i="5"/>
  <c r="W139" i="5"/>
  <c r="P141" i="6"/>
  <c r="U140" i="5"/>
  <c r="T141" i="6"/>
  <c r="W140" i="6"/>
  <c r="B169" i="1"/>
  <c r="B170" i="1" s="1"/>
  <c r="X140" i="6"/>
  <c r="U141" i="6"/>
  <c r="T140" i="5"/>
  <c r="R140" i="5"/>
  <c r="S140" i="5"/>
  <c r="Q141" i="6"/>
  <c r="Q140" i="5"/>
  <c r="X139" i="5"/>
  <c r="V139" i="5"/>
  <c r="S141" i="6"/>
  <c r="Y142" i="6"/>
  <c r="R141" i="6"/>
  <c r="P140" i="5"/>
  <c r="V140" i="6"/>
  <c r="C170" i="1" l="1"/>
  <c r="C169" i="1"/>
  <c r="O143" i="6"/>
  <c r="O142" i="5"/>
  <c r="T141" i="5"/>
  <c r="S141" i="5"/>
  <c r="S142" i="6"/>
  <c r="V140" i="5"/>
  <c r="U141" i="5"/>
  <c r="W140" i="5"/>
  <c r="B171" i="1"/>
  <c r="X141" i="6"/>
  <c r="P141" i="5"/>
  <c r="R141" i="5"/>
  <c r="U142" i="6"/>
  <c r="V141" i="6"/>
  <c r="X140" i="5"/>
  <c r="Q141" i="5"/>
  <c r="Q142" i="6"/>
  <c r="T142" i="6"/>
  <c r="Y143" i="6"/>
  <c r="P142" i="6"/>
  <c r="R142" i="6"/>
  <c r="W141" i="6"/>
  <c r="C171" i="1" l="1"/>
  <c r="O144" i="6"/>
  <c r="O143" i="5"/>
  <c r="U143" i="6"/>
  <c r="U142" i="5"/>
  <c r="T142" i="5"/>
  <c r="Q143" i="6"/>
  <c r="V141" i="5"/>
  <c r="X142" i="6"/>
  <c r="R142" i="5"/>
  <c r="S142" i="5"/>
  <c r="T143" i="6"/>
  <c r="P143" i="6"/>
  <c r="S143" i="6"/>
  <c r="W142" i="6"/>
  <c r="R143" i="6"/>
  <c r="V142" i="6"/>
  <c r="Y144" i="6"/>
  <c r="B172" i="1"/>
  <c r="P142" i="5"/>
  <c r="X141" i="5"/>
  <c r="Q142" i="5"/>
  <c r="W141" i="5"/>
  <c r="C172" i="1" l="1"/>
  <c r="O145" i="6"/>
  <c r="O144" i="5"/>
  <c r="Q144" i="6"/>
  <c r="B173" i="1"/>
  <c r="W143" i="6"/>
  <c r="V142" i="5"/>
  <c r="U144" i="6"/>
  <c r="S144" i="6"/>
  <c r="Y145" i="6"/>
  <c r="Q143" i="5"/>
  <c r="P143" i="5"/>
  <c r="R144" i="6"/>
  <c r="X142" i="5"/>
  <c r="U143" i="5"/>
  <c r="X143" i="6"/>
  <c r="S143" i="5"/>
  <c r="T144" i="6"/>
  <c r="T143" i="5"/>
  <c r="V143" i="6"/>
  <c r="P144" i="6"/>
  <c r="W142" i="5"/>
  <c r="R143" i="5"/>
  <c r="C173" i="1" l="1"/>
  <c r="O146" i="6"/>
  <c r="O145" i="5"/>
  <c r="P145" i="6"/>
  <c r="X144" i="6"/>
  <c r="R144" i="5"/>
  <c r="V144" i="6"/>
  <c r="Y146" i="6"/>
  <c r="P144" i="5"/>
  <c r="T144" i="5"/>
  <c r="X143" i="5"/>
  <c r="Q144" i="5"/>
  <c r="T145" i="6"/>
  <c r="S145" i="6"/>
  <c r="U144" i="5"/>
  <c r="B174" i="1"/>
  <c r="B175" i="1" s="1"/>
  <c r="V143" i="5"/>
  <c r="Q145" i="6"/>
  <c r="U145" i="6"/>
  <c r="R145" i="6"/>
  <c r="S144" i="5"/>
  <c r="W143" i="5"/>
  <c r="W144" i="6"/>
  <c r="C174" i="1" l="1"/>
  <c r="C175" i="1"/>
  <c r="O147" i="6"/>
  <c r="O146" i="5"/>
  <c r="W144" i="5"/>
  <c r="U146" i="6"/>
  <c r="R145" i="5"/>
  <c r="U145" i="5"/>
  <c r="P146" i="6"/>
  <c r="W145" i="6"/>
  <c r="S146" i="6"/>
  <c r="Q145" i="5"/>
  <c r="V144" i="5"/>
  <c r="Q146" i="6"/>
  <c r="X144" i="5"/>
  <c r="T146" i="6"/>
  <c r="X145" i="6"/>
  <c r="B176" i="1"/>
  <c r="V145" i="6"/>
  <c r="P145" i="5"/>
  <c r="T145" i="5"/>
  <c r="Y147" i="6"/>
  <c r="R146" i="6"/>
  <c r="S145" i="5"/>
  <c r="C176" i="1" l="1"/>
  <c r="O148" i="6"/>
  <c r="O147" i="5"/>
  <c r="Q147" i="6"/>
  <c r="U147" i="6"/>
  <c r="V145" i="5"/>
  <c r="V146" i="6"/>
  <c r="S146" i="5"/>
  <c r="Q146" i="5"/>
  <c r="B177" i="1"/>
  <c r="P146" i="5"/>
  <c r="B178" i="1"/>
  <c r="T146" i="5"/>
  <c r="P147" i="6"/>
  <c r="W146" i="6"/>
  <c r="T147" i="6"/>
  <c r="S147" i="6"/>
  <c r="R146" i="5"/>
  <c r="R147" i="6"/>
  <c r="Y148" i="6"/>
  <c r="U146" i="5"/>
  <c r="X146" i="6"/>
  <c r="X145" i="5"/>
  <c r="W145" i="5"/>
  <c r="C178" i="1" l="1"/>
  <c r="C177" i="1"/>
  <c r="O149" i="6"/>
  <c r="O148" i="5"/>
  <c r="X147" i="6"/>
  <c r="W147" i="6"/>
  <c r="V147" i="6"/>
  <c r="B179" i="1"/>
  <c r="Q147" i="5"/>
  <c r="P147" i="5"/>
  <c r="S147" i="5"/>
  <c r="R147" i="5"/>
  <c r="R148" i="6"/>
  <c r="W146" i="5"/>
  <c r="U147" i="5"/>
  <c r="Q148" i="6"/>
  <c r="Y149" i="6"/>
  <c r="U148" i="6"/>
  <c r="X146" i="5"/>
  <c r="T147" i="5"/>
  <c r="V146" i="5"/>
  <c r="S148" i="6"/>
  <c r="T148" i="6"/>
  <c r="P148" i="6"/>
  <c r="C179" i="1" l="1"/>
  <c r="O150" i="6"/>
  <c r="O149" i="5"/>
  <c r="W148" i="6"/>
  <c r="R149" i="6"/>
  <c r="Y150" i="6"/>
  <c r="B180" i="1"/>
  <c r="V147" i="5"/>
  <c r="T149" i="6"/>
  <c r="Q149" i="6"/>
  <c r="R148" i="5"/>
  <c r="Q148" i="5"/>
  <c r="X147" i="5"/>
  <c r="P149" i="6"/>
  <c r="S149" i="6"/>
  <c r="P148" i="5"/>
  <c r="X148" i="6"/>
  <c r="W147" i="5"/>
  <c r="T148" i="5"/>
  <c r="V148" i="6"/>
  <c r="U148" i="5"/>
  <c r="U149" i="6"/>
  <c r="S148" i="5"/>
  <c r="C180" i="1" l="1"/>
  <c r="O151" i="6"/>
  <c r="O150" i="5"/>
  <c r="W149" i="6"/>
  <c r="S149" i="5"/>
  <c r="B181" i="1"/>
  <c r="R150" i="6"/>
  <c r="B182" i="1"/>
  <c r="V149" i="6"/>
  <c r="U150" i="6"/>
  <c r="R149" i="5"/>
  <c r="T150" i="6"/>
  <c r="P149" i="5"/>
  <c r="Y151" i="6"/>
  <c r="W148" i="5"/>
  <c r="P150" i="6"/>
  <c r="V148" i="5"/>
  <c r="X149" i="6"/>
  <c r="S150" i="6"/>
  <c r="X148" i="5"/>
  <c r="U149" i="5"/>
  <c r="T149" i="5"/>
  <c r="Q150" i="6"/>
  <c r="W150" i="6" s="1"/>
  <c r="Q149" i="5"/>
  <c r="C182" i="1" l="1"/>
  <c r="C181" i="1"/>
  <c r="O152" i="6"/>
  <c r="O151" i="5"/>
  <c r="T150" i="5"/>
  <c r="B183" i="1"/>
  <c r="V149" i="5"/>
  <c r="S151" i="6"/>
  <c r="R151" i="6"/>
  <c r="X150" i="6"/>
  <c r="Q150" i="5"/>
  <c r="Q151" i="6"/>
  <c r="V150" i="6"/>
  <c r="U150" i="5"/>
  <c r="R150" i="5"/>
  <c r="P151" i="6"/>
  <c r="U151" i="6"/>
  <c r="T151" i="6"/>
  <c r="S150" i="5"/>
  <c r="W149" i="5"/>
  <c r="P150" i="5"/>
  <c r="X149" i="5"/>
  <c r="Y152" i="6"/>
  <c r="C183" i="1" l="1"/>
  <c r="O153" i="6"/>
  <c r="O152" i="5"/>
  <c r="R151" i="5"/>
  <c r="Q151" i="5"/>
  <c r="W151" i="6"/>
  <c r="U152" i="6"/>
  <c r="V151" i="6"/>
  <c r="S151" i="5"/>
  <c r="S152" i="6"/>
  <c r="T151" i="5"/>
  <c r="P152" i="6"/>
  <c r="X151" i="6"/>
  <c r="X150" i="5"/>
  <c r="R152" i="6"/>
  <c r="V150" i="5"/>
  <c r="P151" i="5"/>
  <c r="W150" i="5"/>
  <c r="T152" i="6"/>
  <c r="Q152" i="6"/>
  <c r="Y153" i="6"/>
  <c r="U151" i="5"/>
  <c r="B184" i="1"/>
  <c r="C184" i="1" l="1"/>
  <c r="O154" i="6"/>
  <c r="O153" i="5"/>
  <c r="P152" i="5"/>
  <c r="B185" i="1"/>
  <c r="R153" i="6"/>
  <c r="R152" i="5"/>
  <c r="V152" i="6"/>
  <c r="S153" i="6"/>
  <c r="Q152" i="5"/>
  <c r="W151" i="5"/>
  <c r="B186" i="1"/>
  <c r="S152" i="5"/>
  <c r="X152" i="6"/>
  <c r="P153" i="6"/>
  <c r="Q153" i="6"/>
  <c r="U153" i="6"/>
  <c r="T152" i="5"/>
  <c r="Y154" i="6"/>
  <c r="W152" i="6"/>
  <c r="T153" i="6"/>
  <c r="X151" i="5"/>
  <c r="V151" i="5"/>
  <c r="U152" i="5"/>
  <c r="C186" i="1" l="1"/>
  <c r="C185" i="1"/>
  <c r="O155" i="6"/>
  <c r="O154" i="5"/>
  <c r="S153" i="5"/>
  <c r="P154" i="6"/>
  <c r="R154" i="6"/>
  <c r="W153" i="6"/>
  <c r="V153" i="6"/>
  <c r="B187" i="1"/>
  <c r="R153" i="5"/>
  <c r="W152" i="5"/>
  <c r="T154" i="6"/>
  <c r="U153" i="5"/>
  <c r="T153" i="5"/>
  <c r="Q154" i="6"/>
  <c r="Y155" i="6"/>
  <c r="P153" i="5"/>
  <c r="X153" i="6"/>
  <c r="V152" i="5"/>
  <c r="X152" i="5"/>
  <c r="S154" i="6"/>
  <c r="U154" i="6"/>
  <c r="Q153" i="5"/>
  <c r="C187" i="1" l="1"/>
  <c r="O156" i="6"/>
  <c r="O155" i="5"/>
  <c r="R154" i="5"/>
  <c r="P155" i="6"/>
  <c r="V154" i="6"/>
  <c r="W153" i="5"/>
  <c r="T154" i="5"/>
  <c r="X154" i="6"/>
  <c r="Q154" i="5"/>
  <c r="V153" i="5"/>
  <c r="U154" i="5"/>
  <c r="Q155" i="6"/>
  <c r="Y156" i="6"/>
  <c r="S154" i="5"/>
  <c r="X153" i="5"/>
  <c r="R155" i="6"/>
  <c r="S155" i="6"/>
  <c r="B188" i="1"/>
  <c r="W154" i="6"/>
  <c r="P154" i="5"/>
  <c r="U155" i="6"/>
  <c r="T155" i="6"/>
  <c r="C188" i="1" l="1"/>
  <c r="O157" i="6"/>
  <c r="O156" i="5"/>
  <c r="X155" i="6"/>
  <c r="V154" i="5"/>
  <c r="V155" i="6"/>
  <c r="S155" i="5"/>
  <c r="B189" i="1"/>
  <c r="Q155" i="5"/>
  <c r="U156" i="6"/>
  <c r="P156" i="6"/>
  <c r="U155" i="5"/>
  <c r="X154" i="5"/>
  <c r="R155" i="5"/>
  <c r="W155" i="6"/>
  <c r="P155" i="5"/>
  <c r="Q156" i="6"/>
  <c r="T156" i="6"/>
  <c r="T155" i="5"/>
  <c r="S156" i="6"/>
  <c r="R156" i="6"/>
  <c r="W154" i="5"/>
  <c r="Y157" i="6"/>
  <c r="C189" i="1" l="1"/>
  <c r="O158" i="6"/>
  <c r="O157" i="5"/>
  <c r="B190" i="1"/>
  <c r="Q156" i="5"/>
  <c r="U157" i="6"/>
  <c r="R156" i="5"/>
  <c r="W156" i="6"/>
  <c r="Y158" i="6"/>
  <c r="P157" i="6"/>
  <c r="U156" i="5"/>
  <c r="T157" i="6"/>
  <c r="P156" i="5"/>
  <c r="S156" i="5"/>
  <c r="X156" i="6"/>
  <c r="Q157" i="6"/>
  <c r="R157" i="6"/>
  <c r="X157" i="6" s="1"/>
  <c r="X155" i="5"/>
  <c r="B191" i="1"/>
  <c r="W155" i="5"/>
  <c r="S157" i="6"/>
  <c r="V155" i="5"/>
  <c r="T156" i="5"/>
  <c r="V156" i="6"/>
  <c r="C190" i="1" l="1"/>
  <c r="C191" i="1"/>
  <c r="O159" i="6"/>
  <c r="O158" i="5"/>
  <c r="P157" i="5"/>
  <c r="Q157" i="5"/>
  <c r="S157" i="5"/>
  <c r="T158" i="6"/>
  <c r="U158" i="6"/>
  <c r="R157" i="5"/>
  <c r="U157" i="5"/>
  <c r="R158" i="6"/>
  <c r="W157" i="6"/>
  <c r="B192" i="1"/>
  <c r="Q158" i="6"/>
  <c r="P158" i="6"/>
  <c r="S158" i="6"/>
  <c r="V156" i="5"/>
  <c r="Y159" i="6"/>
  <c r="V157" i="6"/>
  <c r="W156" i="5"/>
  <c r="T157" i="5"/>
  <c r="X156" i="5"/>
  <c r="C192" i="1" l="1"/>
  <c r="O160" i="6"/>
  <c r="O159" i="5"/>
  <c r="V158" i="6"/>
  <c r="W158" i="6"/>
  <c r="T158" i="5"/>
  <c r="R158" i="5"/>
  <c r="X157" i="5"/>
  <c r="T159" i="6"/>
  <c r="X158" i="6"/>
  <c r="R159" i="6"/>
  <c r="P159" i="6"/>
  <c r="W157" i="5"/>
  <c r="S159" i="6"/>
  <c r="U158" i="5"/>
  <c r="P158" i="5"/>
  <c r="Y160" i="6"/>
  <c r="S158" i="5"/>
  <c r="Q158" i="5"/>
  <c r="Q159" i="6"/>
  <c r="V157" i="5"/>
  <c r="U159" i="6"/>
  <c r="B193" i="1"/>
  <c r="B194" i="1" s="1"/>
  <c r="C194" i="1" l="1"/>
  <c r="C193" i="1"/>
  <c r="O161" i="6"/>
  <c r="O160" i="5"/>
  <c r="X158" i="5"/>
  <c r="T159" i="5"/>
  <c r="T160" i="6"/>
  <c r="Q159" i="5"/>
  <c r="X159" i="6"/>
  <c r="V158" i="5"/>
  <c r="S159" i="5"/>
  <c r="Q160" i="6"/>
  <c r="U160" i="6"/>
  <c r="R160" i="6"/>
  <c r="W159" i="6"/>
  <c r="S160" i="6"/>
  <c r="V159" i="6"/>
  <c r="Y161" i="6"/>
  <c r="P160" i="6"/>
  <c r="V160" i="6" s="1"/>
  <c r="B195" i="1"/>
  <c r="U159" i="5"/>
  <c r="R159" i="5"/>
  <c r="W158" i="5"/>
  <c r="P159" i="5"/>
  <c r="C195" i="1" l="1"/>
  <c r="O162" i="6"/>
  <c r="O161" i="5"/>
  <c r="V159" i="5"/>
  <c r="Q161" i="6"/>
  <c r="T160" i="5"/>
  <c r="S161" i="6"/>
  <c r="P161" i="6"/>
  <c r="X159" i="5"/>
  <c r="U160" i="5"/>
  <c r="R160" i="5"/>
  <c r="R161" i="6"/>
  <c r="U161" i="6"/>
  <c r="P160" i="5"/>
  <c r="T161" i="6"/>
  <c r="S160" i="5"/>
  <c r="W160" i="6"/>
  <c r="X160" i="6"/>
  <c r="B196" i="1"/>
  <c r="Y162" i="6"/>
  <c r="Q160" i="5"/>
  <c r="W159" i="5"/>
  <c r="C196" i="1" l="1"/>
  <c r="O163" i="6"/>
  <c r="O162" i="5"/>
  <c r="T161" i="5"/>
  <c r="U162" i="6"/>
  <c r="S162" i="6"/>
  <c r="R162" i="6"/>
  <c r="W161" i="6"/>
  <c r="S161" i="5"/>
  <c r="U161" i="5"/>
  <c r="W160" i="5"/>
  <c r="V160" i="5"/>
  <c r="P162" i="6"/>
  <c r="Q161" i="5"/>
  <c r="X161" i="6"/>
  <c r="Q162" i="6"/>
  <c r="Y163" i="6"/>
  <c r="R161" i="5"/>
  <c r="T162" i="6"/>
  <c r="V161" i="6"/>
  <c r="P161" i="5"/>
  <c r="B197" i="1"/>
  <c r="X160" i="5"/>
  <c r="C197" i="1" l="1"/>
  <c r="O164" i="6"/>
  <c r="O163" i="5"/>
  <c r="S163" i="6"/>
  <c r="U162" i="5"/>
  <c r="P163" i="6"/>
  <c r="Y164" i="6"/>
  <c r="Q163" i="6"/>
  <c r="W162" i="6"/>
  <c r="T162" i="5"/>
  <c r="V162" i="6"/>
  <c r="X161" i="5"/>
  <c r="W161" i="5"/>
  <c r="R162" i="5"/>
  <c r="X162" i="6"/>
  <c r="U163" i="6"/>
  <c r="V161" i="5"/>
  <c r="B198" i="1"/>
  <c r="B199" i="1" s="1"/>
  <c r="R163" i="6"/>
  <c r="Q162" i="5"/>
  <c r="T163" i="6"/>
  <c r="P162" i="5"/>
  <c r="S162" i="5"/>
  <c r="C198" i="1" l="1"/>
  <c r="C199" i="1"/>
  <c r="O165" i="6"/>
  <c r="O164" i="5"/>
  <c r="X163" i="6"/>
  <c r="S163" i="5"/>
  <c r="T163" i="5"/>
  <c r="B200" i="1"/>
  <c r="Q164" i="6"/>
  <c r="V162" i="5"/>
  <c r="Q163" i="5"/>
  <c r="P163" i="5"/>
  <c r="U164" i="6"/>
  <c r="V163" i="6"/>
  <c r="S164" i="6"/>
  <c r="W162" i="5"/>
  <c r="R163" i="5"/>
  <c r="P164" i="6"/>
  <c r="U163" i="5"/>
  <c r="W163" i="6"/>
  <c r="Y165" i="6"/>
  <c r="T164" i="6"/>
  <c r="R164" i="6"/>
  <c r="X162" i="5"/>
  <c r="C200" i="1" l="1"/>
  <c r="O166" i="6"/>
  <c r="O165" i="5"/>
  <c r="X163" i="5"/>
  <c r="S164" i="5"/>
  <c r="S165" i="6"/>
  <c r="B201" i="1"/>
  <c r="W163" i="5"/>
  <c r="P164" i="5"/>
  <c r="V163" i="5"/>
  <c r="R165" i="6"/>
  <c r="T164" i="5"/>
  <c r="T165" i="6"/>
  <c r="R164" i="5"/>
  <c r="Q165" i="6"/>
  <c r="Q164" i="5"/>
  <c r="V164" i="6"/>
  <c r="P165" i="6"/>
  <c r="X164" i="6"/>
  <c r="U165" i="6"/>
  <c r="W164" i="6"/>
  <c r="Y166" i="6"/>
  <c r="U164" i="5"/>
  <c r="C201" i="1" l="1"/>
  <c r="O167" i="6"/>
  <c r="O166" i="5"/>
  <c r="B202" i="1"/>
  <c r="U165" i="5"/>
  <c r="S165" i="5"/>
  <c r="V164" i="5"/>
  <c r="S166" i="6"/>
  <c r="W164" i="5"/>
  <c r="X164" i="5"/>
  <c r="B203" i="1"/>
  <c r="U166" i="6"/>
  <c r="T166" i="6"/>
  <c r="R165" i="5"/>
  <c r="V165" i="6"/>
  <c r="P166" i="6"/>
  <c r="X165" i="6"/>
  <c r="R166" i="6"/>
  <c r="Q166" i="6"/>
  <c r="P165" i="5"/>
  <c r="Q165" i="5"/>
  <c r="Y167" i="6"/>
  <c r="T165" i="5"/>
  <c r="W165" i="6"/>
  <c r="C202" i="1" l="1"/>
  <c r="C203" i="1"/>
  <c r="O168" i="6"/>
  <c r="O167" i="5"/>
  <c r="Q167" i="6"/>
  <c r="X166" i="6"/>
  <c r="Y168" i="6"/>
  <c r="P166" i="5"/>
  <c r="V166" i="6"/>
  <c r="W166" i="6"/>
  <c r="Q166" i="5"/>
  <c r="S167" i="6"/>
  <c r="R166" i="5"/>
  <c r="S166" i="5"/>
  <c r="W165" i="5"/>
  <c r="R167" i="6"/>
  <c r="P167" i="6"/>
  <c r="T167" i="6"/>
  <c r="B204" i="1"/>
  <c r="U167" i="6"/>
  <c r="U166" i="5"/>
  <c r="X165" i="5"/>
  <c r="T166" i="5"/>
  <c r="V165" i="5"/>
  <c r="C204" i="1" l="1"/>
  <c r="O169" i="6"/>
  <c r="O168" i="5"/>
  <c r="W166" i="5"/>
  <c r="X166" i="5"/>
  <c r="X167" i="6"/>
  <c r="T168" i="6"/>
  <c r="S168" i="6"/>
  <c r="B205" i="1"/>
  <c r="V166" i="5"/>
  <c r="P167" i="5"/>
  <c r="U167" i="5"/>
  <c r="Q167" i="5"/>
  <c r="W167" i="6"/>
  <c r="T167" i="5"/>
  <c r="Q168" i="6"/>
  <c r="V167" i="6"/>
  <c r="R167" i="5"/>
  <c r="S167" i="5"/>
  <c r="P168" i="6"/>
  <c r="U168" i="6"/>
  <c r="R168" i="6"/>
  <c r="Y169" i="6"/>
  <c r="C205" i="1" l="1"/>
  <c r="O170" i="6"/>
  <c r="O169" i="5"/>
  <c r="B206" i="1"/>
  <c r="Q168" i="5"/>
  <c r="X168" i="6"/>
  <c r="S169" i="6"/>
  <c r="U168" i="5"/>
  <c r="V167" i="5"/>
  <c r="Q169" i="6"/>
  <c r="R169" i="6"/>
  <c r="W167" i="5"/>
  <c r="S168" i="5"/>
  <c r="W168" i="6"/>
  <c r="T168" i="5"/>
  <c r="P168" i="5"/>
  <c r="Y170" i="6"/>
  <c r="R168" i="5"/>
  <c r="U169" i="6"/>
  <c r="P169" i="6"/>
  <c r="X167" i="5"/>
  <c r="T169" i="6"/>
  <c r="B207" i="1"/>
  <c r="V168" i="6"/>
  <c r="C206" i="1" l="1"/>
  <c r="C207" i="1"/>
  <c r="O171" i="6"/>
  <c r="O170" i="5"/>
  <c r="T169" i="5"/>
  <c r="S169" i="5"/>
  <c r="Q169" i="5"/>
  <c r="U169" i="5"/>
  <c r="Q170" i="6"/>
  <c r="V169" i="6"/>
  <c r="P169" i="5"/>
  <c r="X168" i="5"/>
  <c r="P170" i="6"/>
  <c r="R170" i="6"/>
  <c r="R169" i="5"/>
  <c r="U170" i="6"/>
  <c r="W169" i="6"/>
  <c r="X169" i="6"/>
  <c r="S170" i="6"/>
  <c r="B208" i="1"/>
  <c r="W168" i="5"/>
  <c r="Y171" i="6"/>
  <c r="V168" i="5"/>
  <c r="T170" i="6"/>
  <c r="C208" i="1" l="1"/>
  <c r="O172" i="6"/>
  <c r="O171" i="5"/>
  <c r="X170" i="6"/>
  <c r="P171" i="6"/>
  <c r="R170" i="5"/>
  <c r="Q170" i="5"/>
  <c r="U170" i="5"/>
  <c r="R171" i="6"/>
  <c r="T171" i="6"/>
  <c r="Y172" i="6"/>
  <c r="B209" i="1"/>
  <c r="T170" i="5"/>
  <c r="U171" i="6"/>
  <c r="P170" i="5"/>
  <c r="W170" i="6"/>
  <c r="V169" i="5"/>
  <c r="W169" i="5"/>
  <c r="Q171" i="6"/>
  <c r="S170" i="5"/>
  <c r="X169" i="5"/>
  <c r="S171" i="6"/>
  <c r="V170" i="6"/>
  <c r="C209" i="1" l="1"/>
  <c r="O173" i="6"/>
  <c r="O172" i="5"/>
  <c r="V170" i="5"/>
  <c r="W170" i="5"/>
  <c r="S172" i="6"/>
  <c r="R171" i="5"/>
  <c r="V171" i="6"/>
  <c r="P172" i="6"/>
  <c r="R172" i="6"/>
  <c r="T172" i="6"/>
  <c r="Y173" i="6"/>
  <c r="T171" i="5"/>
  <c r="Q172" i="6"/>
  <c r="B210" i="1"/>
  <c r="B211" i="1" s="1"/>
  <c r="W171" i="6"/>
  <c r="P171" i="5"/>
  <c r="X170" i="5"/>
  <c r="S171" i="5"/>
  <c r="U172" i="6"/>
  <c r="X171" i="6"/>
  <c r="Q171" i="5"/>
  <c r="U171" i="5"/>
  <c r="C210" i="1" l="1"/>
  <c r="C211" i="1"/>
  <c r="O174" i="6"/>
  <c r="O173" i="5"/>
  <c r="Q173" i="6"/>
  <c r="B212" i="1"/>
  <c r="P172" i="5"/>
  <c r="V172" i="6"/>
  <c r="X171" i="5"/>
  <c r="X172" i="6"/>
  <c r="S173" i="6"/>
  <c r="R173" i="6"/>
  <c r="T173" i="6"/>
  <c r="S172" i="5"/>
  <c r="P173" i="6"/>
  <c r="W172" i="6"/>
  <c r="W171" i="5"/>
  <c r="U172" i="5"/>
  <c r="R172" i="5"/>
  <c r="T172" i="5"/>
  <c r="V171" i="5"/>
  <c r="Q172" i="5"/>
  <c r="Y174" i="6"/>
  <c r="U173" i="6"/>
  <c r="C212" i="1" l="1"/>
  <c r="O175" i="6"/>
  <c r="O174" i="5"/>
  <c r="V172" i="5"/>
  <c r="U174" i="6"/>
  <c r="Q174" i="6"/>
  <c r="X173" i="6"/>
  <c r="Y175" i="6"/>
  <c r="B213" i="1"/>
  <c r="B214" i="1" s="1"/>
  <c r="V173" i="6"/>
  <c r="S173" i="5"/>
  <c r="R173" i="5"/>
  <c r="X172" i="5"/>
  <c r="W172" i="5"/>
  <c r="U173" i="5"/>
  <c r="S174" i="6"/>
  <c r="P174" i="6"/>
  <c r="Q173" i="5"/>
  <c r="W173" i="6"/>
  <c r="T173" i="5"/>
  <c r="T174" i="6"/>
  <c r="R174" i="6"/>
  <c r="P173" i="5"/>
  <c r="C214" i="1" l="1"/>
  <c r="C213" i="1"/>
  <c r="O176" i="6"/>
  <c r="O175" i="5"/>
  <c r="Q175" i="6"/>
  <c r="W173" i="5"/>
  <c r="P175" i="6"/>
  <c r="V174" i="6"/>
  <c r="R175" i="6"/>
  <c r="X173" i="5"/>
  <c r="B215" i="1"/>
  <c r="T175" i="6"/>
  <c r="W174" i="6"/>
  <c r="S175" i="6"/>
  <c r="X174" i="6"/>
  <c r="Q174" i="5"/>
  <c r="V173" i="5"/>
  <c r="T174" i="5"/>
  <c r="S174" i="5"/>
  <c r="R174" i="5"/>
  <c r="P174" i="5"/>
  <c r="Y176" i="6"/>
  <c r="X175" i="6"/>
  <c r="U174" i="5"/>
  <c r="U175" i="6"/>
  <c r="C215" i="1" l="1"/>
  <c r="O177" i="6"/>
  <c r="O176" i="5"/>
  <c r="W174" i="5"/>
  <c r="V174" i="5"/>
  <c r="Y177" i="6"/>
  <c r="W175" i="6"/>
  <c r="R176" i="6"/>
  <c r="T176" i="6"/>
  <c r="P176" i="6"/>
  <c r="P175" i="5"/>
  <c r="Q176" i="6"/>
  <c r="S175" i="5"/>
  <c r="U175" i="5"/>
  <c r="X174" i="5"/>
  <c r="R175" i="5"/>
  <c r="B216" i="1"/>
  <c r="T175" i="5"/>
  <c r="V175" i="6"/>
  <c r="U176" i="6"/>
  <c r="Q175" i="5"/>
  <c r="S176" i="6"/>
  <c r="C216" i="1" l="1"/>
  <c r="O178" i="6"/>
  <c r="O177" i="5"/>
  <c r="U177" i="6"/>
  <c r="B217" i="1"/>
  <c r="B218" i="1"/>
  <c r="U176" i="5"/>
  <c r="Y178" i="6"/>
  <c r="W176" i="6"/>
  <c r="V175" i="5"/>
  <c r="V176" i="6"/>
  <c r="S177" i="6"/>
  <c r="P176" i="5"/>
  <c r="X175" i="5"/>
  <c r="W175" i="5"/>
  <c r="T177" i="6"/>
  <c r="T176" i="5"/>
  <c r="Q177" i="6"/>
  <c r="Q176" i="5"/>
  <c r="S176" i="5"/>
  <c r="P177" i="6"/>
  <c r="X176" i="6"/>
  <c r="R176" i="5"/>
  <c r="R177" i="6"/>
  <c r="C218" i="1" l="1"/>
  <c r="C217" i="1"/>
  <c r="O179" i="6"/>
  <c r="O178" i="5"/>
  <c r="Q177" i="5"/>
  <c r="P177" i="5"/>
  <c r="S177" i="5"/>
  <c r="X176" i="5"/>
  <c r="Y179" i="6"/>
  <c r="T178" i="6"/>
  <c r="B219" i="1"/>
  <c r="W176" i="5"/>
  <c r="V176" i="5"/>
  <c r="X177" i="6"/>
  <c r="Q178" i="6"/>
  <c r="W177" i="6"/>
  <c r="U178" i="6"/>
  <c r="V177" i="6"/>
  <c r="S178" i="6"/>
  <c r="U177" i="5"/>
  <c r="T177" i="5"/>
  <c r="R178" i="6"/>
  <c r="P178" i="6"/>
  <c r="R177" i="5"/>
  <c r="C219" i="1" l="1"/>
  <c r="O180" i="6"/>
  <c r="O179" i="5"/>
  <c r="V177" i="5"/>
  <c r="Q178" i="5"/>
  <c r="X178" i="6"/>
  <c r="T178" i="5"/>
  <c r="Q179" i="6"/>
  <c r="R179" i="6"/>
  <c r="Y180" i="6"/>
  <c r="P178" i="5"/>
  <c r="V178" i="6"/>
  <c r="X177" i="5"/>
  <c r="W177" i="5"/>
  <c r="S178" i="5"/>
  <c r="U178" i="5"/>
  <c r="P179" i="6"/>
  <c r="R178" i="5"/>
  <c r="U179" i="6"/>
  <c r="S179" i="6"/>
  <c r="W178" i="6"/>
  <c r="T179" i="6"/>
  <c r="B220" i="1"/>
  <c r="C220" i="1" l="1"/>
  <c r="O181" i="6"/>
  <c r="O180" i="5"/>
  <c r="B221" i="1"/>
  <c r="X179" i="6"/>
  <c r="T180" i="6"/>
  <c r="B222" i="1"/>
  <c r="X178" i="5"/>
  <c r="Q179" i="5"/>
  <c r="W179" i="6"/>
  <c r="S179" i="5"/>
  <c r="W178" i="5"/>
  <c r="V179" i="6"/>
  <c r="U179" i="5"/>
  <c r="P179" i="5"/>
  <c r="V178" i="5"/>
  <c r="S180" i="6"/>
  <c r="R179" i="5"/>
  <c r="Y181" i="6"/>
  <c r="P180" i="6"/>
  <c r="U180" i="6"/>
  <c r="T179" i="5"/>
  <c r="Q180" i="6"/>
  <c r="R180" i="6"/>
  <c r="C222" i="1" l="1"/>
  <c r="C221" i="1"/>
  <c r="O182" i="6"/>
  <c r="O181" i="5"/>
  <c r="W180" i="6"/>
  <c r="X180" i="6"/>
  <c r="W179" i="5"/>
  <c r="Q181" i="6"/>
  <c r="T181" i="6"/>
  <c r="R181" i="6"/>
  <c r="P181" i="6"/>
  <c r="T180" i="5"/>
  <c r="S180" i="5"/>
  <c r="U181" i="6"/>
  <c r="Y182" i="6"/>
  <c r="R180" i="5"/>
  <c r="P180" i="5"/>
  <c r="Q180" i="5"/>
  <c r="V179" i="5"/>
  <c r="X179" i="5"/>
  <c r="B223" i="1"/>
  <c r="V180" i="6"/>
  <c r="S181" i="6"/>
  <c r="U180" i="5"/>
  <c r="C223" i="1" l="1"/>
  <c r="O183" i="6"/>
  <c r="O182" i="5"/>
  <c r="T182" i="6"/>
  <c r="V180" i="5"/>
  <c r="W181" i="6"/>
  <c r="X180" i="5"/>
  <c r="Q181" i="5"/>
  <c r="W180" i="5"/>
  <c r="R181" i="5"/>
  <c r="Q182" i="6"/>
  <c r="P181" i="5"/>
  <c r="S182" i="6"/>
  <c r="U181" i="5"/>
  <c r="U182" i="6"/>
  <c r="V181" i="6"/>
  <c r="T181" i="5"/>
  <c r="B224" i="1"/>
  <c r="R182" i="6"/>
  <c r="Y183" i="6"/>
  <c r="S181" i="5"/>
  <c r="X181" i="6"/>
  <c r="P182" i="6"/>
  <c r="C224" i="1" l="1"/>
  <c r="O184" i="6"/>
  <c r="O183" i="5"/>
  <c r="X182" i="6"/>
  <c r="W181" i="5"/>
  <c r="V182" i="6"/>
  <c r="T182" i="5"/>
  <c r="P182" i="5"/>
  <c r="Q183" i="6"/>
  <c r="W183" i="6" s="1"/>
  <c r="S182" i="5"/>
  <c r="Q182" i="5"/>
  <c r="V181" i="5"/>
  <c r="S183" i="6"/>
  <c r="X181" i="5"/>
  <c r="U182" i="5"/>
  <c r="R183" i="6"/>
  <c r="X183" i="6" s="1"/>
  <c r="U183" i="6"/>
  <c r="P183" i="6"/>
  <c r="T183" i="6"/>
  <c r="Y184" i="6"/>
  <c r="R182" i="5"/>
  <c r="B225" i="1"/>
  <c r="W182" i="6"/>
  <c r="C225" i="1" l="1"/>
  <c r="O185" i="6"/>
  <c r="O184" i="5"/>
  <c r="B226" i="1"/>
  <c r="V182" i="5"/>
  <c r="Q183" i="5"/>
  <c r="U183" i="5"/>
  <c r="R184" i="6"/>
  <c r="U184" i="6"/>
  <c r="S183" i="5"/>
  <c r="T183" i="5"/>
  <c r="W182" i="5"/>
  <c r="P183" i="5"/>
  <c r="T184" i="6"/>
  <c r="P184" i="6"/>
  <c r="Y185" i="6"/>
  <c r="V183" i="6"/>
  <c r="B227" i="1"/>
  <c r="X182" i="5"/>
  <c r="S184" i="6"/>
  <c r="R183" i="5"/>
  <c r="Q184" i="6"/>
  <c r="C226" i="1" l="1"/>
  <c r="C227" i="1"/>
  <c r="O186" i="6"/>
  <c r="O185" i="5"/>
  <c r="U184" i="5"/>
  <c r="Q185" i="6"/>
  <c r="T184" i="5"/>
  <c r="S185" i="6"/>
  <c r="V183" i="5"/>
  <c r="R185" i="6"/>
  <c r="W183" i="5"/>
  <c r="S184" i="5"/>
  <c r="Y186" i="6"/>
  <c r="W184" i="6"/>
  <c r="X184" i="6"/>
  <c r="B228" i="1"/>
  <c r="U185" i="6"/>
  <c r="R184" i="5"/>
  <c r="X183" i="5"/>
  <c r="Q184" i="5"/>
  <c r="T185" i="6"/>
  <c r="V184" i="6"/>
  <c r="P185" i="6"/>
  <c r="P184" i="5"/>
  <c r="C228" i="1" l="1"/>
  <c r="O187" i="6"/>
  <c r="O186" i="5"/>
  <c r="Q186" i="6"/>
  <c r="R186" i="6"/>
  <c r="U186" i="6"/>
  <c r="X185" i="6"/>
  <c r="U185" i="5"/>
  <c r="Q185" i="5"/>
  <c r="V184" i="5"/>
  <c r="S185" i="5"/>
  <c r="T186" i="6"/>
  <c r="S186" i="6"/>
  <c r="P185" i="5"/>
  <c r="X184" i="5"/>
  <c r="W184" i="5"/>
  <c r="B229" i="1"/>
  <c r="B230" i="1" s="1"/>
  <c r="V185" i="6"/>
  <c r="R185" i="5"/>
  <c r="W185" i="6"/>
  <c r="P186" i="6"/>
  <c r="Y187" i="6"/>
  <c r="T185" i="5"/>
  <c r="C230" i="1" l="1"/>
  <c r="C229" i="1"/>
  <c r="O188" i="6"/>
  <c r="O187" i="5"/>
  <c r="P187" i="6"/>
  <c r="R187" i="6"/>
  <c r="S186" i="5"/>
  <c r="S187" i="6"/>
  <c r="P186" i="5"/>
  <c r="B231" i="1"/>
  <c r="V186" i="6"/>
  <c r="U186" i="5"/>
  <c r="R186" i="5"/>
  <c r="X186" i="6"/>
  <c r="U187" i="6"/>
  <c r="X185" i="5"/>
  <c r="Y188" i="6"/>
  <c r="V185" i="5"/>
  <c r="T186" i="5"/>
  <c r="Q187" i="6"/>
  <c r="W186" i="6"/>
  <c r="W185" i="5"/>
  <c r="Q186" i="5"/>
  <c r="T187" i="6"/>
  <c r="C231" i="1" l="1"/>
  <c r="O189" i="6"/>
  <c r="O188" i="5"/>
  <c r="W187" i="6"/>
  <c r="U187" i="5"/>
  <c r="P187" i="5"/>
  <c r="T187" i="5"/>
  <c r="B232" i="1"/>
  <c r="X187" i="6"/>
  <c r="V186" i="5"/>
  <c r="P188" i="6"/>
  <c r="X186" i="5"/>
  <c r="R187" i="5"/>
  <c r="T188" i="6"/>
  <c r="S188" i="6"/>
  <c r="Q188" i="6"/>
  <c r="S187" i="5"/>
  <c r="Q187" i="5"/>
  <c r="R188" i="6"/>
  <c r="V187" i="6"/>
  <c r="U188" i="6"/>
  <c r="W186" i="5"/>
  <c r="Y189" i="6"/>
  <c r="C232" i="1" l="1"/>
  <c r="O190" i="6"/>
  <c r="O189" i="5"/>
  <c r="P189" i="6"/>
  <c r="U189" i="6"/>
  <c r="Y190" i="6"/>
  <c r="S189" i="6"/>
  <c r="X187" i="5"/>
  <c r="V188" i="6"/>
  <c r="T188" i="5"/>
  <c r="R189" i="6"/>
  <c r="V187" i="5"/>
  <c r="U188" i="5"/>
  <c r="Q189" i="6"/>
  <c r="W188" i="6"/>
  <c r="S188" i="5"/>
  <c r="X188" i="6"/>
  <c r="T189" i="6"/>
  <c r="R188" i="5"/>
  <c r="W187" i="5"/>
  <c r="B233" i="1"/>
  <c r="B234" i="1" s="1"/>
  <c r="Q188" i="5"/>
  <c r="P188" i="5"/>
  <c r="C234" i="1" l="1"/>
  <c r="C233" i="1"/>
  <c r="O191" i="6"/>
  <c r="O190" i="5"/>
  <c r="V189" i="6"/>
  <c r="T189" i="5"/>
  <c r="P190" i="6"/>
  <c r="T190" i="6"/>
  <c r="X189" i="6"/>
  <c r="Q190" i="6"/>
  <c r="R189" i="5"/>
  <c r="V188" i="5"/>
  <c r="X188" i="5"/>
  <c r="U190" i="6"/>
  <c r="Y191" i="6"/>
  <c r="U189" i="5"/>
  <c r="W189" i="6"/>
  <c r="P189" i="5"/>
  <c r="S189" i="5"/>
  <c r="R190" i="6"/>
  <c r="B235" i="1"/>
  <c r="Q189" i="5"/>
  <c r="S190" i="6"/>
  <c r="W188" i="5"/>
  <c r="C235" i="1" l="1"/>
  <c r="O192" i="6"/>
  <c r="O191" i="5"/>
  <c r="T190" i="5"/>
  <c r="R190" i="5"/>
  <c r="S190" i="5"/>
  <c r="V190" i="6"/>
  <c r="R191" i="6"/>
  <c r="S191" i="6"/>
  <c r="U190" i="5"/>
  <c r="X189" i="5"/>
  <c r="W189" i="5"/>
  <c r="V189" i="5"/>
  <c r="P191" i="6"/>
  <c r="U191" i="6"/>
  <c r="W190" i="6"/>
  <c r="Q191" i="6"/>
  <c r="X190" i="6"/>
  <c r="P190" i="5"/>
  <c r="Q190" i="5"/>
  <c r="T191" i="6"/>
  <c r="B236" i="1"/>
  <c r="Y192" i="6"/>
  <c r="C236" i="1" l="1"/>
  <c r="O193" i="6"/>
  <c r="O192" i="5"/>
  <c r="R191" i="5"/>
  <c r="T192" i="6"/>
  <c r="X191" i="6"/>
  <c r="R192" i="6"/>
  <c r="V191" i="6"/>
  <c r="X190" i="5"/>
  <c r="U191" i="5"/>
  <c r="Y193" i="6"/>
  <c r="Q191" i="5"/>
  <c r="T191" i="5"/>
  <c r="S192" i="6"/>
  <c r="W190" i="5"/>
  <c r="P191" i="5"/>
  <c r="S191" i="5"/>
  <c r="B237" i="1"/>
  <c r="W191" i="6"/>
  <c r="B238" i="1"/>
  <c r="U192" i="6"/>
  <c r="V190" i="5"/>
  <c r="Q192" i="6"/>
  <c r="P192" i="6"/>
  <c r="C238" i="1" l="1"/>
  <c r="C237" i="1"/>
  <c r="O194" i="6"/>
  <c r="O193" i="5"/>
  <c r="T193" i="6"/>
  <c r="W192" i="6"/>
  <c r="V191" i="5"/>
  <c r="V192" i="6"/>
  <c r="X192" i="6"/>
  <c r="R193" i="6"/>
  <c r="R192" i="5"/>
  <c r="B239" i="1"/>
  <c r="S192" i="5"/>
  <c r="X191" i="5"/>
  <c r="P193" i="6"/>
  <c r="T192" i="5"/>
  <c r="P192" i="5"/>
  <c r="Q193" i="6"/>
  <c r="S193" i="6"/>
  <c r="U192" i="5"/>
  <c r="W191" i="5"/>
  <c r="U193" i="6"/>
  <c r="Q192" i="5"/>
  <c r="Y194" i="6"/>
  <c r="C239" i="1" l="1"/>
  <c r="O195" i="6"/>
  <c r="O194" i="5"/>
  <c r="V193" i="6"/>
  <c r="P193" i="5"/>
  <c r="U193" i="5"/>
  <c r="V192" i="5"/>
  <c r="R194" i="6"/>
  <c r="Q194" i="6"/>
  <c r="P194" i="6"/>
  <c r="S194" i="6"/>
  <c r="B240" i="1"/>
  <c r="U194" i="6"/>
  <c r="Y195" i="6"/>
  <c r="S193" i="5"/>
  <c r="X193" i="6"/>
  <c r="X192" i="5"/>
  <c r="T193" i="5"/>
  <c r="Q193" i="5"/>
  <c r="W193" i="6"/>
  <c r="R193" i="5"/>
  <c r="T194" i="6"/>
  <c r="W192" i="5"/>
  <c r="C240" i="1" l="1"/>
  <c r="O196" i="6"/>
  <c r="O195" i="5"/>
  <c r="U194" i="5"/>
  <c r="P194" i="5"/>
  <c r="X194" i="6"/>
  <c r="P195" i="6"/>
  <c r="W194" i="6"/>
  <c r="Y196" i="6"/>
  <c r="Q194" i="5"/>
  <c r="X193" i="5"/>
  <c r="R195" i="6"/>
  <c r="Q195" i="6"/>
  <c r="T195" i="6"/>
  <c r="R194" i="5"/>
  <c r="S195" i="6"/>
  <c r="U195" i="6"/>
  <c r="W193" i="5"/>
  <c r="T194" i="5"/>
  <c r="V193" i="5"/>
  <c r="V194" i="6"/>
  <c r="B241" i="1"/>
  <c r="B242" i="1" s="1"/>
  <c r="S194" i="5"/>
  <c r="C242" i="1" l="1"/>
  <c r="C241" i="1"/>
  <c r="O197" i="6"/>
  <c r="O196" i="5"/>
  <c r="V195" i="6"/>
  <c r="U195" i="5"/>
  <c r="W194" i="5"/>
  <c r="B243" i="1"/>
  <c r="P195" i="5"/>
  <c r="X194" i="5"/>
  <c r="S196" i="6"/>
  <c r="U196" i="6"/>
  <c r="P196" i="6"/>
  <c r="Q196" i="6"/>
  <c r="W195" i="6"/>
  <c r="S195" i="5"/>
  <c r="V194" i="5"/>
  <c r="T196" i="6"/>
  <c r="Y197" i="6"/>
  <c r="R195" i="5"/>
  <c r="R196" i="6"/>
  <c r="X195" i="6"/>
  <c r="Q195" i="5"/>
  <c r="T195" i="5"/>
  <c r="C243" i="1" l="1"/>
  <c r="O198" i="6"/>
  <c r="O197" i="5"/>
  <c r="S197" i="6"/>
  <c r="V196" i="6"/>
  <c r="P196" i="5"/>
  <c r="R196" i="5"/>
  <c r="R197" i="6"/>
  <c r="P197" i="6"/>
  <c r="W196" i="6"/>
  <c r="Q197" i="6"/>
  <c r="W195" i="5"/>
  <c r="B244" i="1"/>
  <c r="S196" i="5"/>
  <c r="T196" i="5"/>
  <c r="Y198" i="6"/>
  <c r="V195" i="5"/>
  <c r="U196" i="5"/>
  <c r="T197" i="6"/>
  <c r="X196" i="6"/>
  <c r="Q196" i="5"/>
  <c r="X195" i="5"/>
  <c r="U197" i="6"/>
  <c r="C244" i="1" l="1"/>
  <c r="O199" i="6"/>
  <c r="O198" i="5"/>
  <c r="Q198" i="6"/>
  <c r="V197" i="6"/>
  <c r="Y199" i="6"/>
  <c r="X196" i="5"/>
  <c r="B245" i="1"/>
  <c r="P197" i="5"/>
  <c r="U198" i="6"/>
  <c r="W196" i="5"/>
  <c r="S197" i="5"/>
  <c r="U197" i="5"/>
  <c r="T198" i="6"/>
  <c r="R198" i="6"/>
  <c r="P198" i="6"/>
  <c r="S198" i="6"/>
  <c r="T197" i="5"/>
  <c r="X197" i="6"/>
  <c r="Q197" i="5"/>
  <c r="W197" i="6"/>
  <c r="R197" i="5"/>
  <c r="V196" i="5"/>
  <c r="C245" i="1" l="1"/>
  <c r="O200" i="6"/>
  <c r="O199" i="5"/>
  <c r="S198" i="5"/>
  <c r="X197" i="5"/>
  <c r="T199" i="6"/>
  <c r="Q199" i="6"/>
  <c r="V197" i="5"/>
  <c r="Y200" i="6"/>
  <c r="P198" i="5"/>
  <c r="T198" i="5"/>
  <c r="S199" i="6"/>
  <c r="W197" i="5"/>
  <c r="P199" i="6"/>
  <c r="U199" i="6"/>
  <c r="X198" i="6"/>
  <c r="B246" i="1"/>
  <c r="B247" i="1" s="1"/>
  <c r="R199" i="6"/>
  <c r="U198" i="5"/>
  <c r="Q198" i="5"/>
  <c r="V198" i="6"/>
  <c r="W198" i="6"/>
  <c r="R198" i="5"/>
  <c r="C246" i="1" l="1"/>
  <c r="C247" i="1"/>
  <c r="O201" i="6"/>
  <c r="O200" i="5"/>
  <c r="S200" i="6"/>
  <c r="Y201" i="6"/>
  <c r="Q199" i="5"/>
  <c r="P199" i="5"/>
  <c r="V199" i="6"/>
  <c r="W199" i="6"/>
  <c r="P200" i="6"/>
  <c r="X198" i="5"/>
  <c r="V198" i="5"/>
  <c r="R200" i="6"/>
  <c r="X199" i="6"/>
  <c r="R199" i="5"/>
  <c r="Q200" i="6"/>
  <c r="U199" i="5"/>
  <c r="S199" i="5"/>
  <c r="T199" i="5"/>
  <c r="B248" i="1"/>
  <c r="W198" i="5"/>
  <c r="U200" i="6"/>
  <c r="T200" i="6"/>
  <c r="C248" i="1" l="1"/>
  <c r="O202" i="6"/>
  <c r="O201" i="5"/>
  <c r="X200" i="6"/>
  <c r="S201" i="6"/>
  <c r="Y202" i="6"/>
  <c r="P201" i="6"/>
  <c r="P200" i="5"/>
  <c r="R200" i="5"/>
  <c r="Q200" i="5"/>
  <c r="B249" i="1"/>
  <c r="B250" i="1"/>
  <c r="X199" i="5"/>
  <c r="T201" i="6"/>
  <c r="U201" i="6"/>
  <c r="T200" i="5"/>
  <c r="Q201" i="6"/>
  <c r="V199" i="5"/>
  <c r="V200" i="6"/>
  <c r="R201" i="6"/>
  <c r="W200" i="6"/>
  <c r="U200" i="5"/>
  <c r="S200" i="5"/>
  <c r="W199" i="5"/>
  <c r="C250" i="1" l="1"/>
  <c r="C249" i="1"/>
  <c r="O203" i="6"/>
  <c r="O202" i="5"/>
  <c r="V200" i="5"/>
  <c r="P201" i="5"/>
  <c r="Q202" i="6"/>
  <c r="U201" i="5"/>
  <c r="R201" i="5"/>
  <c r="S201" i="5"/>
  <c r="P202" i="6"/>
  <c r="T201" i="5"/>
  <c r="W200" i="5"/>
  <c r="T202" i="6"/>
  <c r="Q201" i="5"/>
  <c r="B251" i="1"/>
  <c r="U202" i="6"/>
  <c r="S202" i="6"/>
  <c r="X201" i="6"/>
  <c r="Y203" i="6"/>
  <c r="R202" i="6"/>
  <c r="X200" i="5"/>
  <c r="W201" i="6"/>
  <c r="V201" i="6"/>
  <c r="C251" i="1" l="1"/>
  <c r="O204" i="6"/>
  <c r="O203" i="5"/>
  <c r="W202" i="6"/>
  <c r="T203" i="6"/>
  <c r="U202" i="5"/>
  <c r="B252" i="1"/>
  <c r="Q203" i="6"/>
  <c r="X202" i="6"/>
  <c r="U203" i="6"/>
  <c r="X201" i="5"/>
  <c r="R203" i="6"/>
  <c r="R202" i="5"/>
  <c r="V201" i="5"/>
  <c r="Q202" i="5"/>
  <c r="T202" i="5"/>
  <c r="S202" i="5"/>
  <c r="W201" i="5"/>
  <c r="P202" i="5"/>
  <c r="V202" i="6"/>
  <c r="P203" i="6"/>
  <c r="S203" i="6"/>
  <c r="Y204" i="6"/>
  <c r="C252" i="1" l="1"/>
  <c r="O205" i="6"/>
  <c r="O204" i="5"/>
  <c r="R203" i="5"/>
  <c r="W203" i="6"/>
  <c r="U203" i="5"/>
  <c r="X203" i="6"/>
  <c r="T204" i="6"/>
  <c r="P204" i="6"/>
  <c r="S204" i="6"/>
  <c r="V203" i="6"/>
  <c r="P203" i="5"/>
  <c r="W202" i="5"/>
  <c r="Q203" i="5"/>
  <c r="V202" i="5"/>
  <c r="Y205" i="6"/>
  <c r="B253" i="1"/>
  <c r="X202" i="5"/>
  <c r="Q204" i="6"/>
  <c r="R204" i="6"/>
  <c r="U204" i="6"/>
  <c r="S203" i="5"/>
  <c r="T203" i="5"/>
  <c r="C253" i="1" l="1"/>
  <c r="O206" i="6"/>
  <c r="O205" i="5"/>
  <c r="P205" i="6"/>
  <c r="X203" i="5"/>
  <c r="R205" i="6"/>
  <c r="Q204" i="5"/>
  <c r="U205" i="6"/>
  <c r="U204" i="5"/>
  <c r="V204" i="6"/>
  <c r="W204" i="6"/>
  <c r="W203" i="5"/>
  <c r="Q205" i="6"/>
  <c r="T204" i="5"/>
  <c r="R204" i="5"/>
  <c r="X204" i="6"/>
  <c r="P204" i="5"/>
  <c r="S205" i="6"/>
  <c r="B254" i="1"/>
  <c r="B255" i="1" s="1"/>
  <c r="S204" i="5"/>
  <c r="V203" i="5"/>
  <c r="Y206" i="6"/>
  <c r="T205" i="6"/>
  <c r="C254" i="1" l="1"/>
  <c r="C255" i="1"/>
  <c r="O207" i="6"/>
  <c r="O206" i="5"/>
  <c r="U206" i="6"/>
  <c r="P206" i="6"/>
  <c r="U205" i="5"/>
  <c r="S205" i="5"/>
  <c r="X204" i="5"/>
  <c r="B256" i="1"/>
  <c r="S206" i="6"/>
  <c r="T205" i="5"/>
  <c r="W204" i="5"/>
  <c r="V205" i="6"/>
  <c r="W205" i="6"/>
  <c r="P205" i="5"/>
  <c r="R205" i="5"/>
  <c r="Q206" i="6"/>
  <c r="Y207" i="6"/>
  <c r="T206" i="6"/>
  <c r="X205" i="6"/>
  <c r="R206" i="6"/>
  <c r="V204" i="5"/>
  <c r="Q205" i="5"/>
  <c r="C256" i="1" l="1"/>
  <c r="O208" i="6"/>
  <c r="O207" i="5"/>
  <c r="W205" i="5"/>
  <c r="S206" i="5"/>
  <c r="X205" i="5"/>
  <c r="T207" i="6"/>
  <c r="X206" i="6"/>
  <c r="Q207" i="6"/>
  <c r="P206" i="5"/>
  <c r="T206" i="5"/>
  <c r="P207" i="6"/>
  <c r="Q206" i="5"/>
  <c r="R207" i="6"/>
  <c r="S207" i="6"/>
  <c r="R206" i="5"/>
  <c r="Y208" i="6"/>
  <c r="W206" i="6"/>
  <c r="V206" i="6"/>
  <c r="U206" i="5"/>
  <c r="V205" i="5"/>
  <c r="B257" i="1"/>
  <c r="U207" i="6"/>
  <c r="C257" i="1" l="1"/>
  <c r="O209" i="6"/>
  <c r="O208" i="5"/>
  <c r="B258" i="1"/>
  <c r="W207" i="6"/>
  <c r="X207" i="6"/>
  <c r="V207" i="6"/>
  <c r="R208" i="6"/>
  <c r="Y209" i="6"/>
  <c r="X206" i="5"/>
  <c r="T208" i="6"/>
  <c r="Q208" i="6"/>
  <c r="S207" i="5"/>
  <c r="V206" i="5"/>
  <c r="W206" i="5"/>
  <c r="Q207" i="5"/>
  <c r="B259" i="1"/>
  <c r="T207" i="5"/>
  <c r="P207" i="5"/>
  <c r="S208" i="6"/>
  <c r="U207" i="5"/>
  <c r="P208" i="6"/>
  <c r="R207" i="5"/>
  <c r="U208" i="6"/>
  <c r="C258" i="1" l="1"/>
  <c r="C259" i="1"/>
  <c r="O210" i="6"/>
  <c r="O209" i="5"/>
  <c r="V207" i="5"/>
  <c r="U208" i="5"/>
  <c r="V208" i="6"/>
  <c r="Q208" i="5"/>
  <c r="P208" i="5"/>
  <c r="X207" i="5"/>
  <c r="S208" i="5"/>
  <c r="U209" i="6"/>
  <c r="B260" i="1"/>
  <c r="R209" i="6"/>
  <c r="Y210" i="6"/>
  <c r="W207" i="5"/>
  <c r="T209" i="6"/>
  <c r="S209" i="6"/>
  <c r="T208" i="5"/>
  <c r="R208" i="5"/>
  <c r="Q209" i="6"/>
  <c r="X208" i="6"/>
  <c r="W208" i="6"/>
  <c r="P209" i="6"/>
  <c r="C260" i="1" l="1"/>
  <c r="O211" i="6"/>
  <c r="O210" i="5"/>
  <c r="Q210" i="6"/>
  <c r="Q209" i="5"/>
  <c r="R210" i="6"/>
  <c r="W208" i="5"/>
  <c r="Y211" i="6"/>
  <c r="R209" i="5"/>
  <c r="S210" i="6"/>
  <c r="P209" i="5"/>
  <c r="U210" i="6"/>
  <c r="X209" i="6"/>
  <c r="V209" i="6"/>
  <c r="S209" i="5"/>
  <c r="T210" i="6"/>
  <c r="W209" i="6"/>
  <c r="X208" i="5"/>
  <c r="B261" i="1"/>
  <c r="B262" i="1" s="1"/>
  <c r="P210" i="6"/>
  <c r="V208" i="5"/>
  <c r="U209" i="5"/>
  <c r="T209" i="5"/>
  <c r="C262" i="1" l="1"/>
  <c r="C261" i="1"/>
  <c r="O212" i="6"/>
  <c r="O211" i="5"/>
  <c r="V210" i="6"/>
  <c r="P210" i="5"/>
  <c r="P211" i="6"/>
  <c r="V209" i="5"/>
  <c r="S210" i="5"/>
  <c r="Y212" i="6"/>
  <c r="T211" i="6"/>
  <c r="W209" i="5"/>
  <c r="U210" i="5"/>
  <c r="B263" i="1"/>
  <c r="R210" i="5"/>
  <c r="X209" i="5"/>
  <c r="S211" i="6"/>
  <c r="X210" i="6"/>
  <c r="T210" i="5"/>
  <c r="W210" i="6"/>
  <c r="R211" i="6"/>
  <c r="U211" i="6"/>
  <c r="Q210" i="5"/>
  <c r="Q211" i="6"/>
  <c r="C263" i="1" l="1"/>
  <c r="O213" i="6"/>
  <c r="O212" i="5"/>
  <c r="Q211" i="5"/>
  <c r="T212" i="6"/>
  <c r="U212" i="6"/>
  <c r="S212" i="6"/>
  <c r="Q212" i="6"/>
  <c r="W210" i="5"/>
  <c r="R211" i="5"/>
  <c r="P212" i="6"/>
  <c r="V211" i="6"/>
  <c r="B264" i="1"/>
  <c r="T211" i="5"/>
  <c r="P211" i="5"/>
  <c r="X211" i="6"/>
  <c r="R212" i="6"/>
  <c r="X210" i="5"/>
  <c r="W211" i="6"/>
  <c r="V210" i="5"/>
  <c r="S211" i="5"/>
  <c r="U211" i="5"/>
  <c r="Y213" i="6"/>
  <c r="C264" i="1" l="1"/>
  <c r="O214" i="6"/>
  <c r="O213" i="5"/>
  <c r="V212" i="6"/>
  <c r="W211" i="5"/>
  <c r="X211" i="5"/>
  <c r="B265" i="1"/>
  <c r="S213" i="6"/>
  <c r="P212" i="5"/>
  <c r="R212" i="5"/>
  <c r="Q213" i="6"/>
  <c r="X212" i="6"/>
  <c r="S212" i="5"/>
  <c r="T212" i="5"/>
  <c r="Q212" i="5"/>
  <c r="V211" i="5"/>
  <c r="Y214" i="6"/>
  <c r="R213" i="6"/>
  <c r="U212" i="5"/>
  <c r="W212" i="6"/>
  <c r="W213" i="6"/>
  <c r="U213" i="6"/>
  <c r="T213" i="6"/>
  <c r="P213" i="6"/>
  <c r="C265" i="1" l="1"/>
  <c r="O215" i="6"/>
  <c r="O214" i="5"/>
  <c r="X213" i="6"/>
  <c r="R214" i="6"/>
  <c r="S213" i="5"/>
  <c r="V212" i="5"/>
  <c r="U213" i="5"/>
  <c r="X212" i="5"/>
  <c r="Y215" i="6"/>
  <c r="R213" i="5"/>
  <c r="Q214" i="6"/>
  <c r="P213" i="5"/>
  <c r="T214" i="6"/>
  <c r="B266" i="1"/>
  <c r="B267" i="1" s="1"/>
  <c r="P214" i="6"/>
  <c r="W212" i="5"/>
  <c r="V213" i="6"/>
  <c r="S214" i="6"/>
  <c r="U214" i="6"/>
  <c r="Q213" i="5"/>
  <c r="T213" i="5"/>
  <c r="C266" i="1" l="1"/>
  <c r="C267" i="1"/>
  <c r="O216" i="6"/>
  <c r="O215" i="5"/>
  <c r="Q214" i="5"/>
  <c r="T214" i="5"/>
  <c r="W214" i="6"/>
  <c r="T215" i="6"/>
  <c r="V214" i="6"/>
  <c r="R214" i="5"/>
  <c r="U215" i="6"/>
  <c r="U214" i="5"/>
  <c r="W213" i="5"/>
  <c r="S214" i="5"/>
  <c r="V213" i="5"/>
  <c r="Q215" i="6"/>
  <c r="S215" i="6"/>
  <c r="P215" i="6"/>
  <c r="R215" i="6"/>
  <c r="X213" i="5"/>
  <c r="X214" i="6"/>
  <c r="B268" i="1"/>
  <c r="Y216" i="6"/>
  <c r="P214" i="5"/>
  <c r="C268" i="1" l="1"/>
  <c r="O217" i="6"/>
  <c r="O216" i="5"/>
  <c r="T216" i="6"/>
  <c r="U216" i="6"/>
  <c r="V215" i="6"/>
  <c r="Q216" i="6"/>
  <c r="S215" i="5"/>
  <c r="T215" i="5"/>
  <c r="V214" i="5"/>
  <c r="X215" i="6"/>
  <c r="R215" i="5"/>
  <c r="P215" i="5"/>
  <c r="P216" i="6"/>
  <c r="X214" i="5"/>
  <c r="Y217" i="6"/>
  <c r="W215" i="6"/>
  <c r="B269" i="1"/>
  <c r="Q215" i="5"/>
  <c r="W214" i="5"/>
  <c r="S216" i="6"/>
  <c r="U215" i="5"/>
  <c r="R216" i="6"/>
  <c r="C269" i="1" l="1"/>
  <c r="O218" i="6"/>
  <c r="O217" i="5"/>
  <c r="W215" i="5"/>
  <c r="V216" i="6"/>
  <c r="S217" i="6"/>
  <c r="T217" i="6"/>
  <c r="U216" i="5"/>
  <c r="Y218" i="6"/>
  <c r="R216" i="5"/>
  <c r="V215" i="5"/>
  <c r="Q216" i="5"/>
  <c r="P217" i="6"/>
  <c r="T216" i="5"/>
  <c r="P216" i="5"/>
  <c r="R217" i="6"/>
  <c r="B270" i="1"/>
  <c r="B271" i="1" s="1"/>
  <c r="S216" i="5"/>
  <c r="X216" i="6"/>
  <c r="W216" i="6"/>
  <c r="X215" i="5"/>
  <c r="U217" i="6"/>
  <c r="Q217" i="6"/>
  <c r="C270" i="1" l="1"/>
  <c r="C271" i="1"/>
  <c r="O219" i="6"/>
  <c r="O218" i="5"/>
  <c r="R217" i="5"/>
  <c r="Q218" i="6"/>
  <c r="V217" i="6"/>
  <c r="Y219" i="6"/>
  <c r="S218" i="6"/>
  <c r="R218" i="6"/>
  <c r="V216" i="5"/>
  <c r="B272" i="1"/>
  <c r="Q217" i="5"/>
  <c r="T217" i="5"/>
  <c r="P218" i="6"/>
  <c r="X217" i="6"/>
  <c r="X216" i="5"/>
  <c r="P217" i="5"/>
  <c r="W216" i="5"/>
  <c r="S217" i="5"/>
  <c r="W217" i="6"/>
  <c r="U217" i="5"/>
  <c r="U218" i="6"/>
  <c r="T218" i="6"/>
  <c r="C272" i="1" l="1"/>
  <c r="O220" i="6"/>
  <c r="O219" i="5"/>
  <c r="T218" i="5"/>
  <c r="S219" i="6"/>
  <c r="Q218" i="5"/>
  <c r="R219" i="6"/>
  <c r="U218" i="5"/>
  <c r="Q219" i="6"/>
  <c r="W217" i="5"/>
  <c r="Y220" i="6"/>
  <c r="B273" i="1"/>
  <c r="U219" i="6"/>
  <c r="P218" i="5"/>
  <c r="R218" i="5"/>
  <c r="X218" i="6"/>
  <c r="S218" i="5"/>
  <c r="V218" i="6"/>
  <c r="V217" i="5"/>
  <c r="W218" i="6"/>
  <c r="X217" i="5"/>
  <c r="P219" i="6"/>
  <c r="T219" i="6"/>
  <c r="C273" i="1" l="1"/>
  <c r="O221" i="6"/>
  <c r="O220" i="5"/>
  <c r="Q220" i="6"/>
  <c r="R220" i="6"/>
  <c r="S220" i="6"/>
  <c r="U219" i="5"/>
  <c r="V218" i="5"/>
  <c r="Y221" i="6"/>
  <c r="V219" i="6"/>
  <c r="R219" i="5"/>
  <c r="W218" i="5"/>
  <c r="W219" i="6"/>
  <c r="Q219" i="5"/>
  <c r="T219" i="5"/>
  <c r="T220" i="6"/>
  <c r="P219" i="5"/>
  <c r="B274" i="1"/>
  <c r="B275" i="1" s="1"/>
  <c r="U220" i="6"/>
  <c r="X218" i="5"/>
  <c r="P220" i="6"/>
  <c r="X219" i="6"/>
  <c r="S219" i="5"/>
  <c r="C274" i="1" l="1"/>
  <c r="C275" i="1"/>
  <c r="O222" i="6"/>
  <c r="O221" i="5"/>
  <c r="T220" i="5"/>
  <c r="B276" i="1"/>
  <c r="Y222" i="6"/>
  <c r="P221" i="6"/>
  <c r="S221" i="6"/>
  <c r="Q220" i="5"/>
  <c r="W220" i="6"/>
  <c r="P220" i="5"/>
  <c r="U220" i="5"/>
  <c r="X219" i="5"/>
  <c r="V220" i="6"/>
  <c r="U221" i="6"/>
  <c r="X220" i="6"/>
  <c r="Q221" i="6"/>
  <c r="S220" i="5"/>
  <c r="V219" i="5"/>
  <c r="R220" i="5"/>
  <c r="R221" i="6"/>
  <c r="W219" i="5"/>
  <c r="T221" i="6"/>
  <c r="C276" i="1" l="1"/>
  <c r="O223" i="6"/>
  <c r="O222" i="5"/>
  <c r="P221" i="5"/>
  <c r="V221" i="6"/>
  <c r="R222" i="6"/>
  <c r="Q221" i="5"/>
  <c r="X221" i="6"/>
  <c r="P222" i="6"/>
  <c r="X220" i="5"/>
  <c r="S221" i="5"/>
  <c r="W221" i="6"/>
  <c r="T221" i="5"/>
  <c r="V220" i="5"/>
  <c r="U222" i="6"/>
  <c r="S222" i="6"/>
  <c r="Q222" i="6"/>
  <c r="W222" i="6" s="1"/>
  <c r="W220" i="5"/>
  <c r="B277" i="1"/>
  <c r="B278" i="1"/>
  <c r="T222" i="6"/>
  <c r="R221" i="5"/>
  <c r="Y223" i="6"/>
  <c r="U221" i="5"/>
  <c r="C278" i="1" l="1"/>
  <c r="C277" i="1"/>
  <c r="O224" i="6"/>
  <c r="O223" i="5"/>
  <c r="U223" i="6"/>
  <c r="Q222" i="5"/>
  <c r="B279" i="1"/>
  <c r="U222" i="5"/>
  <c r="X221" i="5"/>
  <c r="S223" i="6"/>
  <c r="V222" i="6"/>
  <c r="T222" i="5"/>
  <c r="Q223" i="6"/>
  <c r="X222" i="6"/>
  <c r="T223" i="6"/>
  <c r="W221" i="5"/>
  <c r="P222" i="5"/>
  <c r="P223" i="6"/>
  <c r="R223" i="6"/>
  <c r="R222" i="5"/>
  <c r="S222" i="5"/>
  <c r="Y224" i="6"/>
  <c r="V221" i="5"/>
  <c r="C279" i="1" l="1"/>
  <c r="O225" i="6"/>
  <c r="O224" i="5"/>
  <c r="S223" i="5"/>
  <c r="R223" i="5"/>
  <c r="Q223" i="5"/>
  <c r="V222" i="5"/>
  <c r="Y225" i="6"/>
  <c r="V223" i="6"/>
  <c r="R224" i="6"/>
  <c r="P223" i="5"/>
  <c r="T224" i="6"/>
  <c r="P224" i="6"/>
  <c r="X222" i="5"/>
  <c r="W223" i="6"/>
  <c r="T223" i="5"/>
  <c r="Q224" i="6"/>
  <c r="U224" i="6"/>
  <c r="X223" i="6"/>
  <c r="B280" i="1"/>
  <c r="W222" i="5"/>
  <c r="U223" i="5"/>
  <c r="S224" i="6"/>
  <c r="C280" i="1" l="1"/>
  <c r="O226" i="6"/>
  <c r="O225" i="5"/>
  <c r="Q225" i="6"/>
  <c r="W223" i="5"/>
  <c r="U224" i="5"/>
  <c r="Y226" i="6"/>
  <c r="P225" i="6"/>
  <c r="V224" i="6"/>
  <c r="X223" i="5"/>
  <c r="P224" i="5"/>
  <c r="R225" i="6"/>
  <c r="T224" i="5"/>
  <c r="U225" i="6"/>
  <c r="W224" i="6"/>
  <c r="T225" i="6"/>
  <c r="Q224" i="5"/>
  <c r="S225" i="6"/>
  <c r="B281" i="1"/>
  <c r="X224" i="6"/>
  <c r="R224" i="5"/>
  <c r="S224" i="5"/>
  <c r="V223" i="5"/>
  <c r="C281" i="1" l="1"/>
  <c r="O227" i="6"/>
  <c r="O226" i="5"/>
  <c r="U225" i="5"/>
  <c r="T225" i="5"/>
  <c r="S225" i="5"/>
  <c r="U226" i="6"/>
  <c r="Q226" i="6"/>
  <c r="R225" i="5"/>
  <c r="X225" i="6"/>
  <c r="T226" i="6"/>
  <c r="V224" i="5"/>
  <c r="Q225" i="5"/>
  <c r="P226" i="6"/>
  <c r="B282" i="1"/>
  <c r="R226" i="6"/>
  <c r="Y227" i="6"/>
  <c r="X224" i="5"/>
  <c r="P225" i="5"/>
  <c r="W224" i="5"/>
  <c r="V225" i="6"/>
  <c r="S226" i="6"/>
  <c r="W225" i="6"/>
  <c r="B283" i="1"/>
  <c r="C282" i="1" l="1"/>
  <c r="C283" i="1"/>
  <c r="O228" i="6"/>
  <c r="O227" i="5"/>
  <c r="R227" i="6"/>
  <c r="W226" i="6"/>
  <c r="X226" i="6"/>
  <c r="R226" i="5"/>
  <c r="Y228" i="6"/>
  <c r="Q226" i="5"/>
  <c r="U227" i="6"/>
  <c r="T226" i="5"/>
  <c r="X227" i="6"/>
  <c r="X225" i="5"/>
  <c r="V226" i="6"/>
  <c r="P227" i="6"/>
  <c r="V225" i="5"/>
  <c r="U226" i="5"/>
  <c r="W225" i="5"/>
  <c r="S226" i="5"/>
  <c r="P226" i="5"/>
  <c r="Q227" i="6"/>
  <c r="B284" i="1"/>
  <c r="S227" i="6"/>
  <c r="T227" i="6"/>
  <c r="C284" i="1" l="1"/>
  <c r="O229" i="6"/>
  <c r="O228" i="5"/>
  <c r="S227" i="5"/>
  <c r="V226" i="5"/>
  <c r="W227" i="6"/>
  <c r="S228" i="6"/>
  <c r="Q228" i="6"/>
  <c r="T228" i="6"/>
  <c r="U227" i="5"/>
  <c r="P227" i="5"/>
  <c r="B285" i="1"/>
  <c r="Q227" i="5"/>
  <c r="V227" i="6"/>
  <c r="R228" i="6"/>
  <c r="P228" i="6"/>
  <c r="U228" i="6"/>
  <c r="T227" i="5"/>
  <c r="R227" i="5"/>
  <c r="X226" i="5"/>
  <c r="W226" i="5"/>
  <c r="Y229" i="6"/>
  <c r="C285" i="1" l="1"/>
  <c r="O230" i="6"/>
  <c r="O229" i="5"/>
  <c r="T228" i="5"/>
  <c r="Q228" i="5"/>
  <c r="W228" i="6"/>
  <c r="Y230" i="6"/>
  <c r="T229" i="6"/>
  <c r="B286" i="1"/>
  <c r="R228" i="5"/>
  <c r="R229" i="6"/>
  <c r="U228" i="5"/>
  <c r="P228" i="5"/>
  <c r="V227" i="5"/>
  <c r="Q229" i="6"/>
  <c r="S229" i="6"/>
  <c r="V228" i="6"/>
  <c r="P229" i="6"/>
  <c r="W227" i="5"/>
  <c r="S228" i="5"/>
  <c r="X227" i="5"/>
  <c r="B287" i="1"/>
  <c r="U229" i="6"/>
  <c r="X228" i="6"/>
  <c r="C286" i="1" l="1"/>
  <c r="C287" i="1"/>
  <c r="O231" i="6"/>
  <c r="O230" i="5"/>
  <c r="V228" i="5"/>
  <c r="X228" i="5"/>
  <c r="B288" i="1"/>
  <c r="Q229" i="5"/>
  <c r="S229" i="5"/>
  <c r="W228" i="5"/>
  <c r="R230" i="6"/>
  <c r="T230" i="6"/>
  <c r="Y231" i="6"/>
  <c r="U230" i="6"/>
  <c r="R229" i="5"/>
  <c r="W229" i="6"/>
  <c r="U229" i="5"/>
  <c r="S230" i="6"/>
  <c r="P230" i="6"/>
  <c r="T229" i="5"/>
  <c r="V229" i="6"/>
  <c r="P229" i="5"/>
  <c r="Q230" i="6"/>
  <c r="X229" i="6"/>
  <c r="C288" i="1" l="1"/>
  <c r="O232" i="6"/>
  <c r="O231" i="5"/>
  <c r="S231" i="6"/>
  <c r="R231" i="6"/>
  <c r="X229" i="5"/>
  <c r="W229" i="5"/>
  <c r="U230" i="5"/>
  <c r="T230" i="5"/>
  <c r="R230" i="5"/>
  <c r="Y232" i="6"/>
  <c r="P230" i="5"/>
  <c r="Q231" i="6"/>
  <c r="B289" i="1"/>
  <c r="S230" i="5"/>
  <c r="P231" i="6"/>
  <c r="V229" i="5"/>
  <c r="W230" i="6"/>
  <c r="V230" i="6"/>
  <c r="T231" i="6"/>
  <c r="X230" i="6"/>
  <c r="U231" i="6"/>
  <c r="Q230" i="5"/>
  <c r="C289" i="1" l="1"/>
  <c r="O233" i="6"/>
  <c r="O232" i="5"/>
  <c r="T232" i="6"/>
  <c r="S232" i="6"/>
  <c r="U231" i="5"/>
  <c r="X231" i="6"/>
  <c r="W230" i="5"/>
  <c r="P232" i="6"/>
  <c r="R231" i="5"/>
  <c r="Q231" i="5"/>
  <c r="Q232" i="6"/>
  <c r="V231" i="6"/>
  <c r="X230" i="5"/>
  <c r="P231" i="5"/>
  <c r="B290" i="1"/>
  <c r="B291" i="1" s="1"/>
  <c r="U232" i="6"/>
  <c r="S231" i="5"/>
  <c r="R232" i="6"/>
  <c r="W231" i="6"/>
  <c r="Y233" i="6"/>
  <c r="V230" i="5"/>
  <c r="T231" i="5"/>
  <c r="C290" i="1" l="1"/>
  <c r="C291" i="1"/>
  <c r="O234" i="6"/>
  <c r="O233" i="5"/>
  <c r="S233" i="6"/>
  <c r="P232" i="5"/>
  <c r="Y234" i="6"/>
  <c r="W231" i="5"/>
  <c r="V232" i="6"/>
  <c r="T233" i="6"/>
  <c r="T232" i="5"/>
  <c r="P233" i="6"/>
  <c r="R233" i="6"/>
  <c r="V231" i="5"/>
  <c r="S232" i="5"/>
  <c r="B292" i="1"/>
  <c r="X231" i="5"/>
  <c r="Q233" i="6"/>
  <c r="W232" i="6"/>
  <c r="R232" i="5"/>
  <c r="U233" i="6"/>
  <c r="Q232" i="5"/>
  <c r="X232" i="6"/>
  <c r="U232" i="5"/>
  <c r="C292" i="1" l="1"/>
  <c r="O235" i="6"/>
  <c r="O234" i="5"/>
  <c r="V233" i="6"/>
  <c r="Y235" i="6"/>
  <c r="X232" i="5"/>
  <c r="R233" i="5"/>
  <c r="X233" i="6"/>
  <c r="V232" i="5"/>
  <c r="B293" i="1"/>
  <c r="Q233" i="5"/>
  <c r="U234" i="6"/>
  <c r="R234" i="6"/>
  <c r="W232" i="5"/>
  <c r="S234" i="6"/>
  <c r="Q234" i="6"/>
  <c r="T234" i="6"/>
  <c r="T233" i="5"/>
  <c r="W233" i="6"/>
  <c r="U233" i="5"/>
  <c r="P234" i="6"/>
  <c r="S233" i="5"/>
  <c r="P233" i="5"/>
  <c r="C293" i="1" l="1"/>
  <c r="O236" i="6"/>
  <c r="O235" i="5"/>
  <c r="T235" i="6"/>
  <c r="Q235" i="6"/>
  <c r="R234" i="5"/>
  <c r="P234" i="5"/>
  <c r="Q234" i="5"/>
  <c r="R235" i="6"/>
  <c r="U234" i="5"/>
  <c r="V234" i="6"/>
  <c r="U235" i="6"/>
  <c r="P235" i="6"/>
  <c r="S235" i="6"/>
  <c r="W234" i="6"/>
  <c r="B294" i="1"/>
  <c r="X233" i="5"/>
  <c r="Y236" i="6"/>
  <c r="W233" i="5"/>
  <c r="S234" i="5"/>
  <c r="V233" i="5"/>
  <c r="B295" i="1"/>
  <c r="T234" i="5"/>
  <c r="X234" i="6"/>
  <c r="C294" i="1" l="1"/>
  <c r="C295" i="1"/>
  <c r="O237" i="6"/>
  <c r="O236" i="5"/>
  <c r="B296" i="1"/>
  <c r="U236" i="6"/>
  <c r="Y237" i="6"/>
  <c r="R236" i="6"/>
  <c r="Q235" i="5"/>
  <c r="P236" i="6"/>
  <c r="V235" i="6"/>
  <c r="S235" i="5"/>
  <c r="Q236" i="6"/>
  <c r="X234" i="5"/>
  <c r="W234" i="5"/>
  <c r="U235" i="5"/>
  <c r="T235" i="5"/>
  <c r="R235" i="5"/>
  <c r="P235" i="5"/>
  <c r="V234" i="5"/>
  <c r="W235" i="6"/>
  <c r="X235" i="6"/>
  <c r="T236" i="6"/>
  <c r="S236" i="6"/>
  <c r="C296" i="1" l="1"/>
  <c r="O238" i="6"/>
  <c r="O237" i="5"/>
  <c r="S236" i="5"/>
  <c r="X236" i="6"/>
  <c r="B297" i="1"/>
  <c r="P236" i="5"/>
  <c r="V236" i="6"/>
  <c r="R236" i="5"/>
  <c r="T237" i="6"/>
  <c r="S237" i="6"/>
  <c r="U236" i="5"/>
  <c r="T236" i="5"/>
  <c r="P237" i="6"/>
  <c r="Q237" i="6"/>
  <c r="V235" i="5"/>
  <c r="X235" i="5"/>
  <c r="W236" i="6"/>
  <c r="U237" i="6"/>
  <c r="Q236" i="5"/>
  <c r="Y238" i="6"/>
  <c r="R237" i="6"/>
  <c r="W235" i="5"/>
  <c r="C297" i="1" l="1"/>
  <c r="O239" i="6"/>
  <c r="O238" i="5"/>
  <c r="Q237" i="5"/>
  <c r="B298" i="1"/>
  <c r="P237" i="5"/>
  <c r="P238" i="6"/>
  <c r="R238" i="6"/>
  <c r="W236" i="5"/>
  <c r="X236" i="5"/>
  <c r="U238" i="6"/>
  <c r="Q238" i="6"/>
  <c r="U237" i="5"/>
  <c r="W237" i="6"/>
  <c r="B299" i="1"/>
  <c r="R237" i="5"/>
  <c r="V236" i="5"/>
  <c r="X237" i="6"/>
  <c r="Y239" i="6"/>
  <c r="S238" i="6"/>
  <c r="T237" i="5"/>
  <c r="T238" i="6"/>
  <c r="V237" i="6"/>
  <c r="S237" i="5"/>
  <c r="C298" i="1" l="1"/>
  <c r="C299" i="1"/>
  <c r="O240" i="6"/>
  <c r="O239" i="5"/>
  <c r="S239" i="6"/>
  <c r="Q238" i="5"/>
  <c r="Y240" i="6"/>
  <c r="T239" i="6"/>
  <c r="W237" i="5"/>
  <c r="U239" i="6"/>
  <c r="Q239" i="6"/>
  <c r="X237" i="5"/>
  <c r="P239" i="6"/>
  <c r="W238" i="6"/>
  <c r="P238" i="5"/>
  <c r="R239" i="6"/>
  <c r="T238" i="5"/>
  <c r="U238" i="5"/>
  <c r="B300" i="1"/>
  <c r="V238" i="6"/>
  <c r="S238" i="5"/>
  <c r="X238" i="6"/>
  <c r="R238" i="5"/>
  <c r="V237" i="5"/>
  <c r="C300" i="1" l="1"/>
  <c r="O241" i="6"/>
  <c r="O240" i="5"/>
  <c r="W239" i="6"/>
  <c r="P239" i="5"/>
  <c r="Q240" i="6"/>
  <c r="P240" i="6"/>
  <c r="V239" i="6"/>
  <c r="R240" i="6"/>
  <c r="X238" i="5"/>
  <c r="U239" i="5"/>
  <c r="V238" i="5"/>
  <c r="R239" i="5"/>
  <c r="T240" i="6"/>
  <c r="S239" i="5"/>
  <c r="S240" i="6"/>
  <c r="X239" i="6"/>
  <c r="W238" i="5"/>
  <c r="Y241" i="6"/>
  <c r="U240" i="6"/>
  <c r="B301" i="1"/>
  <c r="T239" i="5"/>
  <c r="Q239" i="5"/>
  <c r="C301" i="1" l="1"/>
  <c r="O242" i="6"/>
  <c r="O241" i="5"/>
  <c r="B302" i="1"/>
  <c r="X239" i="5"/>
  <c r="T240" i="5"/>
  <c r="W240" i="6"/>
  <c r="X240" i="6"/>
  <c r="W239" i="5"/>
  <c r="R241" i="6"/>
  <c r="S241" i="6"/>
  <c r="B303" i="1"/>
  <c r="Q241" i="6"/>
  <c r="V240" i="6"/>
  <c r="Q240" i="5"/>
  <c r="U241" i="6"/>
  <c r="S240" i="5"/>
  <c r="V239" i="5"/>
  <c r="P240" i="5"/>
  <c r="U240" i="5"/>
  <c r="Y242" i="6"/>
  <c r="P241" i="6"/>
  <c r="T241" i="6"/>
  <c r="R240" i="5"/>
  <c r="C302" i="1" l="1"/>
  <c r="C303" i="1"/>
  <c r="O243" i="6"/>
  <c r="O242" i="5"/>
  <c r="X240" i="5"/>
  <c r="U241" i="5"/>
  <c r="R242" i="6"/>
  <c r="V241" i="6"/>
  <c r="S242" i="6"/>
  <c r="R241" i="5"/>
  <c r="X241" i="6"/>
  <c r="T242" i="6"/>
  <c r="P241" i="5"/>
  <c r="W240" i="5"/>
  <c r="T241" i="5"/>
  <c r="V240" i="5"/>
  <c r="W241" i="6"/>
  <c r="U242" i="6"/>
  <c r="Y243" i="6"/>
  <c r="B304" i="1"/>
  <c r="Q242" i="6"/>
  <c r="S241" i="5"/>
  <c r="P242" i="6"/>
  <c r="Q241" i="5"/>
  <c r="C304" i="1" l="1"/>
  <c r="O244" i="6"/>
  <c r="O243" i="5"/>
  <c r="X241" i="5"/>
  <c r="S242" i="5"/>
  <c r="X242" i="6"/>
  <c r="Y244" i="6"/>
  <c r="U243" i="6"/>
  <c r="V242" i="6"/>
  <c r="V241" i="5"/>
  <c r="W241" i="5"/>
  <c r="Q242" i="5"/>
  <c r="T242" i="5"/>
  <c r="P242" i="5"/>
  <c r="U242" i="5"/>
  <c r="P243" i="6"/>
  <c r="R242" i="5"/>
  <c r="R243" i="6"/>
  <c r="Q243" i="6"/>
  <c r="T243" i="6"/>
  <c r="S243" i="6"/>
  <c r="W242" i="6"/>
  <c r="B305" i="1"/>
  <c r="B306" i="1" s="1"/>
  <c r="C306" i="1" l="1"/>
  <c r="C305" i="1"/>
  <c r="O245" i="6"/>
  <c r="O244" i="5"/>
  <c r="S243" i="5"/>
  <c r="R244" i="6"/>
  <c r="W243" i="6"/>
  <c r="X242" i="5"/>
  <c r="R243" i="5"/>
  <c r="P244" i="6"/>
  <c r="T243" i="5"/>
  <c r="Q244" i="6"/>
  <c r="U243" i="5"/>
  <c r="Q243" i="5"/>
  <c r="V243" i="6"/>
  <c r="P243" i="5"/>
  <c r="Y245" i="6"/>
  <c r="U244" i="6"/>
  <c r="B307" i="1"/>
  <c r="X243" i="6"/>
  <c r="W242" i="5"/>
  <c r="V242" i="5"/>
  <c r="T244" i="6"/>
  <c r="S244" i="6"/>
  <c r="C307" i="1" l="1"/>
  <c r="O246" i="6"/>
  <c r="O245" i="5"/>
  <c r="U245" i="6"/>
  <c r="U244" i="5"/>
  <c r="Q245" i="6"/>
  <c r="R244" i="5"/>
  <c r="X244" i="6"/>
  <c r="W243" i="5"/>
  <c r="Y246" i="6"/>
  <c r="V244" i="6"/>
  <c r="P244" i="5"/>
  <c r="Q244" i="5"/>
  <c r="T245" i="6"/>
  <c r="S244" i="5"/>
  <c r="V243" i="5"/>
  <c r="T244" i="5"/>
  <c r="R245" i="6"/>
  <c r="P245" i="6"/>
  <c r="S245" i="6"/>
  <c r="X243" i="5"/>
  <c r="W244" i="6"/>
  <c r="B308" i="1"/>
  <c r="C308" i="1" l="1"/>
  <c r="O247" i="6"/>
  <c r="O246" i="5"/>
  <c r="R245" i="5"/>
  <c r="S246" i="6"/>
  <c r="X245" i="6"/>
  <c r="R246" i="6"/>
  <c r="Q245" i="5"/>
  <c r="W245" i="6"/>
  <c r="U245" i="5"/>
  <c r="T246" i="6"/>
  <c r="B309" i="1"/>
  <c r="B310" i="1"/>
  <c r="Q246" i="6"/>
  <c r="T245" i="5"/>
  <c r="X244" i="5"/>
  <c r="S245" i="5"/>
  <c r="V245" i="6"/>
  <c r="Y247" i="6"/>
  <c r="W244" i="5"/>
  <c r="P246" i="6"/>
  <c r="U246" i="6"/>
  <c r="P245" i="5"/>
  <c r="V244" i="5"/>
  <c r="C310" i="1" l="1"/>
  <c r="C309" i="1"/>
  <c r="O248" i="6"/>
  <c r="O247" i="5"/>
  <c r="W246" i="6"/>
  <c r="Q247" i="6"/>
  <c r="S247" i="6"/>
  <c r="U246" i="5"/>
  <c r="T246" i="5"/>
  <c r="X246" i="6"/>
  <c r="V245" i="5"/>
  <c r="W245" i="5"/>
  <c r="R246" i="5"/>
  <c r="B311" i="1"/>
  <c r="Q246" i="5"/>
  <c r="S246" i="5"/>
  <c r="T247" i="6"/>
  <c r="P246" i="5"/>
  <c r="X245" i="5"/>
  <c r="Y248" i="6"/>
  <c r="V246" i="6"/>
  <c r="P247" i="6"/>
  <c r="R247" i="6"/>
  <c r="U247" i="6"/>
  <c r="C311" i="1" l="1"/>
  <c r="O249" i="6"/>
  <c r="O248" i="5"/>
  <c r="P247" i="5"/>
  <c r="U247" i="5"/>
  <c r="T247" i="5"/>
  <c r="X246" i="5"/>
  <c r="P248" i="6"/>
  <c r="R248" i="6"/>
  <c r="T248" i="6"/>
  <c r="W246" i="5"/>
  <c r="R247" i="5"/>
  <c r="Q247" i="5"/>
  <c r="V246" i="5"/>
  <c r="Q248" i="6"/>
  <c r="S248" i="6"/>
  <c r="W247" i="6"/>
  <c r="U248" i="6"/>
  <c r="B312" i="1"/>
  <c r="X247" i="6"/>
  <c r="Y249" i="6"/>
  <c r="S247" i="5"/>
  <c r="V247" i="6"/>
  <c r="C312" i="1" l="1"/>
  <c r="O250" i="6"/>
  <c r="O249" i="5"/>
  <c r="U248" i="5"/>
  <c r="V248" i="6"/>
  <c r="W248" i="6"/>
  <c r="P249" i="6"/>
  <c r="S248" i="5"/>
  <c r="S249" i="6"/>
  <c r="R249" i="6"/>
  <c r="Q249" i="6"/>
  <c r="T248" i="5"/>
  <c r="X248" i="6"/>
  <c r="R248" i="5"/>
  <c r="W247" i="5"/>
  <c r="U249" i="6"/>
  <c r="V247" i="5"/>
  <c r="X247" i="5"/>
  <c r="P248" i="5"/>
  <c r="Q248" i="5"/>
  <c r="T249" i="6"/>
  <c r="Y250" i="6"/>
  <c r="B313" i="1"/>
  <c r="B314" i="1" s="1"/>
  <c r="C314" i="1" l="1"/>
  <c r="C313" i="1"/>
  <c r="O251" i="6"/>
  <c r="O250" i="5"/>
  <c r="T250" i="6"/>
  <c r="P249" i="5"/>
  <c r="X248" i="5"/>
  <c r="Q250" i="6"/>
  <c r="U249" i="5"/>
  <c r="V248" i="5"/>
  <c r="P250" i="6"/>
  <c r="S250" i="6"/>
  <c r="S249" i="5"/>
  <c r="Q249" i="5"/>
  <c r="Y251" i="6"/>
  <c r="R249" i="5"/>
  <c r="R250" i="6"/>
  <c r="B315" i="1"/>
  <c r="W248" i="5"/>
  <c r="X249" i="6"/>
  <c r="W249" i="6"/>
  <c r="T249" i="5"/>
  <c r="V249" i="6"/>
  <c r="U250" i="6"/>
  <c r="C315" i="1" l="1"/>
  <c r="O252" i="6"/>
  <c r="O251" i="5"/>
  <c r="T251" i="6"/>
  <c r="R251" i="6"/>
  <c r="B316" i="1"/>
  <c r="Y252" i="6"/>
  <c r="T250" i="5"/>
  <c r="U250" i="5"/>
  <c r="U251" i="6"/>
  <c r="S251" i="6"/>
  <c r="V249" i="5"/>
  <c r="R250" i="5"/>
  <c r="X249" i="5"/>
  <c r="P251" i="6"/>
  <c r="W249" i="5"/>
  <c r="P250" i="5"/>
  <c r="S250" i="5"/>
  <c r="W250" i="6"/>
  <c r="X250" i="6"/>
  <c r="V250" i="6"/>
  <c r="Q251" i="6"/>
  <c r="Q250" i="5"/>
  <c r="C316" i="1" l="1"/>
  <c r="O253" i="6"/>
  <c r="O252" i="5"/>
  <c r="R251" i="5"/>
  <c r="P251" i="5"/>
  <c r="R252" i="6"/>
  <c r="P252" i="6"/>
  <c r="X250" i="5"/>
  <c r="V250" i="5"/>
  <c r="S252" i="6"/>
  <c r="V251" i="6"/>
  <c r="T251" i="5"/>
  <c r="U251" i="5"/>
  <c r="W250" i="5"/>
  <c r="S251" i="5"/>
  <c r="W251" i="6"/>
  <c r="Q252" i="6"/>
  <c r="T252" i="6"/>
  <c r="X251" i="6"/>
  <c r="B317" i="1"/>
  <c r="B318" i="1" s="1"/>
  <c r="Q251" i="5"/>
  <c r="Y253" i="6"/>
  <c r="U252" i="6"/>
  <c r="C318" i="1" l="1"/>
  <c r="C317" i="1"/>
  <c r="O254" i="6"/>
  <c r="O253" i="5"/>
  <c r="B319" i="1"/>
  <c r="W252" i="6"/>
  <c r="X251" i="5"/>
  <c r="Q253" i="6"/>
  <c r="U253" i="6"/>
  <c r="Q252" i="5"/>
  <c r="Y254" i="6"/>
  <c r="S253" i="6"/>
  <c r="W251" i="5"/>
  <c r="R253" i="6"/>
  <c r="T253" i="6"/>
  <c r="X252" i="6"/>
  <c r="V252" i="6"/>
  <c r="R252" i="5"/>
  <c r="V251" i="5"/>
  <c r="T252" i="5"/>
  <c r="S252" i="5"/>
  <c r="P253" i="6"/>
  <c r="U252" i="5"/>
  <c r="P252" i="5"/>
  <c r="C319" i="1" l="1"/>
  <c r="O255" i="6"/>
  <c r="O254" i="5"/>
  <c r="V252" i="5"/>
  <c r="W253" i="6"/>
  <c r="Q253" i="5"/>
  <c r="P254" i="6"/>
  <c r="V253" i="6"/>
  <c r="S254" i="6"/>
  <c r="U253" i="5"/>
  <c r="T254" i="6"/>
  <c r="T253" i="5"/>
  <c r="R253" i="5"/>
  <c r="Q254" i="6"/>
  <c r="P253" i="5"/>
  <c r="Y255" i="6"/>
  <c r="U254" i="6"/>
  <c r="B320" i="1"/>
  <c r="B321" i="1" s="1"/>
  <c r="W252" i="5"/>
  <c r="X252" i="5"/>
  <c r="S253" i="5"/>
  <c r="R254" i="6"/>
  <c r="X253" i="6"/>
  <c r="C320" i="1" l="1"/>
  <c r="C321" i="1"/>
  <c r="O256" i="6"/>
  <c r="O255" i="5"/>
  <c r="X253" i="5"/>
  <c r="X254" i="6"/>
  <c r="V253" i="5"/>
  <c r="T254" i="5"/>
  <c r="W254" i="6"/>
  <c r="V254" i="6"/>
  <c r="T255" i="6"/>
  <c r="U254" i="5"/>
  <c r="Q255" i="6"/>
  <c r="R255" i="6"/>
  <c r="Y256" i="6"/>
  <c r="Q254" i="5"/>
  <c r="S254" i="5"/>
  <c r="W253" i="5"/>
  <c r="P254" i="5"/>
  <c r="U255" i="6"/>
  <c r="B322" i="1"/>
  <c r="R254" i="5"/>
  <c r="P255" i="6"/>
  <c r="S255" i="6"/>
  <c r="C322" i="1" l="1"/>
  <c r="O257" i="6"/>
  <c r="O256" i="5"/>
  <c r="T255" i="5"/>
  <c r="Q256" i="6"/>
  <c r="B323" i="1"/>
  <c r="Y257" i="6"/>
  <c r="T256" i="6"/>
  <c r="W254" i="5"/>
  <c r="S256" i="6"/>
  <c r="Q255" i="5"/>
  <c r="W255" i="6"/>
  <c r="U255" i="5"/>
  <c r="X254" i="5"/>
  <c r="V255" i="6"/>
  <c r="X255" i="6"/>
  <c r="P256" i="6"/>
  <c r="P255" i="5"/>
  <c r="R255" i="5"/>
  <c r="V254" i="5"/>
  <c r="U256" i="6"/>
  <c r="R256" i="6"/>
  <c r="S255" i="5"/>
  <c r="C323" i="1" l="1"/>
  <c r="O258" i="6"/>
  <c r="O257" i="5"/>
  <c r="R257" i="6"/>
  <c r="X256" i="6"/>
  <c r="X255" i="5"/>
  <c r="U256" i="5"/>
  <c r="V256" i="6"/>
  <c r="W256" i="6"/>
  <c r="S257" i="6"/>
  <c r="U257" i="6"/>
  <c r="P256" i="5"/>
  <c r="X257" i="6"/>
  <c r="S256" i="5"/>
  <c r="T257" i="6"/>
  <c r="R256" i="5"/>
  <c r="W255" i="5"/>
  <c r="T256" i="5"/>
  <c r="Y258" i="6"/>
  <c r="V255" i="5"/>
  <c r="B324" i="1"/>
  <c r="Q256" i="5"/>
  <c r="Q257" i="6"/>
  <c r="P257" i="6"/>
  <c r="C324" i="1" l="1"/>
  <c r="O259" i="6"/>
  <c r="O258" i="5"/>
  <c r="R257" i="5"/>
  <c r="P258" i="6"/>
  <c r="T257" i="5"/>
  <c r="V257" i="6"/>
  <c r="W256" i="5"/>
  <c r="T258" i="6"/>
  <c r="U258" i="6"/>
  <c r="P257" i="5"/>
  <c r="U257" i="5"/>
  <c r="Q257" i="5"/>
  <c r="B325" i="1"/>
  <c r="S257" i="5"/>
  <c r="Y259" i="6"/>
  <c r="W257" i="6"/>
  <c r="X256" i="5"/>
  <c r="S258" i="6"/>
  <c r="V256" i="5"/>
  <c r="Q258" i="6"/>
  <c r="R258" i="6"/>
  <c r="C325" i="1" l="1"/>
  <c r="O260" i="6"/>
  <c r="O259" i="5"/>
  <c r="U259" i="6"/>
  <c r="W258" i="6"/>
  <c r="T258" i="5"/>
  <c r="U258" i="5"/>
  <c r="W257" i="5"/>
  <c r="V257" i="5"/>
  <c r="B326" i="1"/>
  <c r="X258" i="6"/>
  <c r="Q258" i="5"/>
  <c r="T259" i="6"/>
  <c r="P258" i="5"/>
  <c r="Q259" i="6"/>
  <c r="P259" i="6"/>
  <c r="R258" i="5"/>
  <c r="V258" i="6"/>
  <c r="Y260" i="6"/>
  <c r="R259" i="6"/>
  <c r="X257" i="5"/>
  <c r="S258" i="5"/>
  <c r="S259" i="6"/>
  <c r="C326" i="1" l="1"/>
  <c r="O261" i="6"/>
  <c r="O260" i="5"/>
  <c r="R260" i="6"/>
  <c r="S260" i="6"/>
  <c r="P259" i="5"/>
  <c r="B327" i="1"/>
  <c r="Q259" i="5"/>
  <c r="R259" i="5"/>
  <c r="T260" i="6"/>
  <c r="X259" i="6"/>
  <c r="U260" i="6"/>
  <c r="X258" i="5"/>
  <c r="T259" i="5"/>
  <c r="V258" i="5"/>
  <c r="U259" i="5"/>
  <c r="S259" i="5"/>
  <c r="W259" i="6"/>
  <c r="V259" i="6"/>
  <c r="P260" i="6"/>
  <c r="Y261" i="6"/>
  <c r="W258" i="5"/>
  <c r="Q260" i="6"/>
  <c r="C327" i="1" l="1"/>
  <c r="O262" i="6"/>
  <c r="O261" i="5"/>
  <c r="V260" i="6"/>
  <c r="X260" i="6"/>
  <c r="P261" i="6"/>
  <c r="S261" i="6"/>
  <c r="S260" i="5"/>
  <c r="V259" i="5"/>
  <c r="B328" i="1"/>
  <c r="Q261" i="6"/>
  <c r="R260" i="5"/>
  <c r="T261" i="6"/>
  <c r="X259" i="5"/>
  <c r="R261" i="6"/>
  <c r="W259" i="5"/>
  <c r="U261" i="6"/>
  <c r="Y262" i="6"/>
  <c r="W260" i="6"/>
  <c r="P260" i="5"/>
  <c r="U260" i="5"/>
  <c r="T260" i="5"/>
  <c r="Q260" i="5"/>
  <c r="C328" i="1" l="1"/>
  <c r="O263" i="6"/>
  <c r="O262" i="5"/>
  <c r="V261" i="6"/>
  <c r="W261" i="6"/>
  <c r="S262" i="6"/>
  <c r="P262" i="6"/>
  <c r="B329" i="1"/>
  <c r="T262" i="6"/>
  <c r="S261" i="5"/>
  <c r="Q261" i="5"/>
  <c r="T261" i="5"/>
  <c r="X260" i="5"/>
  <c r="V260" i="5"/>
  <c r="R262" i="6"/>
  <c r="U261" i="5"/>
  <c r="W260" i="5"/>
  <c r="R261" i="5"/>
  <c r="X261" i="6"/>
  <c r="Y263" i="6"/>
  <c r="P261" i="5"/>
  <c r="U262" i="6"/>
  <c r="Q262" i="6"/>
  <c r="C329" i="1" l="1"/>
  <c r="O264" i="6"/>
  <c r="O263" i="5"/>
  <c r="P263" i="6"/>
  <c r="U263" i="6"/>
  <c r="Q262" i="5"/>
  <c r="B330" i="1"/>
  <c r="S263" i="6"/>
  <c r="X261" i="5"/>
  <c r="P262" i="5"/>
  <c r="W262" i="6"/>
  <c r="T262" i="5"/>
  <c r="Y264" i="6"/>
  <c r="Q263" i="6"/>
  <c r="V261" i="5"/>
  <c r="U262" i="5"/>
  <c r="T263" i="6"/>
  <c r="S262" i="5"/>
  <c r="V262" i="6"/>
  <c r="R263" i="6"/>
  <c r="X262" i="6"/>
  <c r="R262" i="5"/>
  <c r="W261" i="5"/>
  <c r="C330" i="1" l="1"/>
  <c r="O265" i="6"/>
  <c r="O264" i="5"/>
  <c r="W263" i="6"/>
  <c r="P263" i="5"/>
  <c r="W262" i="5"/>
  <c r="X262" i="5"/>
  <c r="T264" i="6"/>
  <c r="B331" i="1"/>
  <c r="S263" i="5"/>
  <c r="R264" i="6"/>
  <c r="Q264" i="6"/>
  <c r="T263" i="5"/>
  <c r="U264" i="6"/>
  <c r="Q263" i="5"/>
  <c r="R263" i="5"/>
  <c r="X263" i="6"/>
  <c r="S264" i="6"/>
  <c r="V263" i="6"/>
  <c r="Y265" i="6"/>
  <c r="V262" i="5"/>
  <c r="U263" i="5"/>
  <c r="P264" i="6"/>
  <c r="C331" i="1" l="1"/>
  <c r="O266" i="6"/>
  <c r="O265" i="5"/>
  <c r="V264" i="6"/>
  <c r="X263" i="5"/>
  <c r="P264" i="5"/>
  <c r="Y266" i="6"/>
  <c r="P265" i="6"/>
  <c r="X264" i="6"/>
  <c r="S265" i="6"/>
  <c r="T265" i="6"/>
  <c r="W263" i="5"/>
  <c r="B332" i="1"/>
  <c r="S264" i="5"/>
  <c r="Q264" i="5"/>
  <c r="T264" i="5"/>
  <c r="W264" i="6"/>
  <c r="U265" i="6"/>
  <c r="V263" i="5"/>
  <c r="Q265" i="6"/>
  <c r="W265" i="6" s="1"/>
  <c r="U264" i="5"/>
  <c r="R264" i="5"/>
  <c r="R265" i="6"/>
  <c r="C332" i="1" l="1"/>
  <c r="O267" i="6"/>
  <c r="O266" i="5"/>
  <c r="P265" i="5"/>
  <c r="W264" i="5"/>
  <c r="V264" i="5"/>
  <c r="X264" i="5"/>
  <c r="X265" i="6"/>
  <c r="Q265" i="5"/>
  <c r="P266" i="6"/>
  <c r="Y267" i="6"/>
  <c r="U266" i="6"/>
  <c r="T265" i="5"/>
  <c r="T266" i="6"/>
  <c r="R266" i="6"/>
  <c r="V265" i="6"/>
  <c r="S266" i="6"/>
  <c r="S265" i="5"/>
  <c r="R265" i="5"/>
  <c r="B333" i="1"/>
  <c r="Q266" i="6"/>
  <c r="U265" i="5"/>
  <c r="C333" i="1" l="1"/>
  <c r="O268" i="6"/>
  <c r="O267" i="5"/>
  <c r="V266" i="6"/>
  <c r="U266" i="5"/>
  <c r="W265" i="5"/>
  <c r="R266" i="5"/>
  <c r="T266" i="5"/>
  <c r="P266" i="5"/>
  <c r="R267" i="6"/>
  <c r="Q266" i="5"/>
  <c r="S267" i="6"/>
  <c r="Q267" i="6"/>
  <c r="B334" i="1"/>
  <c r="T267" i="6"/>
  <c r="V265" i="5"/>
  <c r="U267" i="6"/>
  <c r="X266" i="6"/>
  <c r="X265" i="5"/>
  <c r="P267" i="6"/>
  <c r="W266" i="6"/>
  <c r="S266" i="5"/>
  <c r="Y268" i="6"/>
  <c r="C334" i="1" l="1"/>
  <c r="O269" i="6"/>
  <c r="O268" i="5"/>
  <c r="V267" i="6"/>
  <c r="T267" i="5"/>
  <c r="R267" i="5"/>
  <c r="B335" i="1"/>
  <c r="W267" i="6"/>
  <c r="W266" i="5"/>
  <c r="Y269" i="6"/>
  <c r="P268" i="6"/>
  <c r="X267" i="6"/>
  <c r="S268" i="6"/>
  <c r="R268" i="6"/>
  <c r="P267" i="5"/>
  <c r="S267" i="5"/>
  <c r="T268" i="6"/>
  <c r="Q267" i="5"/>
  <c r="X266" i="5"/>
  <c r="U268" i="6"/>
  <c r="Q268" i="6"/>
  <c r="U267" i="5"/>
  <c r="V266" i="5"/>
  <c r="C335" i="1" l="1"/>
  <c r="O270" i="6"/>
  <c r="O269" i="5"/>
  <c r="B336" i="1"/>
  <c r="Q269" i="6"/>
  <c r="U269" i="6"/>
  <c r="S269" i="6"/>
  <c r="P268" i="5"/>
  <c r="T268" i="5"/>
  <c r="W268" i="6"/>
  <c r="X268" i="6"/>
  <c r="R268" i="5"/>
  <c r="X267" i="5"/>
  <c r="S268" i="5"/>
  <c r="T269" i="6"/>
  <c r="R269" i="6"/>
  <c r="W267" i="5"/>
  <c r="P269" i="6"/>
  <c r="W269" i="6"/>
  <c r="Q268" i="5"/>
  <c r="V268" i="6"/>
  <c r="B337" i="1"/>
  <c r="U268" i="5"/>
  <c r="V267" i="5"/>
  <c r="Y270" i="6"/>
  <c r="C336" i="1" l="1"/>
  <c r="C337" i="1"/>
  <c r="O271" i="6"/>
  <c r="O270" i="5"/>
  <c r="S269" i="5"/>
  <c r="V268" i="5"/>
  <c r="T270" i="6"/>
  <c r="P270" i="6"/>
  <c r="X269" i="6"/>
  <c r="V269" i="6"/>
  <c r="U270" i="6"/>
  <c r="P269" i="5"/>
  <c r="W268" i="5"/>
  <c r="X268" i="5"/>
  <c r="Q270" i="6"/>
  <c r="W270" i="6" s="1"/>
  <c r="Q269" i="5"/>
  <c r="B338" i="1"/>
  <c r="T269" i="5"/>
  <c r="S270" i="6"/>
  <c r="U269" i="5"/>
  <c r="R269" i="5"/>
  <c r="R270" i="6"/>
  <c r="Y271" i="6"/>
  <c r="C338" i="1" l="1"/>
  <c r="O272" i="6"/>
  <c r="O271" i="5"/>
  <c r="X269" i="5"/>
  <c r="T271" i="6"/>
  <c r="U270" i="5"/>
  <c r="P270" i="5"/>
  <c r="P271" i="6"/>
  <c r="B339" i="1"/>
  <c r="U271" i="6"/>
  <c r="Q271" i="6"/>
  <c r="R271" i="6"/>
  <c r="T270" i="5"/>
  <c r="Q270" i="5"/>
  <c r="V270" i="6"/>
  <c r="W269" i="5"/>
  <c r="R270" i="5"/>
  <c r="V269" i="5"/>
  <c r="X270" i="6"/>
  <c r="S270" i="5"/>
  <c r="S271" i="6"/>
  <c r="Y272" i="6"/>
  <c r="C339" i="1" l="1"/>
  <c r="O273" i="6"/>
  <c r="O272" i="5"/>
  <c r="S271" i="5"/>
  <c r="Q271" i="5"/>
  <c r="W271" i="6"/>
  <c r="U272" i="6"/>
  <c r="V270" i="5"/>
  <c r="S272" i="6"/>
  <c r="X270" i="5"/>
  <c r="R272" i="6"/>
  <c r="T271" i="5"/>
  <c r="W270" i="5"/>
  <c r="Y273" i="6"/>
  <c r="T272" i="6"/>
  <c r="P271" i="5"/>
  <c r="R271" i="5"/>
  <c r="P272" i="6"/>
  <c r="Q272" i="6"/>
  <c r="X271" i="6"/>
  <c r="B340" i="1"/>
  <c r="U271" i="5"/>
  <c r="V271" i="6"/>
  <c r="C340" i="1" l="1"/>
  <c r="O274" i="6"/>
  <c r="O273" i="5"/>
  <c r="V271" i="5"/>
  <c r="V272" i="6"/>
  <c r="R272" i="5"/>
  <c r="T272" i="5"/>
  <c r="S272" i="5"/>
  <c r="T273" i="6"/>
  <c r="W271" i="5"/>
  <c r="U272" i="5"/>
  <c r="B341" i="1"/>
  <c r="X272" i="6"/>
  <c r="U273" i="6"/>
  <c r="X271" i="5"/>
  <c r="S273" i="6"/>
  <c r="P273" i="6"/>
  <c r="P272" i="5"/>
  <c r="R273" i="6"/>
  <c r="Q273" i="6"/>
  <c r="Y274" i="6"/>
  <c r="W272" i="6"/>
  <c r="Q272" i="5"/>
  <c r="C341" i="1" l="1"/>
  <c r="O275" i="6"/>
  <c r="O274" i="5"/>
  <c r="Q274" i="6"/>
  <c r="V272" i="5"/>
  <c r="X272" i="5"/>
  <c r="W273" i="6"/>
  <c r="S274" i="6"/>
  <c r="R273" i="5"/>
  <c r="P273" i="5"/>
  <c r="Y275" i="6"/>
  <c r="V273" i="6"/>
  <c r="Q273" i="5"/>
  <c r="W272" i="5"/>
  <c r="T273" i="5"/>
  <c r="U273" i="5"/>
  <c r="U274" i="6"/>
  <c r="S273" i="5"/>
  <c r="T274" i="6"/>
  <c r="X273" i="6"/>
  <c r="B342" i="1"/>
  <c r="R274" i="6"/>
  <c r="P274" i="6"/>
  <c r="C342" i="1" l="1"/>
  <c r="O276" i="6"/>
  <c r="O275" i="5"/>
  <c r="Q274" i="5"/>
  <c r="W274" i="6"/>
  <c r="U275" i="6"/>
  <c r="T274" i="5"/>
  <c r="P275" i="6"/>
  <c r="B343" i="1"/>
  <c r="X274" i="6"/>
  <c r="W273" i="5"/>
  <c r="R274" i="5"/>
  <c r="Q275" i="6"/>
  <c r="S275" i="6"/>
  <c r="V273" i="5"/>
  <c r="R275" i="6"/>
  <c r="Y276" i="6"/>
  <c r="X273" i="5"/>
  <c r="U274" i="5"/>
  <c r="P274" i="5"/>
  <c r="S274" i="5"/>
  <c r="V274" i="6"/>
  <c r="T275" i="6"/>
  <c r="C343" i="1" l="1"/>
  <c r="O277" i="6"/>
  <c r="O276" i="5"/>
  <c r="X274" i="5"/>
  <c r="X275" i="6"/>
  <c r="W274" i="5"/>
  <c r="S276" i="6"/>
  <c r="R275" i="5"/>
  <c r="T275" i="5"/>
  <c r="R276" i="6"/>
  <c r="B344" i="1"/>
  <c r="P276" i="6"/>
  <c r="S275" i="5"/>
  <c r="P275" i="5"/>
  <c r="V274" i="5"/>
  <c r="W275" i="6"/>
  <c r="V275" i="6"/>
  <c r="Y277" i="6"/>
  <c r="Q275" i="5"/>
  <c r="T276" i="6"/>
  <c r="U276" i="6"/>
  <c r="U275" i="5"/>
  <c r="Q276" i="6"/>
  <c r="C344" i="1" l="1"/>
  <c r="O278" i="6"/>
  <c r="O277" i="5"/>
  <c r="P277" i="6"/>
  <c r="U277" i="6"/>
  <c r="Q276" i="5"/>
  <c r="Y278" i="6"/>
  <c r="Q277" i="6"/>
  <c r="B345" i="1"/>
  <c r="R276" i="5"/>
  <c r="R277" i="6"/>
  <c r="T276" i="5"/>
  <c r="W276" i="6"/>
  <c r="X275" i="5"/>
  <c r="U276" i="5"/>
  <c r="V275" i="5"/>
  <c r="T277" i="6"/>
  <c r="X276" i="6"/>
  <c r="V276" i="6"/>
  <c r="S277" i="6"/>
  <c r="S276" i="5"/>
  <c r="P276" i="5"/>
  <c r="W275" i="5"/>
  <c r="C345" i="1" l="1"/>
  <c r="O279" i="6"/>
  <c r="O278" i="5"/>
  <c r="W277" i="6"/>
  <c r="X276" i="5"/>
  <c r="Q278" i="6"/>
  <c r="W276" i="5"/>
  <c r="Q277" i="5"/>
  <c r="X277" i="6"/>
  <c r="P278" i="6"/>
  <c r="V277" i="6"/>
  <c r="B346" i="1"/>
  <c r="V276" i="5"/>
  <c r="U277" i="5"/>
  <c r="U278" i="6"/>
  <c r="R278" i="6"/>
  <c r="P277" i="5"/>
  <c r="R277" i="5"/>
  <c r="T278" i="6"/>
  <c r="S278" i="6"/>
  <c r="S277" i="5"/>
  <c r="T277" i="5"/>
  <c r="Y279" i="6"/>
  <c r="C346" i="1" l="1"/>
  <c r="O280" i="6"/>
  <c r="O279" i="5"/>
  <c r="V277" i="5"/>
  <c r="Q278" i="5"/>
  <c r="U278" i="5"/>
  <c r="S278" i="5"/>
  <c r="B347" i="1"/>
  <c r="S279" i="6"/>
  <c r="P279" i="6"/>
  <c r="R279" i="6"/>
  <c r="X277" i="5"/>
  <c r="V278" i="6"/>
  <c r="X278" i="6"/>
  <c r="T279" i="6"/>
  <c r="T278" i="5"/>
  <c r="Q279" i="6"/>
  <c r="W277" i="5"/>
  <c r="R278" i="5"/>
  <c r="P278" i="5"/>
  <c r="Y280" i="6"/>
  <c r="W278" i="6"/>
  <c r="U279" i="6"/>
  <c r="C347" i="1" l="1"/>
  <c r="O281" i="6"/>
  <c r="O280" i="5"/>
  <c r="S279" i="5"/>
  <c r="P279" i="5"/>
  <c r="R279" i="5"/>
  <c r="V278" i="5"/>
  <c r="R280" i="6"/>
  <c r="U279" i="5"/>
  <c r="T280" i="6"/>
  <c r="B348" i="1"/>
  <c r="X279" i="6"/>
  <c r="Q280" i="6"/>
  <c r="T279" i="5"/>
  <c r="V279" i="6"/>
  <c r="U280" i="6"/>
  <c r="Q279" i="5"/>
  <c r="W278" i="5"/>
  <c r="X278" i="5"/>
  <c r="W279" i="6"/>
  <c r="S280" i="6"/>
  <c r="P280" i="6"/>
  <c r="Y281" i="6"/>
  <c r="C348" i="1" l="1"/>
  <c r="O282" i="6"/>
  <c r="O281" i="5"/>
  <c r="P280" i="5"/>
  <c r="W280" i="6"/>
  <c r="R281" i="6"/>
  <c r="W279" i="5"/>
  <c r="Q281" i="6"/>
  <c r="T280" i="5"/>
  <c r="X279" i="5"/>
  <c r="B349" i="1"/>
  <c r="Y282" i="6"/>
  <c r="S281" i="6"/>
  <c r="V279" i="5"/>
  <c r="R280" i="5"/>
  <c r="T281" i="6"/>
  <c r="U281" i="6"/>
  <c r="Q280" i="5"/>
  <c r="V280" i="6"/>
  <c r="S280" i="5"/>
  <c r="X280" i="6"/>
  <c r="U280" i="5"/>
  <c r="P281" i="6"/>
  <c r="C349" i="1" l="1"/>
  <c r="O283" i="6"/>
  <c r="O282" i="5"/>
  <c r="Y283" i="6"/>
  <c r="X280" i="5"/>
  <c r="P281" i="5"/>
  <c r="T282" i="6"/>
  <c r="V280" i="5"/>
  <c r="S282" i="6"/>
  <c r="R282" i="6"/>
  <c r="R281" i="5"/>
  <c r="Q281" i="5"/>
  <c r="V281" i="6"/>
  <c r="W281" i="6"/>
  <c r="P282" i="6"/>
  <c r="S281" i="5"/>
  <c r="X281" i="6"/>
  <c r="B350" i="1"/>
  <c r="T281" i="5"/>
  <c r="U282" i="6"/>
  <c r="Q282" i="6"/>
  <c r="U281" i="5"/>
  <c r="W280" i="5"/>
  <c r="C350" i="1" l="1"/>
  <c r="O284" i="6"/>
  <c r="O283" i="5"/>
  <c r="X282" i="6"/>
  <c r="W281" i="5"/>
  <c r="P282" i="5"/>
  <c r="R282" i="5"/>
  <c r="S282" i="5"/>
  <c r="V282" i="6"/>
  <c r="U282" i="5"/>
  <c r="Q283" i="6"/>
  <c r="Q282" i="5"/>
  <c r="T282" i="5"/>
  <c r="V281" i="5"/>
  <c r="B351" i="1"/>
  <c r="Y284" i="6"/>
  <c r="P283" i="6"/>
  <c r="W282" i="6"/>
  <c r="X281" i="5"/>
  <c r="T283" i="6"/>
  <c r="U283" i="6"/>
  <c r="R283" i="6"/>
  <c r="S283" i="6"/>
  <c r="C351" i="1" l="1"/>
  <c r="O285" i="6"/>
  <c r="O284" i="5"/>
  <c r="B352" i="1"/>
  <c r="T283" i="5"/>
  <c r="V282" i="5"/>
  <c r="R284" i="6"/>
  <c r="S284" i="6"/>
  <c r="X282" i="5"/>
  <c r="P283" i="5"/>
  <c r="U283" i="5"/>
  <c r="U284" i="6"/>
  <c r="S283" i="5"/>
  <c r="Y285" i="6"/>
  <c r="X283" i="6"/>
  <c r="V283" i="6"/>
  <c r="B353" i="1"/>
  <c r="P284" i="6"/>
  <c r="Q283" i="5"/>
  <c r="W282" i="5"/>
  <c r="W283" i="6"/>
  <c r="Q284" i="6"/>
  <c r="T284" i="6"/>
  <c r="R283" i="5"/>
  <c r="C352" i="1" l="1"/>
  <c r="C353" i="1"/>
  <c r="O286" i="6"/>
  <c r="O285" i="5"/>
  <c r="U285" i="6"/>
  <c r="X283" i="5"/>
  <c r="T285" i="6"/>
  <c r="V283" i="5"/>
  <c r="B354" i="1"/>
  <c r="U284" i="5"/>
  <c r="W284" i="6"/>
  <c r="T284" i="5"/>
  <c r="R284" i="5"/>
  <c r="V284" i="6"/>
  <c r="Q284" i="5"/>
  <c r="P285" i="6"/>
  <c r="W283" i="5"/>
  <c r="S285" i="6"/>
  <c r="Y286" i="6"/>
  <c r="Q285" i="6"/>
  <c r="P284" i="5"/>
  <c r="X284" i="6"/>
  <c r="S284" i="5"/>
  <c r="R285" i="6"/>
  <c r="C354" i="1" l="1"/>
  <c r="O287" i="6"/>
  <c r="O286" i="5"/>
  <c r="V285" i="6"/>
  <c r="T286" i="6"/>
  <c r="W285" i="6"/>
  <c r="Q285" i="5"/>
  <c r="Q286" i="6"/>
  <c r="V284" i="5"/>
  <c r="X284" i="5"/>
  <c r="S286" i="6"/>
  <c r="U285" i="5"/>
  <c r="R285" i="5"/>
  <c r="T285" i="5"/>
  <c r="P285" i="5"/>
  <c r="W284" i="5"/>
  <c r="B355" i="1"/>
  <c r="U286" i="6"/>
  <c r="R286" i="6"/>
  <c r="S285" i="5"/>
  <c r="X285" i="6"/>
  <c r="P286" i="6"/>
  <c r="Y287" i="6"/>
  <c r="C355" i="1" l="1"/>
  <c r="O288" i="6"/>
  <c r="O287" i="5"/>
  <c r="X286" i="6"/>
  <c r="U287" i="6"/>
  <c r="Q287" i="6"/>
  <c r="Q286" i="5"/>
  <c r="P286" i="5"/>
  <c r="R287" i="6"/>
  <c r="V285" i="5"/>
  <c r="S287" i="6"/>
  <c r="V286" i="6"/>
  <c r="S286" i="5"/>
  <c r="P287" i="6"/>
  <c r="R286" i="5"/>
  <c r="T287" i="6"/>
  <c r="W286" i="6"/>
  <c r="X285" i="5"/>
  <c r="B356" i="1"/>
  <c r="W285" i="5"/>
  <c r="T286" i="5"/>
  <c r="Y288" i="6"/>
  <c r="U286" i="5"/>
  <c r="C356" i="1" l="1"/>
  <c r="O289" i="6"/>
  <c r="O288" i="5"/>
  <c r="T287" i="5"/>
  <c r="V286" i="5"/>
  <c r="P288" i="6"/>
  <c r="S287" i="5"/>
  <c r="U288" i="6"/>
  <c r="S288" i="6"/>
  <c r="R288" i="6"/>
  <c r="Q287" i="5"/>
  <c r="P287" i="5"/>
  <c r="Q288" i="6"/>
  <c r="T288" i="6"/>
  <c r="U287" i="5"/>
  <c r="V287" i="6"/>
  <c r="W286" i="5"/>
  <c r="Y289" i="6"/>
  <c r="X287" i="6"/>
  <c r="X286" i="5"/>
  <c r="B357" i="1"/>
  <c r="R287" i="5"/>
  <c r="W287" i="6"/>
  <c r="C357" i="1" l="1"/>
  <c r="O290" i="6"/>
  <c r="O289" i="5"/>
  <c r="W288" i="6"/>
  <c r="V288" i="6"/>
  <c r="Q288" i="5"/>
  <c r="W287" i="5"/>
  <c r="V287" i="5"/>
  <c r="P289" i="6"/>
  <c r="Y290" i="6"/>
  <c r="P288" i="5"/>
  <c r="X288" i="6"/>
  <c r="S289" i="6"/>
  <c r="R289" i="6"/>
  <c r="B358" i="1"/>
  <c r="X287" i="5"/>
  <c r="U289" i="6"/>
  <c r="T288" i="5"/>
  <c r="Q289" i="6"/>
  <c r="T289" i="6"/>
  <c r="R288" i="5"/>
  <c r="U288" i="5"/>
  <c r="S288" i="5"/>
  <c r="C358" i="1" l="1"/>
  <c r="O291" i="6"/>
  <c r="O290" i="5"/>
  <c r="P289" i="5"/>
  <c r="S289" i="5"/>
  <c r="S290" i="6"/>
  <c r="T289" i="5"/>
  <c r="V289" i="6"/>
  <c r="Q289" i="5"/>
  <c r="B359" i="1"/>
  <c r="P290" i="6"/>
  <c r="Q290" i="6"/>
  <c r="Y291" i="6"/>
  <c r="W288" i="5"/>
  <c r="R289" i="5"/>
  <c r="U290" i="6"/>
  <c r="V288" i="5"/>
  <c r="R290" i="6"/>
  <c r="X288" i="5"/>
  <c r="U289" i="5"/>
  <c r="W289" i="6"/>
  <c r="X289" i="6"/>
  <c r="T290" i="6"/>
  <c r="C359" i="1" l="1"/>
  <c r="O292" i="6"/>
  <c r="O291" i="5"/>
  <c r="Q290" i="5"/>
  <c r="B360" i="1"/>
  <c r="R290" i="5"/>
  <c r="S291" i="6"/>
  <c r="P290" i="5"/>
  <c r="S290" i="5"/>
  <c r="V289" i="5"/>
  <c r="P291" i="6"/>
  <c r="Q291" i="6"/>
  <c r="U290" i="5"/>
  <c r="W289" i="5"/>
  <c r="X290" i="6"/>
  <c r="W290" i="6"/>
  <c r="V290" i="6"/>
  <c r="R291" i="6"/>
  <c r="T291" i="6"/>
  <c r="Y292" i="6"/>
  <c r="X289" i="5"/>
  <c r="T290" i="5"/>
  <c r="U291" i="6"/>
  <c r="C360" i="1" l="1"/>
  <c r="O293" i="6"/>
  <c r="O292" i="5"/>
  <c r="Y293" i="6"/>
  <c r="B361" i="1"/>
  <c r="S292" i="6"/>
  <c r="X290" i="5"/>
  <c r="P291" i="5"/>
  <c r="V290" i="5"/>
  <c r="R292" i="6"/>
  <c r="W290" i="5"/>
  <c r="R291" i="5"/>
  <c r="P292" i="6"/>
  <c r="S291" i="5"/>
  <c r="W291" i="6"/>
  <c r="V291" i="6"/>
  <c r="U292" i="6"/>
  <c r="Q291" i="5"/>
  <c r="U291" i="5"/>
  <c r="Q292" i="6"/>
  <c r="X291" i="6"/>
  <c r="T292" i="6"/>
  <c r="T291" i="5"/>
  <c r="C361" i="1" l="1"/>
  <c r="O294" i="6"/>
  <c r="O293" i="5"/>
  <c r="U292" i="5"/>
  <c r="Q293" i="6"/>
  <c r="X292" i="6"/>
  <c r="S293" i="6"/>
  <c r="U293" i="6"/>
  <c r="R293" i="6"/>
  <c r="B362" i="1"/>
  <c r="T293" i="6"/>
  <c r="R292" i="5"/>
  <c r="Q292" i="5"/>
  <c r="P292" i="5"/>
  <c r="T292" i="5"/>
  <c r="W291" i="5"/>
  <c r="X291" i="5"/>
  <c r="S292" i="5"/>
  <c r="Y294" i="6"/>
  <c r="V292" i="6"/>
  <c r="W292" i="6"/>
  <c r="V291" i="5"/>
  <c r="P293" i="6"/>
  <c r="C362" i="1" l="1"/>
  <c r="O295" i="6"/>
  <c r="O294" i="5"/>
  <c r="Y295" i="6"/>
  <c r="W292" i="5"/>
  <c r="P294" i="6"/>
  <c r="V292" i="5"/>
  <c r="V293" i="6"/>
  <c r="P293" i="5"/>
  <c r="B363" i="1"/>
  <c r="S293" i="5"/>
  <c r="X292" i="5"/>
  <c r="W293" i="6"/>
  <c r="R293" i="5"/>
  <c r="Q294" i="6"/>
  <c r="W294" i="6" s="1"/>
  <c r="U293" i="5"/>
  <c r="R294" i="6"/>
  <c r="X293" i="6"/>
  <c r="T294" i="6"/>
  <c r="Q293" i="5"/>
  <c r="T293" i="5"/>
  <c r="U294" i="6"/>
  <c r="S294" i="6"/>
  <c r="C363" i="1" l="1"/>
  <c r="O296" i="6"/>
  <c r="O295" i="5"/>
  <c r="S294" i="5"/>
  <c r="X293" i="5"/>
  <c r="B364" i="1"/>
  <c r="S295" i="6"/>
  <c r="P294" i="5"/>
  <c r="U295" i="6"/>
  <c r="V293" i="5"/>
  <c r="T294" i="5"/>
  <c r="U294" i="5"/>
  <c r="Y296" i="6"/>
  <c r="P295" i="6"/>
  <c r="R294" i="5"/>
  <c r="R295" i="6"/>
  <c r="T295" i="6"/>
  <c r="X294" i="6"/>
  <c r="Q294" i="5"/>
  <c r="V294" i="6"/>
  <c r="W293" i="5"/>
  <c r="Q295" i="6"/>
  <c r="C364" i="1" l="1"/>
  <c r="O297" i="6"/>
  <c r="O296" i="5"/>
  <c r="Q295" i="5"/>
  <c r="U295" i="5"/>
  <c r="V295" i="6"/>
  <c r="V294" i="5"/>
  <c r="Y297" i="6"/>
  <c r="S295" i="5"/>
  <c r="S296" i="6"/>
  <c r="U296" i="6"/>
  <c r="R295" i="5"/>
  <c r="W295" i="6"/>
  <c r="Q296" i="6"/>
  <c r="T296" i="6"/>
  <c r="T295" i="5"/>
  <c r="B365" i="1"/>
  <c r="W294" i="5"/>
  <c r="P295" i="5"/>
  <c r="R296" i="6"/>
  <c r="P296" i="6"/>
  <c r="X295" i="6"/>
  <c r="X294" i="5"/>
  <c r="C365" i="1" l="1"/>
  <c r="O298" i="6"/>
  <c r="O297" i="5"/>
  <c r="S297" i="6"/>
  <c r="Q297" i="6"/>
  <c r="P296" i="5"/>
  <c r="Q296" i="5"/>
  <c r="U296" i="5"/>
  <c r="W295" i="5"/>
  <c r="Y298" i="6"/>
  <c r="V295" i="5"/>
  <c r="P297" i="6"/>
  <c r="B366" i="1"/>
  <c r="U297" i="6"/>
  <c r="X295" i="5"/>
  <c r="S296" i="5"/>
  <c r="W296" i="6"/>
  <c r="T297" i="6"/>
  <c r="T296" i="5"/>
  <c r="R297" i="6"/>
  <c r="V296" i="6"/>
  <c r="R296" i="5"/>
  <c r="X296" i="6"/>
  <c r="C366" i="1" l="1"/>
  <c r="O299" i="6"/>
  <c r="O298" i="5"/>
  <c r="W296" i="5"/>
  <c r="S297" i="5"/>
  <c r="W297" i="6"/>
  <c r="X297" i="6"/>
  <c r="R297" i="5"/>
  <c r="Y299" i="6"/>
  <c r="R298" i="6"/>
  <c r="T298" i="6"/>
  <c r="U297" i="5"/>
  <c r="P298" i="6"/>
  <c r="U298" i="6"/>
  <c r="P297" i="5"/>
  <c r="Q298" i="6"/>
  <c r="Q297" i="5"/>
  <c r="S298" i="6"/>
  <c r="V296" i="5"/>
  <c r="T297" i="5"/>
  <c r="V297" i="6"/>
  <c r="B367" i="1"/>
  <c r="B368" i="1" s="1"/>
  <c r="X296" i="5"/>
  <c r="C368" i="1" l="1"/>
  <c r="C367" i="1"/>
  <c r="O300" i="6"/>
  <c r="O299" i="5"/>
  <c r="R298" i="5"/>
  <c r="Y300" i="6"/>
  <c r="P299" i="6"/>
  <c r="S298" i="5"/>
  <c r="R299" i="6"/>
  <c r="W297" i="5"/>
  <c r="B369" i="1"/>
  <c r="T299" i="6"/>
  <c r="Q299" i="6"/>
  <c r="U298" i="5"/>
  <c r="W298" i="6"/>
  <c r="U299" i="6"/>
  <c r="Q298" i="5"/>
  <c r="S299" i="6"/>
  <c r="X298" i="6"/>
  <c r="X297" i="5"/>
  <c r="T298" i="5"/>
  <c r="V298" i="6"/>
  <c r="V297" i="5"/>
  <c r="P298" i="5"/>
  <c r="C369" i="1" l="1"/>
  <c r="O301" i="6"/>
  <c r="O300" i="5"/>
  <c r="W299" i="6"/>
  <c r="R300" i="6"/>
  <c r="S300" i="6"/>
  <c r="X298" i="5"/>
  <c r="W298" i="5"/>
  <c r="P300" i="6"/>
  <c r="V298" i="5"/>
  <c r="R299" i="5"/>
  <c r="Y301" i="6"/>
  <c r="T299" i="5"/>
  <c r="Q300" i="6"/>
  <c r="T300" i="6"/>
  <c r="U300" i="6"/>
  <c r="U299" i="5"/>
  <c r="S299" i="5"/>
  <c r="B370" i="1"/>
  <c r="P299" i="5"/>
  <c r="V299" i="6"/>
  <c r="X299" i="6"/>
  <c r="Q299" i="5"/>
  <c r="C370" i="1" l="1"/>
  <c r="O302" i="6"/>
  <c r="O301" i="5"/>
  <c r="U300" i="5"/>
  <c r="B371" i="1"/>
  <c r="S301" i="6"/>
  <c r="Q301" i="6"/>
  <c r="X299" i="5"/>
  <c r="R300" i="5"/>
  <c r="S300" i="5"/>
  <c r="Q300" i="5"/>
  <c r="X300" i="6"/>
  <c r="Y302" i="6"/>
  <c r="P300" i="5"/>
  <c r="W299" i="5"/>
  <c r="P301" i="6"/>
  <c r="V299" i="5"/>
  <c r="V300" i="6"/>
  <c r="T301" i="6"/>
  <c r="W300" i="6"/>
  <c r="U301" i="6"/>
  <c r="T300" i="5"/>
  <c r="R301" i="6"/>
  <c r="C371" i="1" l="1"/>
  <c r="O303" i="6"/>
  <c r="O302" i="5"/>
  <c r="X300" i="5"/>
  <c r="U302" i="6"/>
  <c r="X301" i="6"/>
  <c r="W300" i="5"/>
  <c r="T302" i="6"/>
  <c r="R301" i="5"/>
  <c r="Q301" i="5"/>
  <c r="T301" i="5"/>
  <c r="S302" i="6"/>
  <c r="Y303" i="6"/>
  <c r="V300" i="5"/>
  <c r="P301" i="5"/>
  <c r="S301" i="5"/>
  <c r="Q302" i="6"/>
  <c r="B372" i="1"/>
  <c r="V301" i="6"/>
  <c r="U301" i="5"/>
  <c r="R302" i="6"/>
  <c r="P302" i="6"/>
  <c r="W301" i="6"/>
  <c r="C372" i="1" l="1"/>
  <c r="O304" i="6"/>
  <c r="O303" i="5"/>
  <c r="P303" i="6"/>
  <c r="W302" i="6"/>
  <c r="W301" i="5"/>
  <c r="S302" i="5"/>
  <c r="U302" i="5"/>
  <c r="T303" i="6"/>
  <c r="X302" i="6"/>
  <c r="T302" i="5"/>
  <c r="P302" i="5"/>
  <c r="X301" i="5"/>
  <c r="R302" i="5"/>
  <c r="V301" i="5"/>
  <c r="R303" i="6"/>
  <c r="Y304" i="6"/>
  <c r="B373" i="1"/>
  <c r="V302" i="6"/>
  <c r="Q302" i="5"/>
  <c r="Q303" i="6"/>
  <c r="U303" i="6"/>
  <c r="S303" i="6"/>
  <c r="C373" i="1" l="1"/>
  <c r="O305" i="6"/>
  <c r="O304" i="5"/>
  <c r="P303" i="5"/>
  <c r="B374" i="1"/>
  <c r="V303" i="6"/>
  <c r="U304" i="6"/>
  <c r="T303" i="5"/>
  <c r="X302" i="5"/>
  <c r="S304" i="6"/>
  <c r="Y305" i="6"/>
  <c r="U303" i="5"/>
  <c r="R303" i="5"/>
  <c r="V302" i="5"/>
  <c r="Q304" i="6"/>
  <c r="P304" i="6"/>
  <c r="W303" i="6"/>
  <c r="Q303" i="5"/>
  <c r="S303" i="5"/>
  <c r="W302" i="5"/>
  <c r="R304" i="6"/>
  <c r="T304" i="6"/>
  <c r="X303" i="6"/>
  <c r="C374" i="1" l="1"/>
  <c r="O306" i="6"/>
  <c r="O305" i="5"/>
  <c r="Q304" i="5"/>
  <c r="T304" i="5"/>
  <c r="R305" i="6"/>
  <c r="V304" i="6"/>
  <c r="Y306" i="6"/>
  <c r="W304" i="6"/>
  <c r="P304" i="5"/>
  <c r="V303" i="5"/>
  <c r="X304" i="6"/>
  <c r="S304" i="5"/>
  <c r="T305" i="6"/>
  <c r="U305" i="6"/>
  <c r="Q305" i="6"/>
  <c r="P305" i="6"/>
  <c r="W303" i="5"/>
  <c r="X303" i="5"/>
  <c r="R304" i="5"/>
  <c r="U304" i="5"/>
  <c r="B375" i="1"/>
  <c r="S305" i="6"/>
  <c r="C375" i="1" l="1"/>
  <c r="O307" i="6"/>
  <c r="O306" i="5"/>
  <c r="Q305" i="5"/>
  <c r="R306" i="6"/>
  <c r="V305" i="6"/>
  <c r="B376" i="1"/>
  <c r="T305" i="5"/>
  <c r="P306" i="6"/>
  <c r="Y307" i="6"/>
  <c r="Q306" i="6"/>
  <c r="R305" i="5"/>
  <c r="P305" i="5"/>
  <c r="W304" i="5"/>
  <c r="V304" i="5"/>
  <c r="X305" i="6"/>
  <c r="S306" i="6"/>
  <c r="U305" i="5"/>
  <c r="U306" i="6"/>
  <c r="S305" i="5"/>
  <c r="W305" i="6"/>
  <c r="X304" i="5"/>
  <c r="T306" i="6"/>
  <c r="C376" i="1" l="1"/>
  <c r="O308" i="6"/>
  <c r="O307" i="5"/>
  <c r="W306" i="6"/>
  <c r="V306" i="6"/>
  <c r="Q306" i="5"/>
  <c r="Q307" i="6"/>
  <c r="R307" i="6"/>
  <c r="P306" i="5"/>
  <c r="Y308" i="6"/>
  <c r="X305" i="5"/>
  <c r="P307" i="6"/>
  <c r="W305" i="5"/>
  <c r="V305" i="5"/>
  <c r="X306" i="6"/>
  <c r="U307" i="6"/>
  <c r="T307" i="6"/>
  <c r="S306" i="5"/>
  <c r="B377" i="1"/>
  <c r="R306" i="5"/>
  <c r="U306" i="5"/>
  <c r="S307" i="6"/>
  <c r="T306" i="5"/>
  <c r="C377" i="1" l="1"/>
  <c r="O309" i="6"/>
  <c r="O308" i="5"/>
  <c r="P308" i="6"/>
  <c r="P307" i="5"/>
  <c r="R307" i="5"/>
  <c r="T308" i="6"/>
  <c r="W307" i="6"/>
  <c r="W306" i="5"/>
  <c r="U308" i="6"/>
  <c r="Q307" i="5"/>
  <c r="V306" i="5"/>
  <c r="V307" i="6"/>
  <c r="Y309" i="6"/>
  <c r="R308" i="6"/>
  <c r="S307" i="5"/>
  <c r="S308" i="6"/>
  <c r="X307" i="6"/>
  <c r="U307" i="5"/>
  <c r="Q308" i="6"/>
  <c r="B378" i="1"/>
  <c r="X306" i="5"/>
  <c r="T307" i="5"/>
  <c r="C378" i="1" l="1"/>
  <c r="O310" i="6"/>
  <c r="O309" i="5"/>
  <c r="P309" i="6"/>
  <c r="X308" i="6"/>
  <c r="T308" i="5"/>
  <c r="V307" i="5"/>
  <c r="U309" i="6"/>
  <c r="S309" i="6"/>
  <c r="U308" i="5"/>
  <c r="T309" i="6"/>
  <c r="P308" i="5"/>
  <c r="R308" i="5"/>
  <c r="R309" i="6"/>
  <c r="Y310" i="6"/>
  <c r="W308" i="6"/>
  <c r="S308" i="5"/>
  <c r="B379" i="1"/>
  <c r="V308" i="6"/>
  <c r="Q308" i="5"/>
  <c r="X307" i="5"/>
  <c r="W307" i="5"/>
  <c r="Q309" i="6"/>
  <c r="W309" i="6" s="1"/>
  <c r="C379" i="1" l="1"/>
  <c r="O311" i="6"/>
  <c r="O310" i="5"/>
  <c r="U309" i="5"/>
  <c r="R309" i="5"/>
  <c r="U310" i="6"/>
  <c r="X309" i="6"/>
  <c r="R310" i="6"/>
  <c r="P310" i="6"/>
  <c r="B380" i="1"/>
  <c r="V308" i="5"/>
  <c r="Y311" i="6"/>
  <c r="S309" i="5"/>
  <c r="X308" i="5"/>
  <c r="P309" i="5"/>
  <c r="T309" i="5"/>
  <c r="S310" i="6"/>
  <c r="T310" i="6"/>
  <c r="V309" i="6"/>
  <c r="Q309" i="5"/>
  <c r="W308" i="5"/>
  <c r="Q310" i="6"/>
  <c r="W310" i="6" s="1"/>
  <c r="C380" i="1" l="1"/>
  <c r="O312" i="6"/>
  <c r="O311" i="5"/>
  <c r="S310" i="5"/>
  <c r="P310" i="5"/>
  <c r="T311" i="6"/>
  <c r="Q310" i="5"/>
  <c r="T310" i="5"/>
  <c r="W309" i="5"/>
  <c r="U311" i="6"/>
  <c r="B381" i="1"/>
  <c r="P311" i="6"/>
  <c r="R310" i="5"/>
  <c r="U310" i="5"/>
  <c r="X309" i="5"/>
  <c r="Y312" i="6"/>
  <c r="R311" i="6"/>
  <c r="V310" i="6"/>
  <c r="V309" i="5"/>
  <c r="Q311" i="6"/>
  <c r="S311" i="6"/>
  <c r="X310" i="6"/>
  <c r="C381" i="1" l="1"/>
  <c r="O313" i="6"/>
  <c r="O312" i="5"/>
  <c r="S312" i="6"/>
  <c r="Q312" i="6"/>
  <c r="X310" i="5"/>
  <c r="W311" i="6"/>
  <c r="R311" i="5"/>
  <c r="V311" i="6"/>
  <c r="T311" i="5"/>
  <c r="P311" i="5"/>
  <c r="V310" i="5"/>
  <c r="T312" i="6"/>
  <c r="Y313" i="6"/>
  <c r="Q311" i="5"/>
  <c r="W310" i="5"/>
  <c r="B382" i="1"/>
  <c r="P312" i="6"/>
  <c r="X311" i="6"/>
  <c r="U312" i="6"/>
  <c r="R312" i="6"/>
  <c r="X312" i="6" s="1"/>
  <c r="S311" i="5"/>
  <c r="U311" i="5"/>
  <c r="C382" i="1" l="1"/>
  <c r="O314" i="6"/>
  <c r="O313" i="5"/>
  <c r="U313" i="6"/>
  <c r="T312" i="5"/>
  <c r="Q313" i="6"/>
  <c r="B383" i="1"/>
  <c r="Q312" i="5"/>
  <c r="R313" i="6"/>
  <c r="Y314" i="6"/>
  <c r="W312" i="6"/>
  <c r="P312" i="5"/>
  <c r="U312" i="5"/>
  <c r="W311" i="5"/>
  <c r="S312" i="5"/>
  <c r="V311" i="5"/>
  <c r="X311" i="5"/>
  <c r="V312" i="6"/>
  <c r="R312" i="5"/>
  <c r="P313" i="6"/>
  <c r="T313" i="6"/>
  <c r="S313" i="6"/>
  <c r="C383" i="1" l="1"/>
  <c r="O315" i="6"/>
  <c r="O314" i="5"/>
  <c r="Q313" i="5"/>
  <c r="R313" i="5"/>
  <c r="B384" i="1"/>
  <c r="T313" i="5"/>
  <c r="Y315" i="6"/>
  <c r="P313" i="5"/>
  <c r="V313" i="6"/>
  <c r="R314" i="6"/>
  <c r="S314" i="6"/>
  <c r="W312" i="5"/>
  <c r="T314" i="6"/>
  <c r="P314" i="6"/>
  <c r="U314" i="6"/>
  <c r="S313" i="5"/>
  <c r="X313" i="6"/>
  <c r="X312" i="5"/>
  <c r="U313" i="5"/>
  <c r="Q314" i="6"/>
  <c r="V312" i="5"/>
  <c r="W313" i="6"/>
  <c r="C384" i="1" l="1"/>
  <c r="O316" i="6"/>
  <c r="O315" i="5"/>
  <c r="U315" i="6"/>
  <c r="Q314" i="5"/>
  <c r="S315" i="6"/>
  <c r="R314" i="5"/>
  <c r="W314" i="6"/>
  <c r="W313" i="5"/>
  <c r="Q315" i="6"/>
  <c r="P314" i="5"/>
  <c r="S314" i="5"/>
  <c r="V314" i="6"/>
  <c r="P315" i="6"/>
  <c r="X313" i="5"/>
  <c r="Y316" i="6"/>
  <c r="T315" i="6"/>
  <c r="V313" i="5"/>
  <c r="T314" i="5"/>
  <c r="U314" i="5"/>
  <c r="B385" i="1"/>
  <c r="X314" i="6"/>
  <c r="R315" i="6"/>
  <c r="C385" i="1" l="1"/>
  <c r="O317" i="6"/>
  <c r="O316" i="5"/>
  <c r="B386" i="1"/>
  <c r="V314" i="5"/>
  <c r="V315" i="6"/>
  <c r="X315" i="6"/>
  <c r="R316" i="6"/>
  <c r="W315" i="6"/>
  <c r="Q316" i="6"/>
  <c r="Q315" i="5"/>
  <c r="T315" i="5"/>
  <c r="U316" i="6"/>
  <c r="P315" i="5"/>
  <c r="Y317" i="6"/>
  <c r="U315" i="5"/>
  <c r="T316" i="6"/>
  <c r="S316" i="6"/>
  <c r="X314" i="5"/>
  <c r="R315" i="5"/>
  <c r="S315" i="5"/>
  <c r="P316" i="6"/>
  <c r="W314" i="5"/>
  <c r="C386" i="1" l="1"/>
  <c r="O318" i="6"/>
  <c r="O317" i="5"/>
  <c r="S317" i="6"/>
  <c r="R316" i="5"/>
  <c r="W315" i="5"/>
  <c r="T316" i="5"/>
  <c r="X315" i="5"/>
  <c r="R317" i="6"/>
  <c r="P316" i="5"/>
  <c r="S316" i="5"/>
  <c r="U317" i="6"/>
  <c r="Q316" i="5"/>
  <c r="Y318" i="6"/>
  <c r="P317" i="6"/>
  <c r="W316" i="6"/>
  <c r="V315" i="5"/>
  <c r="U316" i="5"/>
  <c r="X316" i="6"/>
  <c r="V316" i="6"/>
  <c r="Q317" i="6"/>
  <c r="T317" i="6"/>
  <c r="O319" i="6" l="1"/>
  <c r="O318" i="5"/>
  <c r="V317" i="6"/>
  <c r="P318" i="6"/>
  <c r="W316" i="5"/>
  <c r="W317" i="6"/>
  <c r="P317" i="5"/>
  <c r="V316" i="5"/>
  <c r="R318" i="6"/>
  <c r="S317" i="5"/>
  <c r="Q317" i="5"/>
  <c r="U318" i="6"/>
  <c r="X316" i="5"/>
  <c r="Y319" i="6"/>
  <c r="T318" i="6"/>
  <c r="X317" i="6"/>
  <c r="U317" i="5"/>
  <c r="T317" i="5"/>
  <c r="S318" i="6"/>
  <c r="R317" i="5"/>
  <c r="Q318" i="6"/>
  <c r="W318" i="6"/>
  <c r="O320" i="6" l="1"/>
  <c r="O319" i="5"/>
  <c r="S319" i="6"/>
  <c r="T318" i="5"/>
  <c r="R319" i="6"/>
  <c r="U318" i="5"/>
  <c r="Q319" i="6"/>
  <c r="P319" i="6"/>
  <c r="V318" i="6"/>
  <c r="U319" i="6"/>
  <c r="R318" i="5"/>
  <c r="V317" i="5"/>
  <c r="X318" i="6"/>
  <c r="W317" i="5"/>
  <c r="Y320" i="6"/>
  <c r="P318" i="5"/>
  <c r="T319" i="6"/>
  <c r="X317" i="5"/>
  <c r="S318" i="5"/>
  <c r="Q318" i="5"/>
  <c r="O321" i="6" l="1"/>
  <c r="O320" i="5"/>
  <c r="Q320" i="6"/>
  <c r="S320" i="6"/>
  <c r="Q319" i="5"/>
  <c r="X319" i="6"/>
  <c r="T319" i="5"/>
  <c r="W319" i="6"/>
  <c r="R320" i="6"/>
  <c r="X318" i="5"/>
  <c r="R319" i="5"/>
  <c r="U320" i="6"/>
  <c r="V318" i="5"/>
  <c r="W318" i="5"/>
  <c r="Y321" i="6"/>
  <c r="V319" i="6"/>
  <c r="S319" i="5"/>
  <c r="P320" i="6"/>
  <c r="U319" i="5"/>
  <c r="P319" i="5"/>
  <c r="T320" i="6"/>
  <c r="O322" i="6" l="1"/>
  <c r="O321" i="5"/>
  <c r="X319" i="5"/>
  <c r="P321" i="6"/>
  <c r="Q320" i="5"/>
  <c r="R320" i="5"/>
  <c r="W320" i="6"/>
  <c r="R321" i="6"/>
  <c r="S320" i="5"/>
  <c r="P320" i="5"/>
  <c r="W319" i="5"/>
  <c r="X320" i="6"/>
  <c r="T320" i="5"/>
  <c r="S321" i="6"/>
  <c r="U320" i="5"/>
  <c r="V319" i="5"/>
  <c r="Q321" i="6"/>
  <c r="V320" i="6"/>
  <c r="T321" i="6"/>
  <c r="Y322" i="6"/>
  <c r="U321" i="6"/>
  <c r="O323" i="6" l="1"/>
  <c r="O322" i="5"/>
  <c r="Y323" i="6"/>
  <c r="P322" i="6"/>
  <c r="U322" i="6"/>
  <c r="P321" i="5"/>
  <c r="V320" i="5"/>
  <c r="T321" i="5"/>
  <c r="W321" i="6"/>
  <c r="Q321" i="5"/>
  <c r="Q322" i="6"/>
  <c r="W322" i="6" s="1"/>
  <c r="X321" i="6"/>
  <c r="S321" i="5"/>
  <c r="T322" i="6"/>
  <c r="R322" i="6"/>
  <c r="X320" i="5"/>
  <c r="S322" i="6"/>
  <c r="R321" i="5"/>
  <c r="U321" i="5"/>
  <c r="V321" i="6"/>
  <c r="W320" i="5"/>
  <c r="O324" i="6" l="1"/>
  <c r="O323" i="5"/>
  <c r="X322" i="6"/>
  <c r="S322" i="5"/>
  <c r="Q322" i="5"/>
  <c r="P323" i="6"/>
  <c r="W321" i="5"/>
  <c r="R323" i="6"/>
  <c r="V322" i="6"/>
  <c r="Y324" i="6"/>
  <c r="P322" i="5"/>
  <c r="X321" i="5"/>
  <c r="U322" i="5"/>
  <c r="S323" i="6"/>
  <c r="T322" i="5"/>
  <c r="V321" i="5"/>
  <c r="R322" i="5"/>
  <c r="Q323" i="6"/>
  <c r="U323" i="6"/>
  <c r="T323" i="6"/>
  <c r="O325" i="6" l="1"/>
  <c r="O324" i="5"/>
  <c r="W322" i="5"/>
  <c r="T323" i="5"/>
  <c r="Q323" i="5"/>
  <c r="W323" i="6"/>
  <c r="U323" i="5"/>
  <c r="Y325" i="6"/>
  <c r="X322" i="5"/>
  <c r="S323" i="5"/>
  <c r="V322" i="5"/>
  <c r="V323" i="6"/>
  <c r="S324" i="6"/>
  <c r="Q324" i="6"/>
  <c r="R323" i="5"/>
  <c r="X323" i="6"/>
  <c r="T324" i="6"/>
  <c r="P324" i="6"/>
  <c r="R324" i="6"/>
  <c r="P323" i="5"/>
  <c r="U324" i="6"/>
  <c r="O326" i="6" l="1"/>
  <c r="O325" i="5"/>
  <c r="S325" i="6"/>
  <c r="R324" i="5"/>
  <c r="V323" i="5"/>
  <c r="U324" i="5"/>
  <c r="Y326" i="6"/>
  <c r="T324" i="5"/>
  <c r="W323" i="5"/>
  <c r="Q325" i="6"/>
  <c r="R325" i="6"/>
  <c r="U325" i="6"/>
  <c r="P324" i="5"/>
  <c r="S324" i="5"/>
  <c r="X324" i="6"/>
  <c r="W324" i="6"/>
  <c r="T325" i="6"/>
  <c r="X323" i="5"/>
  <c r="P325" i="6"/>
  <c r="Q324" i="5"/>
  <c r="V324" i="6"/>
  <c r="O327" i="6" l="1"/>
  <c r="O326" i="5"/>
  <c r="Q326" i="6"/>
  <c r="V324" i="5"/>
  <c r="T325" i="5"/>
  <c r="V325" i="6"/>
  <c r="P326" i="6"/>
  <c r="T326" i="6"/>
  <c r="Q325" i="5"/>
  <c r="R325" i="5"/>
  <c r="S325" i="5"/>
  <c r="Y327" i="6"/>
  <c r="X324" i="5"/>
  <c r="W325" i="6"/>
  <c r="X325" i="6"/>
  <c r="P325" i="5"/>
  <c r="W324" i="5"/>
  <c r="U325" i="5"/>
  <c r="R326" i="6"/>
  <c r="S326" i="6"/>
  <c r="U326" i="6"/>
  <c r="O328" i="6" l="1"/>
  <c r="O327" i="5"/>
  <c r="S326" i="5"/>
  <c r="V326" i="6"/>
  <c r="U327" i="6"/>
  <c r="R327" i="6"/>
  <c r="T327" i="6"/>
  <c r="V325" i="5"/>
  <c r="T326" i="5"/>
  <c r="W326" i="6"/>
  <c r="Y328" i="6"/>
  <c r="R326" i="5"/>
  <c r="W325" i="5"/>
  <c r="X325" i="5"/>
  <c r="P327" i="6"/>
  <c r="Q326" i="5"/>
  <c r="U326" i="5"/>
  <c r="Q327" i="6"/>
  <c r="P326" i="5"/>
  <c r="X326" i="6"/>
  <c r="S327" i="6"/>
  <c r="O329" i="6" l="1"/>
  <c r="O328" i="5"/>
  <c r="Q328" i="6"/>
  <c r="W327" i="6"/>
  <c r="Q327" i="5"/>
  <c r="S328" i="6"/>
  <c r="X327" i="6"/>
  <c r="V326" i="5"/>
  <c r="V327" i="6"/>
  <c r="P328" i="6"/>
  <c r="W326" i="5"/>
  <c r="X326" i="5"/>
  <c r="T328" i="6"/>
  <c r="U328" i="6"/>
  <c r="S327" i="5"/>
  <c r="T327" i="5"/>
  <c r="U327" i="5"/>
  <c r="R327" i="5"/>
  <c r="R328" i="6"/>
  <c r="P327" i="5"/>
  <c r="Y329" i="6"/>
  <c r="O330" i="6" l="1"/>
  <c r="O329" i="5"/>
  <c r="W327" i="5"/>
  <c r="T329" i="6"/>
  <c r="S329" i="6"/>
  <c r="V327" i="5"/>
  <c r="X328" i="6"/>
  <c r="P329" i="6"/>
  <c r="U328" i="5"/>
  <c r="X327" i="5"/>
  <c r="V328" i="6"/>
  <c r="W328" i="6"/>
  <c r="T328" i="5"/>
  <c r="R329" i="6"/>
  <c r="Y330" i="6"/>
  <c r="Q328" i="5"/>
  <c r="U329" i="6"/>
  <c r="S328" i="5"/>
  <c r="R328" i="5"/>
  <c r="Q329" i="6"/>
  <c r="P328" i="5"/>
  <c r="O331" i="6" l="1"/>
  <c r="O330" i="5"/>
  <c r="U329" i="5"/>
  <c r="Y331" i="6"/>
  <c r="X329" i="6"/>
  <c r="X328" i="5"/>
  <c r="S329" i="5"/>
  <c r="T329" i="5"/>
  <c r="Q329" i="5"/>
  <c r="W329" i="6"/>
  <c r="V328" i="5"/>
  <c r="Q330" i="6"/>
  <c r="S330" i="6"/>
  <c r="U330" i="6"/>
  <c r="W328" i="5"/>
  <c r="V329" i="6"/>
  <c r="R329" i="5"/>
  <c r="P330" i="6"/>
  <c r="R330" i="6"/>
  <c r="P329" i="5"/>
  <c r="T330" i="6"/>
  <c r="O332" i="6" l="1"/>
  <c r="O331" i="5"/>
  <c r="S330" i="5"/>
  <c r="U330" i="5"/>
  <c r="X329" i="5"/>
  <c r="T331" i="6"/>
  <c r="P330" i="5"/>
  <c r="S331" i="6"/>
  <c r="V329" i="5"/>
  <c r="R331" i="6"/>
  <c r="V330" i="6"/>
  <c r="W330" i="6"/>
  <c r="Q330" i="5"/>
  <c r="W329" i="5"/>
  <c r="P331" i="6"/>
  <c r="Y332" i="6"/>
  <c r="T330" i="5"/>
  <c r="U331" i="6"/>
  <c r="R330" i="5"/>
  <c r="X330" i="6"/>
  <c r="Q331" i="6"/>
  <c r="O333" i="6" l="1"/>
  <c r="O332" i="5"/>
  <c r="S331" i="5"/>
  <c r="P331" i="5"/>
  <c r="R331" i="5"/>
  <c r="V331" i="6"/>
  <c r="Q331" i="5"/>
  <c r="Q332" i="6"/>
  <c r="W331" i="6"/>
  <c r="R332" i="6"/>
  <c r="U331" i="5"/>
  <c r="T332" i="6"/>
  <c r="W330" i="5"/>
  <c r="X330" i="5"/>
  <c r="U332" i="6"/>
  <c r="S332" i="6"/>
  <c r="P332" i="6"/>
  <c r="V330" i="5"/>
  <c r="T331" i="5"/>
  <c r="X331" i="6"/>
  <c r="Y333" i="6"/>
  <c r="O334" i="6" l="1"/>
  <c r="O333" i="5"/>
  <c r="U332" i="5"/>
  <c r="T332" i="5"/>
  <c r="W331" i="5"/>
  <c r="R333" i="6"/>
  <c r="T333" i="6"/>
  <c r="Y334" i="6"/>
  <c r="U333" i="6"/>
  <c r="W332" i="6"/>
  <c r="X332" i="6"/>
  <c r="Q333" i="6"/>
  <c r="V332" i="6"/>
  <c r="P332" i="5"/>
  <c r="V331" i="5"/>
  <c r="R332" i="5"/>
  <c r="P333" i="6"/>
  <c r="X331" i="5"/>
  <c r="S332" i="5"/>
  <c r="Q332" i="5"/>
  <c r="S333" i="6"/>
  <c r="O335" i="6" l="1"/>
  <c r="O334" i="5"/>
  <c r="T333" i="5"/>
  <c r="S333" i="5"/>
  <c r="T334" i="6"/>
  <c r="R333" i="5"/>
  <c r="P333" i="5"/>
  <c r="Q334" i="6"/>
  <c r="R334" i="6"/>
  <c r="X334" i="6"/>
  <c r="S334" i="6"/>
  <c r="V333" i="6"/>
  <c r="W332" i="5"/>
  <c r="P334" i="6"/>
  <c r="V332" i="5"/>
  <c r="Y335" i="6"/>
  <c r="U334" i="6"/>
  <c r="U333" i="5"/>
  <c r="X332" i="5"/>
  <c r="X333" i="6"/>
  <c r="W333" i="6"/>
  <c r="Q333" i="5"/>
  <c r="O336" i="6" l="1"/>
  <c r="O335" i="5"/>
  <c r="V334" i="6"/>
  <c r="Q334" i="5"/>
  <c r="P334" i="5"/>
  <c r="T335" i="6"/>
  <c r="Q335" i="6"/>
  <c r="P335" i="6"/>
  <c r="R334" i="5"/>
  <c r="S334" i="5"/>
  <c r="V333" i="5"/>
  <c r="W333" i="5"/>
  <c r="U335" i="6"/>
  <c r="T334" i="5"/>
  <c r="U334" i="5"/>
  <c r="W334" i="6"/>
  <c r="X333" i="5"/>
  <c r="S335" i="6"/>
  <c r="Y336" i="6"/>
  <c r="R335" i="6"/>
  <c r="O337" i="6" l="1"/>
  <c r="O336" i="5"/>
  <c r="V334" i="5"/>
  <c r="R336" i="6"/>
  <c r="W335" i="6"/>
  <c r="X335" i="6"/>
  <c r="P336" i="6"/>
  <c r="W334" i="5"/>
  <c r="T336" i="6"/>
  <c r="V335" i="6"/>
  <c r="T335" i="5"/>
  <c r="R335" i="5"/>
  <c r="S336" i="6"/>
  <c r="X334" i="5"/>
  <c r="Q335" i="5"/>
  <c r="S335" i="5"/>
  <c r="P335" i="5"/>
  <c r="Q336" i="6"/>
  <c r="U335" i="5"/>
  <c r="W336" i="6"/>
  <c r="U336" i="6"/>
  <c r="Y337" i="6"/>
  <c r="O338" i="6" l="1"/>
  <c r="O337" i="5"/>
  <c r="P336" i="5"/>
  <c r="R337" i="6"/>
  <c r="V336" i="6"/>
  <c r="U336" i="5"/>
  <c r="V335" i="5"/>
  <c r="S337" i="6"/>
  <c r="X335" i="5"/>
  <c r="Y338" i="6"/>
  <c r="W335" i="5"/>
  <c r="X336" i="6"/>
  <c r="P337" i="6"/>
  <c r="T336" i="5"/>
  <c r="R336" i="5"/>
  <c r="Q336" i="5"/>
  <c r="U337" i="6"/>
  <c r="T337" i="6"/>
  <c r="S336" i="5"/>
  <c r="Q337" i="6"/>
  <c r="O339" i="6" l="1"/>
  <c r="O338" i="5"/>
  <c r="U338" i="6"/>
  <c r="Q337" i="5"/>
  <c r="U337" i="5"/>
  <c r="V337" i="6"/>
  <c r="W336" i="5"/>
  <c r="Q338" i="6"/>
  <c r="S338" i="6"/>
  <c r="V336" i="5"/>
  <c r="T338" i="6"/>
  <c r="P338" i="6"/>
  <c r="W337" i="6"/>
  <c r="X337" i="6"/>
  <c r="R338" i="6"/>
  <c r="S337" i="5"/>
  <c r="P337" i="5"/>
  <c r="X336" i="5"/>
  <c r="T337" i="5"/>
  <c r="Y339" i="6"/>
  <c r="R337" i="5"/>
  <c r="O340" i="6" l="1"/>
  <c r="O339" i="5"/>
  <c r="W337" i="5"/>
  <c r="Q338" i="5"/>
  <c r="R338" i="5"/>
  <c r="X338" i="6"/>
  <c r="P338" i="5"/>
  <c r="T338" i="5"/>
  <c r="U338" i="5"/>
  <c r="S338" i="5"/>
  <c r="R339" i="6"/>
  <c r="S339" i="6"/>
  <c r="X337" i="5"/>
  <c r="V337" i="5"/>
  <c r="Y340" i="6"/>
  <c r="V338" i="6"/>
  <c r="T339" i="6"/>
  <c r="Q339" i="6"/>
  <c r="U339" i="6"/>
  <c r="W338" i="6"/>
  <c r="P339" i="6"/>
  <c r="O341" i="6" l="1"/>
  <c r="O340" i="5"/>
  <c r="P340" i="6"/>
  <c r="W338" i="5"/>
  <c r="Q340" i="6"/>
  <c r="W339" i="6"/>
  <c r="X339" i="6"/>
  <c r="U339" i="5"/>
  <c r="T340" i="6"/>
  <c r="T339" i="5"/>
  <c r="Y341" i="6"/>
  <c r="V338" i="5"/>
  <c r="P339" i="5"/>
  <c r="U340" i="6"/>
  <c r="S339" i="5"/>
  <c r="X338" i="5"/>
  <c r="Q339" i="5"/>
  <c r="S340" i="6"/>
  <c r="V339" i="6"/>
  <c r="R340" i="6"/>
  <c r="R339" i="5"/>
  <c r="O342" i="6" l="1"/>
  <c r="O341" i="5"/>
  <c r="Q340" i="5"/>
  <c r="T341" i="6"/>
  <c r="X339" i="5"/>
  <c r="W340" i="6"/>
  <c r="P340" i="5"/>
  <c r="T340" i="5"/>
  <c r="P341" i="6"/>
  <c r="V340" i="6"/>
  <c r="X340" i="6"/>
  <c r="U341" i="6"/>
  <c r="R340" i="5"/>
  <c r="S340" i="5"/>
  <c r="R341" i="6"/>
  <c r="W339" i="5"/>
  <c r="Y342" i="6"/>
  <c r="S341" i="6"/>
  <c r="U340" i="5"/>
  <c r="V339" i="5"/>
  <c r="Q341" i="6"/>
  <c r="O343" i="6" l="1"/>
  <c r="O342" i="5"/>
  <c r="Y343" i="6"/>
  <c r="U342" i="6"/>
  <c r="W340" i="5"/>
  <c r="T341" i="5"/>
  <c r="S342" i="6"/>
  <c r="V341" i="6"/>
  <c r="R341" i="5"/>
  <c r="S341" i="5"/>
  <c r="Q341" i="5"/>
  <c r="X340" i="5"/>
  <c r="R342" i="6"/>
  <c r="V340" i="5"/>
  <c r="P341" i="5"/>
  <c r="T342" i="6"/>
  <c r="W341" i="6"/>
  <c r="X341" i="6"/>
  <c r="P342" i="6"/>
  <c r="Q342" i="6"/>
  <c r="U341" i="5"/>
  <c r="O344" i="6" l="1"/>
  <c r="O343" i="5"/>
  <c r="V342" i="6"/>
  <c r="T343" i="6"/>
  <c r="W342" i="6"/>
  <c r="Q342" i="5"/>
  <c r="V341" i="5"/>
  <c r="T342" i="5"/>
  <c r="X342" i="6"/>
  <c r="R343" i="6"/>
  <c r="Y344" i="6"/>
  <c r="S342" i="5"/>
  <c r="U342" i="5"/>
  <c r="Q343" i="6"/>
  <c r="P342" i="5"/>
  <c r="R342" i="5"/>
  <c r="X341" i="5"/>
  <c r="U343" i="6"/>
  <c r="W341" i="5"/>
  <c r="P343" i="6"/>
  <c r="S343" i="6"/>
  <c r="O345" i="6" l="1"/>
  <c r="O344" i="5"/>
  <c r="Q343" i="5"/>
  <c r="X342" i="5"/>
  <c r="V343" i="6"/>
  <c r="R344" i="6"/>
  <c r="V342" i="5"/>
  <c r="U343" i="5"/>
  <c r="T344" i="6"/>
  <c r="R343" i="5"/>
  <c r="S344" i="6"/>
  <c r="Q344" i="6"/>
  <c r="X343" i="6"/>
  <c r="S343" i="5"/>
  <c r="U344" i="6"/>
  <c r="P343" i="5"/>
  <c r="W343" i="6"/>
  <c r="Y345" i="6"/>
  <c r="W342" i="5"/>
  <c r="P344" i="6"/>
  <c r="T343" i="5"/>
  <c r="O346" i="6" l="1"/>
  <c r="O345" i="5"/>
  <c r="V343" i="5"/>
  <c r="R345" i="6"/>
  <c r="S345" i="6"/>
  <c r="U345" i="6"/>
  <c r="W344" i="6"/>
  <c r="T344" i="5"/>
  <c r="P344" i="5"/>
  <c r="Q345" i="6"/>
  <c r="T345" i="6"/>
  <c r="X343" i="5"/>
  <c r="V344" i="6"/>
  <c r="X344" i="6"/>
  <c r="W343" i="5"/>
  <c r="S344" i="5"/>
  <c r="Q344" i="5"/>
  <c r="P345" i="6"/>
  <c r="Y346" i="6"/>
  <c r="R344" i="5"/>
  <c r="U344" i="5"/>
  <c r="O347" i="6" l="1"/>
  <c r="O346" i="5"/>
  <c r="P346" i="6"/>
  <c r="Q345" i="5"/>
  <c r="X345" i="6"/>
  <c r="W344" i="5"/>
  <c r="Q346" i="6"/>
  <c r="Y347" i="6"/>
  <c r="S346" i="6"/>
  <c r="V344" i="5"/>
  <c r="V345" i="6"/>
  <c r="T346" i="6"/>
  <c r="R345" i="5"/>
  <c r="U345" i="5"/>
  <c r="S345" i="5"/>
  <c r="R346" i="6"/>
  <c r="W345" i="6"/>
  <c r="U346" i="6"/>
  <c r="T345" i="5"/>
  <c r="X344" i="5"/>
  <c r="P345" i="5"/>
  <c r="O348" i="6" l="1"/>
  <c r="O347" i="5"/>
  <c r="S347" i="6"/>
  <c r="T346" i="5"/>
  <c r="T347" i="6"/>
  <c r="X346" i="6"/>
  <c r="U347" i="6"/>
  <c r="R347" i="6"/>
  <c r="X345" i="5"/>
  <c r="R346" i="5"/>
  <c r="Q346" i="5"/>
  <c r="Y348" i="6"/>
  <c r="V346" i="6"/>
  <c r="W345" i="5"/>
  <c r="P346" i="5"/>
  <c r="S346" i="5"/>
  <c r="Q347" i="6"/>
  <c r="W346" i="6"/>
  <c r="P347" i="6"/>
  <c r="V345" i="5"/>
  <c r="U346" i="5"/>
  <c r="O349" i="6" l="1"/>
  <c r="O348" i="5"/>
  <c r="X346" i="5"/>
  <c r="R348" i="6"/>
  <c r="U347" i="5"/>
  <c r="Y349" i="6"/>
  <c r="V347" i="6"/>
  <c r="R347" i="5"/>
  <c r="W347" i="6"/>
  <c r="S347" i="5"/>
  <c r="V346" i="5"/>
  <c r="Q348" i="6"/>
  <c r="U348" i="6"/>
  <c r="X347" i="6"/>
  <c r="P348" i="6"/>
  <c r="P347" i="5"/>
  <c r="T348" i="6"/>
  <c r="T347" i="5"/>
  <c r="S348" i="6"/>
  <c r="W346" i="5"/>
  <c r="Q347" i="5"/>
  <c r="O350" i="6" l="1"/>
  <c r="O349" i="5"/>
  <c r="X348" i="6"/>
  <c r="Q348" i="5"/>
  <c r="R349" i="6"/>
  <c r="W348" i="6"/>
  <c r="Y350" i="6"/>
  <c r="S348" i="5"/>
  <c r="T349" i="6"/>
  <c r="W347" i="5"/>
  <c r="T348" i="5"/>
  <c r="S349" i="6"/>
  <c r="V348" i="6"/>
  <c r="U349" i="6"/>
  <c r="P348" i="5"/>
  <c r="V347" i="5"/>
  <c r="X347" i="5"/>
  <c r="R348" i="5"/>
  <c r="U348" i="5"/>
  <c r="Q349" i="6"/>
  <c r="P349" i="6"/>
  <c r="O351" i="6" l="1"/>
  <c r="O350" i="5"/>
  <c r="T350" i="6"/>
  <c r="P350" i="6"/>
  <c r="X349" i="6"/>
  <c r="S349" i="5"/>
  <c r="U349" i="5"/>
  <c r="Q350" i="6"/>
  <c r="X348" i="5"/>
  <c r="T349" i="5"/>
  <c r="Q349" i="5"/>
  <c r="U350" i="6"/>
  <c r="Y351" i="6"/>
  <c r="P349" i="5"/>
  <c r="W349" i="6"/>
  <c r="S350" i="6"/>
  <c r="W348" i="5"/>
  <c r="V349" i="6"/>
  <c r="R350" i="6"/>
  <c r="R349" i="5"/>
  <c r="V348" i="5"/>
  <c r="O352" i="6" l="1"/>
  <c r="O351" i="5"/>
  <c r="Y352" i="6"/>
  <c r="R351" i="6"/>
  <c r="X351" i="6" s="1"/>
  <c r="T350" i="5"/>
  <c r="V349" i="5"/>
  <c r="U350" i="5"/>
  <c r="S351" i="6"/>
  <c r="X349" i="5"/>
  <c r="T351" i="6"/>
  <c r="V350" i="6"/>
  <c r="U351" i="6"/>
  <c r="W349" i="5"/>
  <c r="X350" i="6"/>
  <c r="R350" i="5"/>
  <c r="P351" i="6"/>
  <c r="S350" i="5"/>
  <c r="W350" i="6"/>
  <c r="P350" i="5"/>
  <c r="Q351" i="6"/>
  <c r="Q350" i="5"/>
  <c r="O353" i="6" l="1"/>
  <c r="O352" i="5"/>
  <c r="T352" i="6"/>
  <c r="Q351" i="5"/>
  <c r="V350" i="5"/>
  <c r="S352" i="6"/>
  <c r="R351" i="5"/>
  <c r="V351" i="6"/>
  <c r="X350" i="5"/>
  <c r="Q352" i="6"/>
  <c r="W351" i="6"/>
  <c r="Y353" i="6"/>
  <c r="T351" i="5"/>
  <c r="W350" i="5"/>
  <c r="P352" i="6"/>
  <c r="U352" i="6"/>
  <c r="P351" i="5"/>
  <c r="S351" i="5"/>
  <c r="R352" i="6"/>
  <c r="U351" i="5"/>
  <c r="O354" i="6" l="1"/>
  <c r="O353" i="5"/>
  <c r="T352" i="5"/>
  <c r="R353" i="6"/>
  <c r="S352" i="5"/>
  <c r="R352" i="5"/>
  <c r="W351" i="5"/>
  <c r="T353" i="6"/>
  <c r="S353" i="6"/>
  <c r="U352" i="5"/>
  <c r="W352" i="6"/>
  <c r="Q352" i="5"/>
  <c r="U353" i="6"/>
  <c r="Q353" i="6"/>
  <c r="Y354" i="6"/>
  <c r="V351" i="5"/>
  <c r="P353" i="6"/>
  <c r="X352" i="6"/>
  <c r="V352" i="6"/>
  <c r="P352" i="5"/>
  <c r="X351" i="5"/>
  <c r="O355" i="6" l="1"/>
  <c r="O354" i="5"/>
  <c r="V353" i="6"/>
  <c r="P353" i="5"/>
  <c r="X352" i="5"/>
  <c r="Q353" i="5"/>
  <c r="Y355" i="6"/>
  <c r="P354" i="6"/>
  <c r="T353" i="5"/>
  <c r="V352" i="5"/>
  <c r="S354" i="6"/>
  <c r="X353" i="6"/>
  <c r="R353" i="5"/>
  <c r="T354" i="6"/>
  <c r="S353" i="5"/>
  <c r="U354" i="6"/>
  <c r="U353" i="5"/>
  <c r="R354" i="6"/>
  <c r="W352" i="5"/>
  <c r="W353" i="6"/>
  <c r="Q354" i="6"/>
  <c r="O356" i="6" l="1"/>
  <c r="O355" i="5"/>
  <c r="X353" i="5"/>
  <c r="W353" i="5"/>
  <c r="R355" i="6"/>
  <c r="U354" i="5"/>
  <c r="S354" i="5"/>
  <c r="P354" i="5"/>
  <c r="W354" i="6"/>
  <c r="V354" i="6"/>
  <c r="Q354" i="5"/>
  <c r="X354" i="6"/>
  <c r="T354" i="5"/>
  <c r="Y356" i="6"/>
  <c r="Q355" i="6"/>
  <c r="V353" i="5"/>
  <c r="U355" i="6"/>
  <c r="P355" i="6"/>
  <c r="S355" i="6"/>
  <c r="R354" i="5"/>
  <c r="T355" i="6"/>
  <c r="O357" i="6" l="1"/>
  <c r="O356" i="5"/>
  <c r="W355" i="6"/>
  <c r="X355" i="6"/>
  <c r="V354" i="5"/>
  <c r="R356" i="6"/>
  <c r="U356" i="6"/>
  <c r="P356" i="6"/>
  <c r="Q356" i="6"/>
  <c r="S356" i="6"/>
  <c r="S355" i="5"/>
  <c r="T356" i="6"/>
  <c r="Y357" i="6"/>
  <c r="V355" i="6"/>
  <c r="P355" i="5"/>
  <c r="T355" i="5"/>
  <c r="X354" i="5"/>
  <c r="Q355" i="5"/>
  <c r="R355" i="5"/>
  <c r="U355" i="5"/>
  <c r="W354" i="5"/>
  <c r="O358" i="6" l="1"/>
  <c r="O357" i="5"/>
  <c r="U357" i="6"/>
  <c r="W355" i="5"/>
  <c r="P357" i="6"/>
  <c r="T356" i="5"/>
  <c r="U356" i="5"/>
  <c r="X355" i="5"/>
  <c r="R357" i="6"/>
  <c r="T357" i="6"/>
  <c r="Q357" i="6"/>
  <c r="P356" i="5"/>
  <c r="V355" i="5"/>
  <c r="Q356" i="5"/>
  <c r="S356" i="5"/>
  <c r="R356" i="5"/>
  <c r="X356" i="6"/>
  <c r="Y358" i="6"/>
  <c r="V356" i="6"/>
  <c r="S357" i="6"/>
  <c r="W356" i="6"/>
  <c r="O359" i="6" l="1"/>
  <c r="O358" i="5"/>
  <c r="W357" i="6"/>
  <c r="R357" i="5"/>
  <c r="V356" i="5"/>
  <c r="U358" i="6"/>
  <c r="Q358" i="6"/>
  <c r="V357" i="6"/>
  <c r="S357" i="5"/>
  <c r="U357" i="5"/>
  <c r="R358" i="6"/>
  <c r="X357" i="6"/>
  <c r="Q357" i="5"/>
  <c r="W356" i="5"/>
  <c r="T357" i="5"/>
  <c r="Y359" i="6"/>
  <c r="P358" i="6"/>
  <c r="P357" i="5"/>
  <c r="T358" i="6"/>
  <c r="S358" i="6"/>
  <c r="X356" i="5"/>
  <c r="O360" i="6" l="1"/>
  <c r="O359" i="5"/>
  <c r="Q358" i="5"/>
  <c r="T359" i="6"/>
  <c r="R358" i="5"/>
  <c r="P359" i="6"/>
  <c r="W358" i="6"/>
  <c r="S358" i="5"/>
  <c r="V358" i="6"/>
  <c r="S359" i="6"/>
  <c r="Y360" i="6"/>
  <c r="R359" i="6"/>
  <c r="X358" i="6"/>
  <c r="W357" i="5"/>
  <c r="U359" i="6"/>
  <c r="T358" i="5"/>
  <c r="V357" i="5"/>
  <c r="U358" i="5"/>
  <c r="P358" i="5"/>
  <c r="X357" i="5"/>
  <c r="Q359" i="6"/>
  <c r="O361" i="6" l="1"/>
  <c r="O360" i="5"/>
  <c r="Q359" i="5"/>
  <c r="X358" i="5"/>
  <c r="W359" i="6"/>
  <c r="S359" i="5"/>
  <c r="T359" i="5"/>
  <c r="R360" i="6"/>
  <c r="U360" i="6"/>
  <c r="S360" i="6"/>
  <c r="Q360" i="6"/>
  <c r="P360" i="6"/>
  <c r="W358" i="5"/>
  <c r="V359" i="6"/>
  <c r="U359" i="5"/>
  <c r="Y361" i="6"/>
  <c r="P359" i="5"/>
  <c r="X359" i="6"/>
  <c r="T360" i="6"/>
  <c r="V358" i="5"/>
  <c r="R359" i="5"/>
  <c r="O362" i="6" l="1"/>
  <c r="O361" i="5"/>
  <c r="T360" i="5"/>
  <c r="U361" i="6"/>
  <c r="Y362" i="6"/>
  <c r="Q360" i="5"/>
  <c r="W359" i="5"/>
  <c r="Q361" i="6"/>
  <c r="U360" i="5"/>
  <c r="V359" i="5"/>
  <c r="W360" i="6"/>
  <c r="X359" i="5"/>
  <c r="X360" i="6"/>
  <c r="S360" i="5"/>
  <c r="P361" i="6"/>
  <c r="V360" i="6"/>
  <c r="S361" i="6"/>
  <c r="T361" i="6"/>
  <c r="P360" i="5"/>
  <c r="R360" i="5"/>
  <c r="R361" i="6"/>
  <c r="O363" i="6" l="1"/>
  <c r="O362" i="5"/>
  <c r="R361" i="5"/>
  <c r="V360" i="5"/>
  <c r="U361" i="5"/>
  <c r="T361" i="5"/>
  <c r="X361" i="6"/>
  <c r="X360" i="5"/>
  <c r="V361" i="6"/>
  <c r="S361" i="5"/>
  <c r="Y363" i="6"/>
  <c r="P362" i="6"/>
  <c r="R362" i="6"/>
  <c r="W361" i="6"/>
  <c r="Q362" i="6"/>
  <c r="U362" i="6"/>
  <c r="P361" i="5"/>
  <c r="Q361" i="5"/>
  <c r="W360" i="5"/>
  <c r="T362" i="6"/>
  <c r="S362" i="6"/>
  <c r="O364" i="6" l="1"/>
  <c r="O363" i="5"/>
  <c r="R363" i="6"/>
  <c r="S362" i="5"/>
  <c r="U362" i="5"/>
  <c r="P362" i="5"/>
  <c r="V362" i="6"/>
  <c r="X362" i="6"/>
  <c r="X361" i="5"/>
  <c r="W362" i="6"/>
  <c r="P363" i="6"/>
  <c r="V361" i="5"/>
  <c r="Q362" i="5"/>
  <c r="R362" i="5"/>
  <c r="Q363" i="6"/>
  <c r="Y364" i="6"/>
  <c r="T363" i="6"/>
  <c r="T362" i="5"/>
  <c r="U363" i="6"/>
  <c r="S363" i="6"/>
  <c r="W361" i="5"/>
  <c r="O365" i="6" l="1"/>
  <c r="O364" i="5"/>
  <c r="W363" i="6"/>
  <c r="U364" i="6"/>
  <c r="Y365" i="6"/>
  <c r="R364" i="6"/>
  <c r="T364" i="6"/>
  <c r="X362" i="5"/>
  <c r="V362" i="5"/>
  <c r="X363" i="6"/>
  <c r="T363" i="5"/>
  <c r="U363" i="5"/>
  <c r="V363" i="6"/>
  <c r="P363" i="5"/>
  <c r="S364" i="6"/>
  <c r="W362" i="5"/>
  <c r="Q364" i="6"/>
  <c r="S363" i="5"/>
  <c r="R363" i="5"/>
  <c r="Q363" i="5"/>
  <c r="P364" i="6"/>
  <c r="O366" i="6" l="1"/>
  <c r="O365" i="5"/>
  <c r="R364" i="5"/>
  <c r="T364" i="5"/>
  <c r="P364" i="5"/>
  <c r="V364" i="6"/>
  <c r="W364" i="6"/>
  <c r="X363" i="5"/>
  <c r="X364" i="6"/>
  <c r="U364" i="5"/>
  <c r="Q364" i="5"/>
  <c r="V363" i="5"/>
  <c r="Y366" i="6"/>
  <c r="R365" i="6"/>
  <c r="U365" i="6"/>
  <c r="S364" i="5"/>
  <c r="T365" i="6"/>
  <c r="S365" i="6"/>
  <c r="W363" i="5"/>
  <c r="P365" i="6"/>
  <c r="Q365" i="6"/>
  <c r="O367" i="6" l="1"/>
  <c r="O366" i="5"/>
  <c r="T366" i="6"/>
  <c r="R366" i="6"/>
  <c r="V365" i="6"/>
  <c r="Q366" i="6"/>
  <c r="R365" i="5"/>
  <c r="W365" i="6"/>
  <c r="X364" i="5"/>
  <c r="S366" i="6"/>
  <c r="U366" i="6"/>
  <c r="P366" i="6"/>
  <c r="S365" i="5"/>
  <c r="Y367" i="6"/>
  <c r="Q365" i="5"/>
  <c r="V364" i="5"/>
  <c r="X365" i="6"/>
  <c r="T365" i="5"/>
  <c r="P365" i="5"/>
  <c r="W364" i="5"/>
  <c r="U365" i="5"/>
  <c r="O368" i="6" l="1"/>
  <c r="O367" i="5"/>
  <c r="Q366" i="5"/>
  <c r="T367" i="6"/>
  <c r="R367" i="6"/>
  <c r="S366" i="5"/>
  <c r="Q367" i="6"/>
  <c r="S367" i="6"/>
  <c r="Y368" i="6"/>
  <c r="R366" i="5"/>
  <c r="V365" i="5"/>
  <c r="V366" i="6"/>
  <c r="P367" i="6"/>
  <c r="P366" i="5"/>
  <c r="X365" i="5"/>
  <c r="W365" i="5"/>
  <c r="X366" i="6"/>
  <c r="U367" i="6"/>
  <c r="W366" i="6"/>
  <c r="T366" i="5"/>
  <c r="U366" i="5"/>
  <c r="O369" i="6" l="1"/>
  <c r="O368" i="5"/>
  <c r="V366" i="5"/>
  <c r="S367" i="5"/>
  <c r="T367" i="5"/>
  <c r="X366" i="5"/>
  <c r="P368" i="6"/>
  <c r="Q367" i="5"/>
  <c r="R367" i="5"/>
  <c r="Y369" i="6"/>
  <c r="S368" i="6"/>
  <c r="P367" i="5"/>
  <c r="U367" i="5"/>
  <c r="X367" i="6"/>
  <c r="U368" i="6"/>
  <c r="R368" i="6"/>
  <c r="W367" i="6"/>
  <c r="V367" i="6"/>
  <c r="Q368" i="6"/>
  <c r="T368" i="6"/>
  <c r="W366" i="5"/>
  <c r="O370" i="6" l="1"/>
  <c r="O369" i="5"/>
  <c r="X367" i="5"/>
  <c r="Q369" i="6"/>
  <c r="U369" i="6"/>
  <c r="T368" i="5"/>
  <c r="V367" i="5"/>
  <c r="R369" i="6"/>
  <c r="W368" i="6"/>
  <c r="U368" i="5"/>
  <c r="R368" i="5"/>
  <c r="V368" i="6"/>
  <c r="T369" i="6"/>
  <c r="Q368" i="5"/>
  <c r="Y370" i="6"/>
  <c r="P369" i="6"/>
  <c r="P368" i="5"/>
  <c r="S368" i="5"/>
  <c r="X368" i="6"/>
  <c r="W367" i="5"/>
  <c r="S369" i="6"/>
  <c r="O371" i="6" l="1"/>
  <c r="O370" i="5"/>
  <c r="T370" i="6"/>
  <c r="U370" i="6"/>
  <c r="S370" i="6"/>
  <c r="R370" i="6"/>
  <c r="X368" i="5"/>
  <c r="Q370" i="6"/>
  <c r="P370" i="6"/>
  <c r="X369" i="6"/>
  <c r="V368" i="5"/>
  <c r="T369" i="5"/>
  <c r="U369" i="5"/>
  <c r="S369" i="5"/>
  <c r="V369" i="6"/>
  <c r="Q369" i="5"/>
  <c r="W368" i="5"/>
  <c r="R369" i="5"/>
  <c r="P369" i="5"/>
  <c r="W369" i="6"/>
  <c r="Y371" i="6"/>
  <c r="O372" i="6" l="1"/>
  <c r="O371" i="5"/>
  <c r="W369" i="5"/>
  <c r="R371" i="6"/>
  <c r="X370" i="6"/>
  <c r="U371" i="6"/>
  <c r="S371" i="6"/>
  <c r="V369" i="5"/>
  <c r="S370" i="5"/>
  <c r="P370" i="5"/>
  <c r="Q371" i="6"/>
  <c r="U370" i="5"/>
  <c r="W370" i="6"/>
  <c r="V370" i="6"/>
  <c r="P371" i="6"/>
  <c r="Q370" i="5"/>
  <c r="Y372" i="6"/>
  <c r="R370" i="5"/>
  <c r="T371" i="6"/>
  <c r="T370" i="5"/>
  <c r="X369" i="5"/>
  <c r="O373" i="6" l="1"/>
  <c r="O372" i="5"/>
  <c r="T372" i="6"/>
  <c r="W371" i="6"/>
  <c r="R372" i="6"/>
  <c r="V371" i="6"/>
  <c r="P371" i="5"/>
  <c r="S372" i="6"/>
  <c r="X370" i="5"/>
  <c r="T371" i="5"/>
  <c r="U371" i="5"/>
  <c r="Y373" i="6"/>
  <c r="R371" i="5"/>
  <c r="W370" i="5"/>
  <c r="Q371" i="5"/>
  <c r="S371" i="5"/>
  <c r="V370" i="5"/>
  <c r="Q372" i="6"/>
  <c r="P372" i="6"/>
  <c r="X371" i="6"/>
  <c r="U372" i="6"/>
  <c r="O374" i="6" l="1"/>
  <c r="O373" i="5"/>
  <c r="T373" i="6"/>
  <c r="V371" i="5"/>
  <c r="W371" i="5"/>
  <c r="S372" i="5"/>
  <c r="T372" i="5"/>
  <c r="R373" i="6"/>
  <c r="R372" i="5"/>
  <c r="U373" i="6"/>
  <c r="S373" i="6"/>
  <c r="W372" i="6"/>
  <c r="V372" i="6"/>
  <c r="Q372" i="5"/>
  <c r="U372" i="5"/>
  <c r="P372" i="5"/>
  <c r="X372" i="6"/>
  <c r="X371" i="5"/>
  <c r="Y374" i="6"/>
  <c r="Q373" i="6"/>
  <c r="P373" i="6"/>
  <c r="O375" i="6" l="1"/>
  <c r="O374" i="5"/>
  <c r="T373" i="5"/>
  <c r="X372" i="5"/>
  <c r="P373" i="5"/>
  <c r="Q374" i="6"/>
  <c r="T374" i="6"/>
  <c r="W372" i="5"/>
  <c r="V373" i="6"/>
  <c r="R373" i="5"/>
  <c r="U374" i="6"/>
  <c r="P374" i="6"/>
  <c r="V372" i="5"/>
  <c r="W373" i="6"/>
  <c r="Y375" i="6"/>
  <c r="S373" i="5"/>
  <c r="Q373" i="5"/>
  <c r="U373" i="5"/>
  <c r="R374" i="6"/>
  <c r="S374" i="6"/>
  <c r="X373" i="6"/>
  <c r="O376" i="6" l="1"/>
  <c r="O375" i="5"/>
  <c r="V374" i="6"/>
  <c r="T374" i="5"/>
  <c r="W374" i="6"/>
  <c r="P374" i="5"/>
  <c r="W373" i="5"/>
  <c r="Q375" i="6"/>
  <c r="S374" i="5"/>
  <c r="Q374" i="5"/>
  <c r="P375" i="6"/>
  <c r="R375" i="6"/>
  <c r="V373" i="5"/>
  <c r="U374" i="5"/>
  <c r="S375" i="6"/>
  <c r="X373" i="5"/>
  <c r="T375" i="6"/>
  <c r="U375" i="6"/>
  <c r="Y376" i="6"/>
  <c r="X374" i="6"/>
  <c r="R374" i="5"/>
  <c r="O377" i="6" l="1"/>
  <c r="O376" i="5"/>
  <c r="U375" i="5"/>
  <c r="R376" i="6"/>
  <c r="R375" i="5"/>
  <c r="P376" i="6"/>
  <c r="T376" i="6"/>
  <c r="X374" i="5"/>
  <c r="Y377" i="6"/>
  <c r="V375" i="6"/>
  <c r="P375" i="5"/>
  <c r="Q375" i="5"/>
  <c r="T375" i="5"/>
  <c r="S376" i="6"/>
  <c r="V374" i="5"/>
  <c r="X375" i="6"/>
  <c r="W375" i="6"/>
  <c r="W374" i="5"/>
  <c r="Q376" i="6"/>
  <c r="S375" i="5"/>
  <c r="U376" i="6"/>
  <c r="O378" i="6" l="1"/>
  <c r="O377" i="5"/>
  <c r="W376" i="6"/>
  <c r="V376" i="6"/>
  <c r="X375" i="5"/>
  <c r="Q376" i="5"/>
  <c r="U376" i="5"/>
  <c r="Q377" i="6"/>
  <c r="S376" i="5"/>
  <c r="R376" i="5"/>
  <c r="T377" i="6"/>
  <c r="X376" i="6"/>
  <c r="R377" i="6"/>
  <c r="U377" i="6"/>
  <c r="W375" i="5"/>
  <c r="S377" i="6"/>
  <c r="Y378" i="6"/>
  <c r="P377" i="6"/>
  <c r="T376" i="5"/>
  <c r="V375" i="5"/>
  <c r="P376" i="5"/>
  <c r="O379" i="6" l="1"/>
  <c r="O378" i="5"/>
  <c r="V376" i="5"/>
  <c r="S377" i="5"/>
  <c r="Q377" i="5"/>
  <c r="R378" i="6"/>
  <c r="T378" i="6"/>
  <c r="S378" i="6"/>
  <c r="R377" i="5"/>
  <c r="Q378" i="6"/>
  <c r="W376" i="5"/>
  <c r="U378" i="6"/>
  <c r="X376" i="5"/>
  <c r="V377" i="6"/>
  <c r="P378" i="6"/>
  <c r="X377" i="6"/>
  <c r="T377" i="5"/>
  <c r="P377" i="5"/>
  <c r="Y379" i="6"/>
  <c r="W377" i="6"/>
  <c r="U377" i="5"/>
  <c r="O380" i="6" l="1"/>
  <c r="O379" i="5"/>
  <c r="X378" i="6"/>
  <c r="X377" i="5"/>
  <c r="S379" i="6"/>
  <c r="Q379" i="6"/>
  <c r="Q378" i="5"/>
  <c r="Y380" i="6"/>
  <c r="U379" i="6"/>
  <c r="P379" i="6"/>
  <c r="W377" i="5"/>
  <c r="P378" i="5"/>
  <c r="V377" i="5"/>
  <c r="S378" i="5"/>
  <c r="T379" i="6"/>
  <c r="W378" i="6"/>
  <c r="U378" i="5"/>
  <c r="T378" i="5"/>
  <c r="R378" i="5"/>
  <c r="R379" i="6"/>
  <c r="V378" i="6"/>
  <c r="O381" i="6" l="1"/>
  <c r="O380" i="5"/>
  <c r="U379" i="5"/>
  <c r="P380" i="6"/>
  <c r="Y381" i="6"/>
  <c r="R380" i="6"/>
  <c r="T379" i="5"/>
  <c r="W378" i="5"/>
  <c r="T380" i="6"/>
  <c r="X378" i="5"/>
  <c r="U380" i="6"/>
  <c r="P379" i="5"/>
  <c r="R379" i="5"/>
  <c r="S380" i="6"/>
  <c r="V379" i="6"/>
  <c r="W379" i="6"/>
  <c r="Q380" i="6"/>
  <c r="X379" i="6"/>
  <c r="V378" i="5"/>
  <c r="S379" i="5"/>
  <c r="Q379" i="5"/>
  <c r="O382" i="6" l="1"/>
  <c r="O381" i="5"/>
  <c r="S380" i="5"/>
  <c r="R380" i="5"/>
  <c r="T381" i="6"/>
  <c r="V380" i="6"/>
  <c r="U381" i="6"/>
  <c r="T380" i="5"/>
  <c r="S381" i="6"/>
  <c r="Q380" i="5"/>
  <c r="V379" i="5"/>
  <c r="P381" i="6"/>
  <c r="X379" i="5"/>
  <c r="Y382" i="6"/>
  <c r="W379" i="5"/>
  <c r="X380" i="6"/>
  <c r="Q381" i="6"/>
  <c r="P380" i="5"/>
  <c r="R381" i="6"/>
  <c r="W380" i="6"/>
  <c r="U380" i="5"/>
  <c r="O383" i="6" l="1"/>
  <c r="O382" i="5"/>
  <c r="S381" i="5"/>
  <c r="U381" i="5"/>
  <c r="P382" i="6"/>
  <c r="W380" i="5"/>
  <c r="R382" i="6"/>
  <c r="Q382" i="6"/>
  <c r="Y383" i="6"/>
  <c r="W381" i="6"/>
  <c r="S382" i="6"/>
  <c r="V381" i="6"/>
  <c r="U382" i="6"/>
  <c r="X381" i="6"/>
  <c r="T382" i="6"/>
  <c r="V380" i="5"/>
  <c r="P381" i="5"/>
  <c r="R381" i="5"/>
  <c r="Q381" i="5"/>
  <c r="X380" i="5"/>
  <c r="T381" i="5"/>
  <c r="O384" i="6" l="1"/>
  <c r="O383" i="5"/>
  <c r="V382" i="6"/>
  <c r="W382" i="6"/>
  <c r="R382" i="5"/>
  <c r="Q382" i="5"/>
  <c r="P382" i="5"/>
  <c r="Y384" i="6"/>
  <c r="X381" i="5"/>
  <c r="P383" i="6"/>
  <c r="X382" i="6"/>
  <c r="S382" i="5"/>
  <c r="R383" i="6"/>
  <c r="T382" i="5"/>
  <c r="Q383" i="6"/>
  <c r="T383" i="6"/>
  <c r="S383" i="6"/>
  <c r="V381" i="5"/>
  <c r="U382" i="5"/>
  <c r="W381" i="5"/>
  <c r="U383" i="6"/>
  <c r="O385" i="6" l="1"/>
  <c r="O384" i="5"/>
  <c r="P383" i="5"/>
  <c r="R384" i="6"/>
  <c r="U383" i="5"/>
  <c r="V382" i="5"/>
  <c r="Q384" i="6"/>
  <c r="Y385" i="6"/>
  <c r="U384" i="6"/>
  <c r="T383" i="5"/>
  <c r="V383" i="6"/>
  <c r="P384" i="6"/>
  <c r="S383" i="5"/>
  <c r="Q383" i="5"/>
  <c r="W384" i="6"/>
  <c r="S384" i="6"/>
  <c r="T384" i="6"/>
  <c r="R383" i="5"/>
  <c r="W382" i="5"/>
  <c r="X383" i="6"/>
  <c r="X382" i="5"/>
  <c r="W383" i="6"/>
  <c r="O386" i="6" l="1"/>
  <c r="O385" i="5"/>
  <c r="S385" i="6"/>
  <c r="T385" i="6"/>
  <c r="X383" i="5"/>
  <c r="R384" i="5"/>
  <c r="P385" i="6"/>
  <c r="Y386" i="6"/>
  <c r="U384" i="5"/>
  <c r="S384" i="5"/>
  <c r="R385" i="6"/>
  <c r="W383" i="5"/>
  <c r="X384" i="6"/>
  <c r="T384" i="5"/>
  <c r="Q384" i="5"/>
  <c r="V384" i="6"/>
  <c r="V383" i="5"/>
  <c r="U385" i="6"/>
  <c r="P384" i="5"/>
  <c r="Q385" i="6"/>
  <c r="O387" i="6" l="1"/>
  <c r="O386" i="5"/>
  <c r="S385" i="5"/>
  <c r="T386" i="6"/>
  <c r="U386" i="6"/>
  <c r="X384" i="5"/>
  <c r="W385" i="6"/>
  <c r="X385" i="6"/>
  <c r="R386" i="6"/>
  <c r="Q385" i="5"/>
  <c r="Q386" i="6"/>
  <c r="T385" i="5"/>
  <c r="P385" i="5"/>
  <c r="U385" i="5"/>
  <c r="W384" i="5"/>
  <c r="V384" i="5"/>
  <c r="R385" i="5"/>
  <c r="S386" i="6"/>
  <c r="Y387" i="6"/>
  <c r="V385" i="6"/>
  <c r="P386" i="6"/>
  <c r="O388" i="6" l="1"/>
  <c r="O387" i="5"/>
  <c r="W386" i="6"/>
  <c r="Q386" i="5"/>
  <c r="X386" i="6"/>
  <c r="T387" i="6"/>
  <c r="T386" i="5"/>
  <c r="W385" i="5"/>
  <c r="X385" i="5"/>
  <c r="V386" i="6"/>
  <c r="U386" i="5"/>
  <c r="R386" i="5"/>
  <c r="P387" i="6"/>
  <c r="P386" i="5"/>
  <c r="R387" i="6"/>
  <c r="V385" i="5"/>
  <c r="Q387" i="6"/>
  <c r="U387" i="6"/>
  <c r="S387" i="6"/>
  <c r="S386" i="5"/>
  <c r="Y388" i="6"/>
  <c r="O389" i="6" l="1"/>
  <c r="O388" i="5"/>
  <c r="S388" i="6"/>
  <c r="S387" i="5"/>
  <c r="R388" i="6"/>
  <c r="Q388" i="6"/>
  <c r="R387" i="5"/>
  <c r="U388" i="6"/>
  <c r="T388" i="6"/>
  <c r="X386" i="5"/>
  <c r="Q387" i="5"/>
  <c r="T387" i="5"/>
  <c r="U387" i="5"/>
  <c r="P388" i="6"/>
  <c r="V387" i="6"/>
  <c r="V386" i="5"/>
  <c r="Y389" i="6"/>
  <c r="W386" i="5"/>
  <c r="X387" i="6"/>
  <c r="W387" i="6"/>
  <c r="P387" i="5"/>
  <c r="O390" i="6" l="1"/>
  <c r="O389" i="5"/>
  <c r="S389" i="6"/>
  <c r="R388" i="5"/>
  <c r="V387" i="5"/>
  <c r="Q388" i="5"/>
  <c r="W388" i="6"/>
  <c r="Y390" i="6"/>
  <c r="P388" i="5"/>
  <c r="V388" i="6"/>
  <c r="P389" i="6"/>
  <c r="T389" i="6"/>
  <c r="X388" i="6"/>
  <c r="W387" i="5"/>
  <c r="U388" i="5"/>
  <c r="S388" i="5"/>
  <c r="X387" i="5"/>
  <c r="T388" i="5"/>
  <c r="R389" i="6"/>
  <c r="Q389" i="6"/>
  <c r="U389" i="6"/>
  <c r="O391" i="6" l="1"/>
  <c r="O390" i="5"/>
  <c r="T390" i="6"/>
  <c r="Y391" i="6"/>
  <c r="V388" i="5"/>
  <c r="T389" i="5"/>
  <c r="Q389" i="5"/>
  <c r="V389" i="6"/>
  <c r="U390" i="6"/>
  <c r="W388" i="5"/>
  <c r="R389" i="5"/>
  <c r="S390" i="6"/>
  <c r="P390" i="6"/>
  <c r="P389" i="5"/>
  <c r="U389" i="5"/>
  <c r="X388" i="5"/>
  <c r="W389" i="6"/>
  <c r="R390" i="6"/>
  <c r="Q390" i="6"/>
  <c r="X389" i="6"/>
  <c r="S389" i="5"/>
  <c r="O392" i="6" l="1"/>
  <c r="O391" i="5"/>
  <c r="T390" i="5"/>
  <c r="P390" i="5"/>
  <c r="V390" i="6"/>
  <c r="X390" i="6"/>
  <c r="P391" i="6"/>
  <c r="R390" i="5"/>
  <c r="Q390" i="5"/>
  <c r="W390" i="6"/>
  <c r="V389" i="5"/>
  <c r="S390" i="5"/>
  <c r="T391" i="6"/>
  <c r="W389" i="5"/>
  <c r="U391" i="6"/>
  <c r="R391" i="6"/>
  <c r="Q391" i="6"/>
  <c r="Y392" i="6"/>
  <c r="U390" i="5"/>
  <c r="X389" i="5"/>
  <c r="S391" i="6"/>
  <c r="O393" i="6" l="1"/>
  <c r="O392" i="5"/>
  <c r="T391" i="5"/>
  <c r="R391" i="5"/>
  <c r="Q391" i="5"/>
  <c r="U392" i="6"/>
  <c r="P392" i="6"/>
  <c r="T392" i="6"/>
  <c r="X390" i="5"/>
  <c r="R392" i="6"/>
  <c r="S392" i="6"/>
  <c r="Y393" i="6"/>
  <c r="W391" i="6"/>
  <c r="V390" i="5"/>
  <c r="W390" i="5"/>
  <c r="S391" i="5"/>
  <c r="P391" i="5"/>
  <c r="Q392" i="6"/>
  <c r="U391" i="5"/>
  <c r="V391" i="6"/>
  <c r="X391" i="6"/>
  <c r="O394" i="6" l="1"/>
  <c r="O393" i="5"/>
  <c r="X392" i="6"/>
  <c r="T392" i="5"/>
  <c r="U392" i="5"/>
  <c r="Q392" i="5"/>
  <c r="S392" i="5"/>
  <c r="V392" i="6"/>
  <c r="R393" i="6"/>
  <c r="Q393" i="6"/>
  <c r="U393" i="6"/>
  <c r="Y394" i="6"/>
  <c r="W392" i="6"/>
  <c r="T393" i="6"/>
  <c r="P392" i="5"/>
  <c r="W391" i="5"/>
  <c r="S393" i="6"/>
  <c r="R392" i="5"/>
  <c r="P393" i="6"/>
  <c r="V391" i="5"/>
  <c r="X391" i="5"/>
  <c r="O395" i="6" l="1"/>
  <c r="O394" i="5"/>
  <c r="R394" i="6"/>
  <c r="U394" i="6"/>
  <c r="S393" i="5"/>
  <c r="T394" i="6"/>
  <c r="X392" i="5"/>
  <c r="V393" i="6"/>
  <c r="T393" i="5"/>
  <c r="P394" i="6"/>
  <c r="P393" i="5"/>
  <c r="S394" i="6"/>
  <c r="X393" i="6"/>
  <c r="U393" i="5"/>
  <c r="Q394" i="6"/>
  <c r="W394" i="6"/>
  <c r="V392" i="5"/>
  <c r="W392" i="5"/>
  <c r="Y395" i="6"/>
  <c r="Q393" i="5"/>
  <c r="W393" i="6"/>
  <c r="R393" i="5"/>
  <c r="O396" i="6" l="1"/>
  <c r="O395" i="5"/>
  <c r="P395" i="6"/>
  <c r="W393" i="5"/>
  <c r="R395" i="6"/>
  <c r="U394" i="5"/>
  <c r="Q395" i="6"/>
  <c r="X393" i="5"/>
  <c r="S395" i="6"/>
  <c r="S394" i="5"/>
  <c r="Q394" i="5"/>
  <c r="P394" i="5"/>
  <c r="V393" i="5"/>
  <c r="Y396" i="6"/>
  <c r="U395" i="6"/>
  <c r="V394" i="6"/>
  <c r="R394" i="5"/>
  <c r="T395" i="6"/>
  <c r="X394" i="6"/>
  <c r="T394" i="5"/>
  <c r="O397" i="6" l="1"/>
  <c r="O396" i="5"/>
  <c r="P396" i="6"/>
  <c r="R395" i="5"/>
  <c r="P395" i="5"/>
  <c r="W394" i="5"/>
  <c r="Q395" i="5"/>
  <c r="S395" i="5"/>
  <c r="Y397" i="6"/>
  <c r="V395" i="6"/>
  <c r="U395" i="5"/>
  <c r="Q396" i="6"/>
  <c r="V394" i="5"/>
  <c r="R396" i="6"/>
  <c r="X394" i="5"/>
  <c r="X395" i="6"/>
  <c r="T395" i="5"/>
  <c r="W395" i="6"/>
  <c r="U396" i="6"/>
  <c r="T396" i="6"/>
  <c r="S396" i="6"/>
  <c r="O398" i="6" l="1"/>
  <c r="O397" i="5"/>
  <c r="S397" i="6"/>
  <c r="T396" i="5"/>
  <c r="W395" i="5"/>
  <c r="R396" i="5"/>
  <c r="W396" i="6"/>
  <c r="Q397" i="6"/>
  <c r="V396" i="6"/>
  <c r="X395" i="5"/>
  <c r="Y398" i="6"/>
  <c r="S396" i="5"/>
  <c r="U397" i="6"/>
  <c r="X396" i="6"/>
  <c r="U396" i="5"/>
  <c r="Q396" i="5"/>
  <c r="P397" i="6"/>
  <c r="V395" i="5"/>
  <c r="T397" i="6"/>
  <c r="P396" i="5"/>
  <c r="R397" i="6"/>
  <c r="O399" i="6" l="1"/>
  <c r="O398" i="5"/>
  <c r="Q398" i="6"/>
  <c r="P397" i="5"/>
  <c r="T398" i="6"/>
  <c r="P398" i="6"/>
  <c r="R398" i="6"/>
  <c r="R397" i="5"/>
  <c r="U397" i="5"/>
  <c r="X397" i="6"/>
  <c r="V397" i="6"/>
  <c r="T397" i="5"/>
  <c r="Y399" i="6"/>
  <c r="S397" i="5"/>
  <c r="W396" i="5"/>
  <c r="X396" i="5"/>
  <c r="V396" i="5"/>
  <c r="W397" i="6"/>
  <c r="S398" i="6"/>
  <c r="Q397" i="5"/>
  <c r="U398" i="6"/>
  <c r="O400" i="6" l="1"/>
  <c r="O399" i="5"/>
  <c r="W397" i="5"/>
  <c r="U399" i="6"/>
  <c r="X397" i="5"/>
  <c r="Y400" i="6"/>
  <c r="Q398" i="5"/>
  <c r="T399" i="6"/>
  <c r="P399" i="6"/>
  <c r="S398" i="5"/>
  <c r="P398" i="5"/>
  <c r="V398" i="6"/>
  <c r="R398" i="5"/>
  <c r="Q399" i="6"/>
  <c r="W398" i="6"/>
  <c r="V397" i="5"/>
  <c r="R399" i="6"/>
  <c r="T398" i="5"/>
  <c r="X398" i="6"/>
  <c r="S399" i="6"/>
  <c r="U398" i="5"/>
  <c r="O401" i="6" l="1"/>
  <c r="O400" i="5"/>
  <c r="R400" i="6"/>
  <c r="Q400" i="6"/>
  <c r="U399" i="5"/>
  <c r="X398" i="5"/>
  <c r="P399" i="5"/>
  <c r="R399" i="5"/>
  <c r="V399" i="6"/>
  <c r="U400" i="6"/>
  <c r="V398" i="5"/>
  <c r="T400" i="6"/>
  <c r="W398" i="5"/>
  <c r="P400" i="6"/>
  <c r="W399" i="6"/>
  <c r="S399" i="5"/>
  <c r="X399" i="6"/>
  <c r="Q399" i="5"/>
  <c r="T399" i="5"/>
  <c r="S400" i="6"/>
  <c r="Y401" i="6"/>
  <c r="O402" i="6" l="1"/>
  <c r="O401" i="5"/>
  <c r="R401" i="6"/>
  <c r="U401" i="6"/>
  <c r="Q401" i="6"/>
  <c r="R400" i="5"/>
  <c r="T401" i="6"/>
  <c r="P401" i="6"/>
  <c r="X400" i="6"/>
  <c r="S401" i="6"/>
  <c r="Y402" i="6"/>
  <c r="V399" i="5"/>
  <c r="X401" i="6"/>
  <c r="W399" i="5"/>
  <c r="X399" i="5"/>
  <c r="U400" i="5"/>
  <c r="P400" i="5"/>
  <c r="S400" i="5"/>
  <c r="W400" i="6"/>
  <c r="V400" i="6"/>
  <c r="T400" i="5"/>
  <c r="Q400" i="5"/>
  <c r="O403" i="6" l="1"/>
  <c r="O402" i="5"/>
  <c r="T402" i="6"/>
  <c r="Y403" i="6"/>
  <c r="V401" i="6"/>
  <c r="S401" i="5"/>
  <c r="T401" i="5"/>
  <c r="W401" i="6"/>
  <c r="X400" i="5"/>
  <c r="U402" i="6"/>
  <c r="P401" i="5"/>
  <c r="W400" i="5"/>
  <c r="Q401" i="5"/>
  <c r="R401" i="5"/>
  <c r="P402" i="6"/>
  <c r="R402" i="6"/>
  <c r="V400" i="5"/>
  <c r="S402" i="6"/>
  <c r="Q402" i="6"/>
  <c r="U401" i="5"/>
  <c r="O404" i="6" l="1"/>
  <c r="O403" i="5"/>
  <c r="P403" i="6"/>
  <c r="X402" i="6"/>
  <c r="X401" i="5"/>
  <c r="S403" i="6"/>
  <c r="V401" i="5"/>
  <c r="P402" i="5"/>
  <c r="U403" i="6"/>
  <c r="S402" i="5"/>
  <c r="R403" i="6"/>
  <c r="U402" i="5"/>
  <c r="R402" i="5"/>
  <c r="Q402" i="5"/>
  <c r="T402" i="5"/>
  <c r="W402" i="6"/>
  <c r="V402" i="6"/>
  <c r="T403" i="6"/>
  <c r="Y404" i="6"/>
  <c r="Q403" i="6"/>
  <c r="W401" i="5"/>
  <c r="O405" i="6" l="1"/>
  <c r="O404" i="5"/>
  <c r="V402" i="5"/>
  <c r="S404" i="6"/>
  <c r="Q403" i="5"/>
  <c r="V403" i="6"/>
  <c r="R404" i="6"/>
  <c r="X403" i="6"/>
  <c r="P404" i="6"/>
  <c r="T404" i="6"/>
  <c r="S403" i="5"/>
  <c r="R403" i="5"/>
  <c r="U404" i="6"/>
  <c r="Q404" i="6"/>
  <c r="P403" i="5"/>
  <c r="Y405" i="6"/>
  <c r="X402" i="5"/>
  <c r="W403" i="6"/>
  <c r="U403" i="5"/>
  <c r="T403" i="5"/>
  <c r="W402" i="5"/>
  <c r="O406" i="6" l="1"/>
  <c r="O405" i="5"/>
  <c r="Y406" i="6"/>
  <c r="R404" i="5"/>
  <c r="Q404" i="5"/>
  <c r="P404" i="5"/>
  <c r="U405" i="6"/>
  <c r="W403" i="5"/>
  <c r="W404" i="6"/>
  <c r="V404" i="6"/>
  <c r="V403" i="5"/>
  <c r="Q405" i="6"/>
  <c r="T404" i="5"/>
  <c r="R405" i="6"/>
  <c r="X405" i="6" s="1"/>
  <c r="S405" i="6"/>
  <c r="P405" i="6"/>
  <c r="X403" i="5"/>
  <c r="T405" i="6"/>
  <c r="X404" i="6"/>
  <c r="S404" i="5"/>
  <c r="U404" i="5"/>
  <c r="O407" i="6" l="1"/>
  <c r="O406" i="5"/>
  <c r="V404" i="5"/>
  <c r="U406" i="6"/>
  <c r="W404" i="5"/>
  <c r="S406" i="6"/>
  <c r="X404" i="5"/>
  <c r="R406" i="6"/>
  <c r="V405" i="6"/>
  <c r="Q405" i="5"/>
  <c r="P406" i="6"/>
  <c r="R405" i="5"/>
  <c r="Y407" i="6"/>
  <c r="T406" i="6"/>
  <c r="W405" i="6"/>
  <c r="X406" i="6"/>
  <c r="P405" i="5"/>
  <c r="S405" i="5"/>
  <c r="U405" i="5"/>
  <c r="Q406" i="6"/>
  <c r="T405" i="5"/>
  <c r="O408" i="6" l="1"/>
  <c r="O407" i="5"/>
  <c r="P407" i="6"/>
  <c r="T407" i="6"/>
  <c r="T406" i="5"/>
  <c r="S407" i="6"/>
  <c r="X405" i="5"/>
  <c r="R406" i="5"/>
  <c r="W406" i="6"/>
  <c r="V405" i="5"/>
  <c r="R407" i="6"/>
  <c r="Q406" i="5"/>
  <c r="U407" i="6"/>
  <c r="S406" i="5"/>
  <c r="Y408" i="6"/>
  <c r="U406" i="5"/>
  <c r="W405" i="5"/>
  <c r="V406" i="6"/>
  <c r="P406" i="5"/>
  <c r="Q407" i="6"/>
  <c r="O409" i="6" l="1"/>
  <c r="O408" i="5"/>
  <c r="V406" i="5"/>
  <c r="R408" i="6"/>
  <c r="R407" i="5"/>
  <c r="X406" i="5"/>
  <c r="W406" i="5"/>
  <c r="T408" i="6"/>
  <c r="W407" i="6"/>
  <c r="Q407" i="5"/>
  <c r="Q408" i="6"/>
  <c r="T407" i="5"/>
  <c r="P407" i="5"/>
  <c r="U407" i="5"/>
  <c r="P408" i="6"/>
  <c r="X407" i="6"/>
  <c r="Y409" i="6"/>
  <c r="U408" i="6"/>
  <c r="V407" i="6"/>
  <c r="S407" i="5"/>
  <c r="S408" i="6"/>
  <c r="O410" i="6" l="1"/>
  <c r="O409" i="5"/>
  <c r="Y410" i="6"/>
  <c r="U408" i="5"/>
  <c r="X407" i="5"/>
  <c r="R409" i="6"/>
  <c r="R408" i="5"/>
  <c r="T409" i="6"/>
  <c r="V407" i="5"/>
  <c r="S409" i="6"/>
  <c r="P409" i="6"/>
  <c r="W407" i="5"/>
  <c r="Q408" i="5"/>
  <c r="X408" i="6"/>
  <c r="S408" i="5"/>
  <c r="Q409" i="6"/>
  <c r="U409" i="6"/>
  <c r="P408" i="5"/>
  <c r="V408" i="6"/>
  <c r="T408" i="5"/>
  <c r="W408" i="6"/>
  <c r="O411" i="6" l="1"/>
  <c r="O410" i="5"/>
  <c r="W409" i="6"/>
  <c r="Q410" i="6"/>
  <c r="U410" i="6"/>
  <c r="W408" i="5"/>
  <c r="R410" i="6"/>
  <c r="T410" i="6"/>
  <c r="R409" i="5"/>
  <c r="V408" i="5"/>
  <c r="U409" i="5"/>
  <c r="S409" i="5"/>
  <c r="S410" i="6"/>
  <c r="P409" i="5"/>
  <c r="X409" i="6"/>
  <c r="T409" i="5"/>
  <c r="X408" i="5"/>
  <c r="Q409" i="5"/>
  <c r="V409" i="6"/>
  <c r="Y411" i="6"/>
  <c r="P410" i="6"/>
  <c r="O412" i="6" l="1"/>
  <c r="O411" i="5"/>
  <c r="P411" i="6"/>
  <c r="V409" i="5"/>
  <c r="P410" i="5"/>
  <c r="R411" i="6"/>
  <c r="S410" i="5"/>
  <c r="Y412" i="6"/>
  <c r="W409" i="5"/>
  <c r="U410" i="5"/>
  <c r="V410" i="6"/>
  <c r="T410" i="5"/>
  <c r="W410" i="6"/>
  <c r="X410" i="6"/>
  <c r="R410" i="5"/>
  <c r="Q410" i="5"/>
  <c r="X411" i="6"/>
  <c r="T411" i="6"/>
  <c r="V411" i="6"/>
  <c r="S411" i="6"/>
  <c r="U411" i="6"/>
  <c r="Q411" i="6"/>
  <c r="W411" i="6" s="1"/>
  <c r="X409" i="5"/>
  <c r="O413" i="6" l="1"/>
  <c r="O412" i="5"/>
  <c r="V410" i="5"/>
  <c r="P411" i="5"/>
  <c r="U411" i="5"/>
  <c r="Q411" i="5"/>
  <c r="S412" i="6"/>
  <c r="T411" i="5"/>
  <c r="R411" i="5"/>
  <c r="W410" i="5"/>
  <c r="R412" i="6"/>
  <c r="P412" i="6"/>
  <c r="S411" i="5"/>
  <c r="U412" i="6"/>
  <c r="X410" i="5"/>
  <c r="Y413" i="6"/>
  <c r="Q412" i="6"/>
  <c r="T412" i="6"/>
  <c r="O414" i="6" l="1"/>
  <c r="O413" i="5"/>
  <c r="R412" i="5"/>
  <c r="X412" i="6"/>
  <c r="S412" i="5"/>
  <c r="T413" i="6"/>
  <c r="W411" i="5"/>
  <c r="P413" i="6"/>
  <c r="Q413" i="6"/>
  <c r="Q412" i="5"/>
  <c r="U412" i="5"/>
  <c r="V412" i="6"/>
  <c r="Y414" i="6"/>
  <c r="T412" i="5"/>
  <c r="U413" i="6"/>
  <c r="P412" i="5"/>
  <c r="R413" i="6"/>
  <c r="S413" i="6"/>
  <c r="W412" i="6"/>
  <c r="V411" i="5"/>
  <c r="X411" i="5"/>
  <c r="O415" i="6" l="1"/>
  <c r="O414" i="5"/>
  <c r="V412" i="5"/>
  <c r="S414" i="6"/>
  <c r="X412" i="5"/>
  <c r="X413" i="6"/>
  <c r="P414" i="6"/>
  <c r="Q414" i="6"/>
  <c r="W412" i="5"/>
  <c r="P413" i="5"/>
  <c r="S413" i="5"/>
  <c r="T413" i="5"/>
  <c r="Q413" i="5"/>
  <c r="W413" i="6"/>
  <c r="R413" i="5"/>
  <c r="U414" i="6"/>
  <c r="R414" i="6"/>
  <c r="Y415" i="6"/>
  <c r="V413" i="6"/>
  <c r="T414" i="6"/>
  <c r="U413" i="5"/>
  <c r="O416" i="6" l="1"/>
  <c r="O415" i="5"/>
  <c r="W414" i="6"/>
  <c r="Q415" i="6"/>
  <c r="X414" i="6"/>
  <c r="Y416" i="6"/>
  <c r="V413" i="5"/>
  <c r="T414" i="5"/>
  <c r="R415" i="6"/>
  <c r="X413" i="5"/>
  <c r="P414" i="5"/>
  <c r="U414" i="5"/>
  <c r="S415" i="6"/>
  <c r="U415" i="6"/>
  <c r="P415" i="6"/>
  <c r="W413" i="5"/>
  <c r="T415" i="6"/>
  <c r="R414" i="5"/>
  <c r="S414" i="5"/>
  <c r="Q414" i="5"/>
  <c r="V414" i="6"/>
  <c r="O417" i="6" l="1"/>
  <c r="O416" i="5"/>
  <c r="X414" i="5"/>
  <c r="P415" i="5"/>
  <c r="S415" i="5"/>
  <c r="V415" i="6"/>
  <c r="Y417" i="6"/>
  <c r="R415" i="5"/>
  <c r="W414" i="5"/>
  <c r="U415" i="5"/>
  <c r="W415" i="6"/>
  <c r="V414" i="5"/>
  <c r="T415" i="5"/>
  <c r="T416" i="6"/>
  <c r="Q415" i="5"/>
  <c r="R416" i="6"/>
  <c r="X415" i="6"/>
  <c r="P416" i="6"/>
  <c r="U416" i="6"/>
  <c r="Q416" i="6"/>
  <c r="S416" i="6"/>
  <c r="O418" i="6" l="1"/>
  <c r="O417" i="5"/>
  <c r="S416" i="5"/>
  <c r="P417" i="6"/>
  <c r="U417" i="6"/>
  <c r="R417" i="6"/>
  <c r="X416" i="6"/>
  <c r="X415" i="5"/>
  <c r="V416" i="6"/>
  <c r="Q416" i="5"/>
  <c r="V415" i="5"/>
  <c r="T416" i="5"/>
  <c r="W415" i="5"/>
  <c r="S417" i="6"/>
  <c r="P416" i="5"/>
  <c r="Q417" i="6"/>
  <c r="U416" i="5"/>
  <c r="Y418" i="6"/>
  <c r="W416" i="6"/>
  <c r="R416" i="5"/>
  <c r="T417" i="6"/>
  <c r="O419" i="6" l="1"/>
  <c r="O418" i="5"/>
  <c r="P417" i="5"/>
  <c r="S418" i="6"/>
  <c r="Q417" i="5"/>
  <c r="X416" i="5"/>
  <c r="T418" i="6"/>
  <c r="X417" i="6"/>
  <c r="U418" i="6"/>
  <c r="U417" i="5"/>
  <c r="V417" i="6"/>
  <c r="W416" i="5"/>
  <c r="T417" i="5"/>
  <c r="R417" i="5"/>
  <c r="Q418" i="6"/>
  <c r="P418" i="6"/>
  <c r="Y419" i="6"/>
  <c r="V416" i="5"/>
  <c r="R418" i="6"/>
  <c r="S417" i="5"/>
  <c r="W417" i="6"/>
  <c r="O420" i="6" l="1"/>
  <c r="O419" i="5"/>
  <c r="U418" i="5"/>
  <c r="T419" i="6"/>
  <c r="Q419" i="6"/>
  <c r="Q418" i="5"/>
  <c r="S419" i="6"/>
  <c r="W418" i="6"/>
  <c r="S418" i="5"/>
  <c r="T418" i="5"/>
  <c r="P419" i="6"/>
  <c r="X417" i="5"/>
  <c r="V418" i="6"/>
  <c r="R418" i="5"/>
  <c r="Y420" i="6"/>
  <c r="P418" i="5"/>
  <c r="U419" i="6"/>
  <c r="V417" i="5"/>
  <c r="R419" i="6"/>
  <c r="X419" i="6" s="1"/>
  <c r="X418" i="6"/>
  <c r="W417" i="5"/>
  <c r="O421" i="6" l="1"/>
  <c r="O420" i="5"/>
  <c r="Q420" i="6"/>
  <c r="U419" i="5"/>
  <c r="U420" i="6"/>
  <c r="R419" i="5"/>
  <c r="P420" i="6"/>
  <c r="W418" i="5"/>
  <c r="T419" i="5"/>
  <c r="T420" i="6"/>
  <c r="S420" i="6"/>
  <c r="W419" i="6"/>
  <c r="V419" i="6"/>
  <c r="X418" i="5"/>
  <c r="S419" i="5"/>
  <c r="Q419" i="5"/>
  <c r="V418" i="5"/>
  <c r="P419" i="5"/>
  <c r="R420" i="6"/>
  <c r="Y421" i="6"/>
  <c r="O422" i="6" l="1"/>
  <c r="O421" i="5"/>
  <c r="S421" i="6"/>
  <c r="Q420" i="5"/>
  <c r="U421" i="6"/>
  <c r="V419" i="5"/>
  <c r="X420" i="6"/>
  <c r="T420" i="5"/>
  <c r="S420" i="5"/>
  <c r="R421" i="6"/>
  <c r="T421" i="6"/>
  <c r="W419" i="5"/>
  <c r="Y422" i="6"/>
  <c r="U420" i="5"/>
  <c r="P421" i="6"/>
  <c r="R420" i="5"/>
  <c r="X419" i="5"/>
  <c r="W420" i="6"/>
  <c r="V420" i="6"/>
  <c r="Q421" i="6"/>
  <c r="P420" i="5"/>
  <c r="O423" i="6" l="1"/>
  <c r="O422" i="5"/>
  <c r="S422" i="6"/>
  <c r="T421" i="5"/>
  <c r="V421" i="6"/>
  <c r="W420" i="5"/>
  <c r="Y423" i="6"/>
  <c r="Q422" i="6"/>
  <c r="W421" i="6"/>
  <c r="R421" i="5"/>
  <c r="P422" i="6"/>
  <c r="Q421" i="5"/>
  <c r="S421" i="5"/>
  <c r="T422" i="6"/>
  <c r="P421" i="5"/>
  <c r="U422" i="6"/>
  <c r="X420" i="5"/>
  <c r="V420" i="5"/>
  <c r="X421" i="6"/>
  <c r="U421" i="5"/>
  <c r="R422" i="6"/>
  <c r="O424" i="6" l="1"/>
  <c r="O423" i="5"/>
  <c r="X421" i="5"/>
  <c r="S423" i="6"/>
  <c r="U422" i="5"/>
  <c r="X422" i="6"/>
  <c r="Y424" i="6"/>
  <c r="V421" i="5"/>
  <c r="R423" i="6"/>
  <c r="U423" i="6"/>
  <c r="W422" i="6"/>
  <c r="T423" i="6"/>
  <c r="Q423" i="6"/>
  <c r="W421" i="5"/>
  <c r="Q422" i="5"/>
  <c r="S422" i="5"/>
  <c r="T422" i="5"/>
  <c r="V422" i="6"/>
  <c r="P422" i="5"/>
  <c r="P423" i="6"/>
  <c r="R422" i="5"/>
  <c r="O425" i="6" l="1"/>
  <c r="O424" i="5"/>
  <c r="V422" i="5"/>
  <c r="P424" i="6"/>
  <c r="S423" i="5"/>
  <c r="Y425" i="6"/>
  <c r="W423" i="6"/>
  <c r="X422" i="5"/>
  <c r="X423" i="6"/>
  <c r="U424" i="6"/>
  <c r="R423" i="5"/>
  <c r="W422" i="5"/>
  <c r="P423" i="5"/>
  <c r="Q424" i="6"/>
  <c r="S424" i="6"/>
  <c r="R424" i="6"/>
  <c r="T424" i="6"/>
  <c r="U423" i="5"/>
  <c r="Q423" i="5"/>
  <c r="T423" i="5"/>
  <c r="V423" i="6"/>
  <c r="O426" i="6" l="1"/>
  <c r="O425" i="5"/>
  <c r="S424" i="5"/>
  <c r="S425" i="6"/>
  <c r="Q424" i="5"/>
  <c r="V423" i="5"/>
  <c r="U424" i="5"/>
  <c r="R425" i="6"/>
  <c r="V424" i="6"/>
  <c r="Q425" i="6"/>
  <c r="P424" i="5"/>
  <c r="Y426" i="6"/>
  <c r="X424" i="6"/>
  <c r="R424" i="5"/>
  <c r="T424" i="5"/>
  <c r="W423" i="5"/>
  <c r="U425" i="6"/>
  <c r="T425" i="6"/>
  <c r="X423" i="5"/>
  <c r="W424" i="6"/>
  <c r="P425" i="6"/>
  <c r="O427" i="6" l="1"/>
  <c r="O426" i="5"/>
  <c r="T426" i="6"/>
  <c r="V425" i="6"/>
  <c r="W425" i="6"/>
  <c r="R426" i="6"/>
  <c r="S426" i="6"/>
  <c r="Q425" i="5"/>
  <c r="U426" i="6"/>
  <c r="V424" i="5"/>
  <c r="Q426" i="6"/>
  <c r="P426" i="6"/>
  <c r="R425" i="5"/>
  <c r="S425" i="5"/>
  <c r="X425" i="6"/>
  <c r="T425" i="5"/>
  <c r="X424" i="5"/>
  <c r="U425" i="5"/>
  <c r="W424" i="5"/>
  <c r="Y427" i="6"/>
  <c r="P425" i="5"/>
  <c r="O428" i="6" l="1"/>
  <c r="O427" i="5"/>
  <c r="P426" i="5"/>
  <c r="T427" i="6"/>
  <c r="R426" i="5"/>
  <c r="S427" i="6"/>
  <c r="U426" i="5"/>
  <c r="W425" i="5"/>
  <c r="Q427" i="6"/>
  <c r="T426" i="5"/>
  <c r="W426" i="6"/>
  <c r="Y428" i="6"/>
  <c r="X425" i="5"/>
  <c r="Q426" i="5"/>
  <c r="S426" i="5"/>
  <c r="X426" i="6"/>
  <c r="V425" i="5"/>
  <c r="U427" i="6"/>
  <c r="P427" i="6"/>
  <c r="V426" i="6"/>
  <c r="R427" i="6"/>
  <c r="O429" i="6" l="1"/>
  <c r="O428" i="5"/>
  <c r="S428" i="6"/>
  <c r="R428" i="6"/>
  <c r="S427" i="5"/>
  <c r="V426" i="5"/>
  <c r="T428" i="6"/>
  <c r="X426" i="5"/>
  <c r="R427" i="5"/>
  <c r="P428" i="6"/>
  <c r="W426" i="5"/>
  <c r="U427" i="5"/>
  <c r="T427" i="5"/>
  <c r="W427" i="6"/>
  <c r="X427" i="6"/>
  <c r="Q427" i="5"/>
  <c r="U428" i="6"/>
  <c r="Q428" i="6"/>
  <c r="P427" i="5"/>
  <c r="V427" i="6"/>
  <c r="Y429" i="6"/>
  <c r="O430" i="6" l="1"/>
  <c r="O429" i="5"/>
  <c r="P429" i="6"/>
  <c r="Y430" i="6"/>
  <c r="R429" i="6"/>
  <c r="U428" i="5"/>
  <c r="R428" i="5"/>
  <c r="V427" i="5"/>
  <c r="S428" i="5"/>
  <c r="T428" i="5"/>
  <c r="V428" i="6"/>
  <c r="U429" i="6"/>
  <c r="Q429" i="6"/>
  <c r="W428" i="6"/>
  <c r="X428" i="6"/>
  <c r="X427" i="5"/>
  <c r="P428" i="5"/>
  <c r="S429" i="6"/>
  <c r="W427" i="5"/>
  <c r="Q428" i="5"/>
  <c r="T429" i="6"/>
  <c r="O431" i="6" l="1"/>
  <c r="O430" i="5"/>
  <c r="U429" i="5"/>
  <c r="U430" i="6"/>
  <c r="W428" i="5"/>
  <c r="Q429" i="5"/>
  <c r="R429" i="5"/>
  <c r="W429" i="6"/>
  <c r="R430" i="6"/>
  <c r="V428" i="5"/>
  <c r="P430" i="6"/>
  <c r="P429" i="5"/>
  <c r="T429" i="5"/>
  <c r="V429" i="6"/>
  <c r="S430" i="6"/>
  <c r="X429" i="6"/>
  <c r="X428" i="5"/>
  <c r="T430" i="6"/>
  <c r="S429" i="5"/>
  <c r="Y431" i="6"/>
  <c r="Q430" i="6"/>
  <c r="O432" i="6" l="1"/>
  <c r="O431" i="5"/>
  <c r="R430" i="5"/>
  <c r="T431" i="6"/>
  <c r="X429" i="5"/>
  <c r="T430" i="5"/>
  <c r="Y432" i="6"/>
  <c r="R431" i="6"/>
  <c r="Q430" i="5"/>
  <c r="P431" i="6"/>
  <c r="W430" i="6"/>
  <c r="U431" i="6"/>
  <c r="X430" i="6"/>
  <c r="Q431" i="6"/>
  <c r="W429" i="5"/>
  <c r="S430" i="5"/>
  <c r="S431" i="6"/>
  <c r="U430" i="5"/>
  <c r="V430" i="6"/>
  <c r="V429" i="5"/>
  <c r="P430" i="5"/>
  <c r="O433" i="6" l="1"/>
  <c r="O432" i="5"/>
  <c r="P431" i="5"/>
  <c r="W430" i="5"/>
  <c r="R432" i="6"/>
  <c r="X430" i="5"/>
  <c r="X431" i="6"/>
  <c r="S432" i="6"/>
  <c r="U431" i="5"/>
  <c r="T431" i="5"/>
  <c r="Y433" i="6"/>
  <c r="V431" i="6"/>
  <c r="T432" i="6"/>
  <c r="W431" i="6"/>
  <c r="U432" i="6"/>
  <c r="R431" i="5"/>
  <c r="Q432" i="6"/>
  <c r="V430" i="5"/>
  <c r="Q431" i="5"/>
  <c r="P432" i="6"/>
  <c r="S431" i="5"/>
  <c r="O434" i="6" l="1"/>
  <c r="O433" i="5"/>
  <c r="U433" i="6"/>
  <c r="R433" i="6"/>
  <c r="Y434" i="6"/>
  <c r="Q432" i="5"/>
  <c r="P433" i="6"/>
  <c r="W432" i="6"/>
  <c r="R432" i="5"/>
  <c r="V432" i="6"/>
  <c r="V431" i="5"/>
  <c r="T433" i="6"/>
  <c r="U432" i="5"/>
  <c r="V433" i="6"/>
  <c r="S432" i="5"/>
  <c r="X431" i="5"/>
  <c r="T432" i="5"/>
  <c r="X432" i="6"/>
  <c r="S433" i="6"/>
  <c r="W431" i="5"/>
  <c r="P432" i="5"/>
  <c r="Q433" i="6"/>
  <c r="O435" i="6" l="1"/>
  <c r="O434" i="5"/>
  <c r="W432" i="5"/>
  <c r="R433" i="5"/>
  <c r="Q433" i="5"/>
  <c r="Y435" i="6"/>
  <c r="V432" i="5"/>
  <c r="X433" i="6"/>
  <c r="U433" i="5"/>
  <c r="P434" i="6"/>
  <c r="R434" i="6"/>
  <c r="W433" i="6"/>
  <c r="S434" i="6"/>
  <c r="S433" i="5"/>
  <c r="T433" i="5"/>
  <c r="T434" i="6"/>
  <c r="U434" i="6"/>
  <c r="Q434" i="6"/>
  <c r="P433" i="5"/>
  <c r="X432" i="5"/>
  <c r="O436" i="6" l="1"/>
  <c r="O435" i="5"/>
  <c r="W434" i="6"/>
  <c r="Q434" i="5"/>
  <c r="R434" i="5"/>
  <c r="S434" i="5"/>
  <c r="U434" i="5"/>
  <c r="Y436" i="6"/>
  <c r="V433" i="5"/>
  <c r="W433" i="5"/>
  <c r="U435" i="6"/>
  <c r="S435" i="6"/>
  <c r="X434" i="6"/>
  <c r="X433" i="5"/>
  <c r="T435" i="6"/>
  <c r="R435" i="6"/>
  <c r="P435" i="6"/>
  <c r="V434" i="6"/>
  <c r="P434" i="5"/>
  <c r="T434" i="5"/>
  <c r="Q435" i="6"/>
  <c r="O437" i="6" l="1"/>
  <c r="O436" i="5"/>
  <c r="P435" i="5"/>
  <c r="P436" i="6"/>
  <c r="X434" i="5"/>
  <c r="S435" i="5"/>
  <c r="W434" i="5"/>
  <c r="X435" i="6"/>
  <c r="U436" i="6"/>
  <c r="T435" i="5"/>
  <c r="R435" i="5"/>
  <c r="R436" i="6"/>
  <c r="V435" i="6"/>
  <c r="Q435" i="5"/>
  <c r="V434" i="5"/>
  <c r="Q436" i="6"/>
  <c r="W435" i="6"/>
  <c r="T436" i="6"/>
  <c r="S436" i="6"/>
  <c r="U435" i="5"/>
  <c r="Y437" i="6"/>
  <c r="O438" i="6" l="1"/>
  <c r="O437" i="5"/>
  <c r="Y438" i="6"/>
  <c r="P437" i="6"/>
  <c r="V435" i="5"/>
  <c r="X435" i="5"/>
  <c r="U437" i="6"/>
  <c r="S436" i="5"/>
  <c r="T436" i="5"/>
  <c r="T437" i="6"/>
  <c r="R437" i="6"/>
  <c r="P436" i="5"/>
  <c r="X436" i="6"/>
  <c r="W435" i="5"/>
  <c r="U436" i="5"/>
  <c r="Q437" i="6"/>
  <c r="V436" i="6"/>
  <c r="Q436" i="5"/>
  <c r="S437" i="6"/>
  <c r="W436" i="6"/>
  <c r="R436" i="5"/>
  <c r="O439" i="6" l="1"/>
  <c r="O438" i="5"/>
  <c r="U438" i="6"/>
  <c r="T437" i="5"/>
  <c r="U437" i="5"/>
  <c r="Q437" i="5"/>
  <c r="S437" i="5"/>
  <c r="Q438" i="6"/>
  <c r="P438" i="6"/>
  <c r="V437" i="6"/>
  <c r="V436" i="5"/>
  <c r="P437" i="5"/>
  <c r="S438" i="6"/>
  <c r="R437" i="5"/>
  <c r="X437" i="6"/>
  <c r="X436" i="5"/>
  <c r="R438" i="6"/>
  <c r="W436" i="5"/>
  <c r="T438" i="6"/>
  <c r="Y439" i="6"/>
  <c r="W437" i="6"/>
  <c r="O440" i="6" l="1"/>
  <c r="O439" i="5"/>
  <c r="V437" i="5"/>
  <c r="Q439" i="6"/>
  <c r="Q438" i="5"/>
  <c r="X438" i="6"/>
  <c r="X437" i="5"/>
  <c r="P438" i="5"/>
  <c r="Y440" i="6"/>
  <c r="R438" i="5"/>
  <c r="T438" i="5"/>
  <c r="V438" i="6"/>
  <c r="U439" i="6"/>
  <c r="T439" i="6"/>
  <c r="S439" i="6"/>
  <c r="W438" i="6"/>
  <c r="W437" i="5"/>
  <c r="U438" i="5"/>
  <c r="P439" i="6"/>
  <c r="S438" i="5"/>
  <c r="R439" i="6"/>
  <c r="O441" i="6" l="1"/>
  <c r="O440" i="5"/>
  <c r="T439" i="5"/>
  <c r="S440" i="6"/>
  <c r="W439" i="6"/>
  <c r="P440" i="6"/>
  <c r="U439" i="5"/>
  <c r="X438" i="5"/>
  <c r="S439" i="5"/>
  <c r="V438" i="5"/>
  <c r="X439" i="6"/>
  <c r="Q439" i="5"/>
  <c r="W438" i="5"/>
  <c r="Y441" i="6"/>
  <c r="R439" i="5"/>
  <c r="R440" i="6"/>
  <c r="U440" i="6"/>
  <c r="T440" i="6"/>
  <c r="P439" i="5"/>
  <c r="V439" i="6"/>
  <c r="Q440" i="6"/>
  <c r="O442" i="6" l="1"/>
  <c r="O441" i="5"/>
  <c r="V440" i="6"/>
  <c r="W439" i="5"/>
  <c r="T440" i="5"/>
  <c r="U440" i="5"/>
  <c r="R440" i="5"/>
  <c r="S440" i="5"/>
  <c r="R441" i="6"/>
  <c r="V439" i="5"/>
  <c r="P441" i="6"/>
  <c r="Q440" i="5"/>
  <c r="P440" i="5"/>
  <c r="U441" i="6"/>
  <c r="W440" i="6"/>
  <c r="Y442" i="6"/>
  <c r="Q441" i="6"/>
  <c r="T441" i="6"/>
  <c r="X439" i="5"/>
  <c r="S441" i="6"/>
  <c r="X440" i="6"/>
  <c r="O443" i="6" l="1"/>
  <c r="O442" i="5"/>
  <c r="R441" i="5"/>
  <c r="P442" i="6"/>
  <c r="S441" i="5"/>
  <c r="Q441" i="5"/>
  <c r="W440" i="5"/>
  <c r="X441" i="6"/>
  <c r="T442" i="6"/>
  <c r="V440" i="5"/>
  <c r="T441" i="5"/>
  <c r="U441" i="5"/>
  <c r="U442" i="6"/>
  <c r="V441" i="6"/>
  <c r="R442" i="6"/>
  <c r="Y443" i="6"/>
  <c r="S442" i="6"/>
  <c r="Q442" i="6"/>
  <c r="W441" i="6"/>
  <c r="P441" i="5"/>
  <c r="X440" i="5"/>
  <c r="O444" i="6" l="1"/>
  <c r="O443" i="5"/>
  <c r="P442" i="5"/>
  <c r="R443" i="6"/>
  <c r="P443" i="6"/>
  <c r="Q442" i="5"/>
  <c r="Q443" i="6"/>
  <c r="S443" i="6"/>
  <c r="V442" i="6"/>
  <c r="V441" i="5"/>
  <c r="S442" i="5"/>
  <c r="U443" i="6"/>
  <c r="R442" i="5"/>
  <c r="X442" i="6"/>
  <c r="W441" i="5"/>
  <c r="Y444" i="6"/>
  <c r="T443" i="6"/>
  <c r="W442" i="6"/>
  <c r="T442" i="5"/>
  <c r="U442" i="5"/>
  <c r="X441" i="5"/>
  <c r="O445" i="6" l="1"/>
  <c r="O444" i="5"/>
  <c r="U444" i="6"/>
  <c r="P443" i="5"/>
  <c r="S444" i="6"/>
  <c r="U443" i="5"/>
  <c r="W443" i="6"/>
  <c r="P444" i="6"/>
  <c r="R444" i="6"/>
  <c r="S443" i="5"/>
  <c r="X442" i="5"/>
  <c r="V443" i="6"/>
  <c r="V442" i="5"/>
  <c r="Y445" i="6"/>
  <c r="T444" i="6"/>
  <c r="Q444" i="6"/>
  <c r="W442" i="5"/>
  <c r="X443" i="6"/>
  <c r="T443" i="5"/>
  <c r="R443" i="5"/>
  <c r="Q443" i="5"/>
  <c r="O446" i="6" l="1"/>
  <c r="O445" i="5"/>
  <c r="U445" i="6"/>
  <c r="Y446" i="6"/>
  <c r="R445" i="6"/>
  <c r="Q445" i="6"/>
  <c r="W444" i="6"/>
  <c r="S445" i="6"/>
  <c r="S444" i="5"/>
  <c r="P444" i="5"/>
  <c r="Q444" i="5"/>
  <c r="R444" i="5"/>
  <c r="V444" i="6"/>
  <c r="T445" i="6"/>
  <c r="W443" i="5"/>
  <c r="V443" i="5"/>
  <c r="P445" i="6"/>
  <c r="X444" i="6"/>
  <c r="U444" i="5"/>
  <c r="T444" i="5"/>
  <c r="X443" i="5"/>
  <c r="O447" i="6" l="1"/>
  <c r="O446" i="5"/>
  <c r="Q446" i="6"/>
  <c r="V444" i="5"/>
  <c r="P445" i="5"/>
  <c r="X445" i="6"/>
  <c r="R446" i="6"/>
  <c r="W445" i="6"/>
  <c r="R445" i="5"/>
  <c r="P446" i="6"/>
  <c r="W444" i="5"/>
  <c r="U446" i="6"/>
  <c r="Y447" i="6"/>
  <c r="X444" i="5"/>
  <c r="V445" i="6"/>
  <c r="Q445" i="5"/>
  <c r="S445" i="5"/>
  <c r="T446" i="6"/>
  <c r="S446" i="6"/>
  <c r="T445" i="5"/>
  <c r="U445" i="5"/>
  <c r="O448" i="6" l="1"/>
  <c r="O447" i="5"/>
  <c r="X446" i="6"/>
  <c r="S446" i="5"/>
  <c r="V445" i="5"/>
  <c r="Y448" i="6"/>
  <c r="X445" i="5"/>
  <c r="R446" i="5"/>
  <c r="U446" i="5"/>
  <c r="T447" i="6"/>
  <c r="Q447" i="6"/>
  <c r="P446" i="5"/>
  <c r="R447" i="6"/>
  <c r="W446" i="6"/>
  <c r="Q446" i="5"/>
  <c r="W445" i="5"/>
  <c r="S447" i="6"/>
  <c r="V446" i="6"/>
  <c r="T446" i="5"/>
  <c r="P447" i="6"/>
  <c r="U447" i="6"/>
  <c r="O449" i="6" l="1"/>
  <c r="O448" i="5"/>
  <c r="Q447" i="5"/>
  <c r="W446" i="5"/>
  <c r="P447" i="5"/>
  <c r="X447" i="6"/>
  <c r="S447" i="5"/>
  <c r="W447" i="6"/>
  <c r="S448" i="6"/>
  <c r="T447" i="5"/>
  <c r="Y449" i="6"/>
  <c r="R448" i="6"/>
  <c r="X446" i="5"/>
  <c r="V446" i="5"/>
  <c r="V447" i="6"/>
  <c r="R447" i="5"/>
  <c r="P448" i="6"/>
  <c r="V448" i="6" s="1"/>
  <c r="T448" i="6"/>
  <c r="U447" i="5"/>
  <c r="U448" i="6"/>
  <c r="Q448" i="6"/>
  <c r="O450" i="6" l="1"/>
  <c r="O449" i="5"/>
  <c r="X448" i="6"/>
  <c r="R448" i="5"/>
  <c r="X447" i="5"/>
  <c r="U449" i="6"/>
  <c r="S449" i="6"/>
  <c r="S448" i="5"/>
  <c r="Q449" i="6"/>
  <c r="U448" i="5"/>
  <c r="R449" i="6"/>
  <c r="Y450" i="6"/>
  <c r="Q448" i="5"/>
  <c r="T448" i="5"/>
  <c r="W447" i="5"/>
  <c r="P449" i="6"/>
  <c r="V447" i="5"/>
  <c r="W448" i="6"/>
  <c r="P448" i="5"/>
  <c r="T449" i="6"/>
  <c r="O451" i="6" l="1"/>
  <c r="O450" i="5"/>
  <c r="W449" i="6"/>
  <c r="Q450" i="6"/>
  <c r="V449" i="6"/>
  <c r="U450" i="6"/>
  <c r="W448" i="5"/>
  <c r="T449" i="5"/>
  <c r="Q449" i="5"/>
  <c r="X448" i="5"/>
  <c r="R449" i="5"/>
  <c r="P449" i="5"/>
  <c r="X449" i="6"/>
  <c r="P450" i="6"/>
  <c r="U449" i="5"/>
  <c r="S450" i="6"/>
  <c r="S449" i="5"/>
  <c r="V448" i="5"/>
  <c r="T450" i="6"/>
  <c r="R450" i="6"/>
  <c r="X450" i="6" s="1"/>
  <c r="Y451" i="6"/>
  <c r="O452" i="6" l="1"/>
  <c r="O451" i="5"/>
  <c r="T450" i="5"/>
  <c r="S450" i="5"/>
  <c r="P450" i="5"/>
  <c r="T451" i="6"/>
  <c r="V450" i="6"/>
  <c r="W450" i="6"/>
  <c r="W449" i="5"/>
  <c r="R450" i="5"/>
  <c r="U450" i="5"/>
  <c r="S451" i="6"/>
  <c r="U451" i="6"/>
  <c r="X449" i="5"/>
  <c r="P451" i="6"/>
  <c r="Q451" i="6"/>
  <c r="Y452" i="6"/>
  <c r="R451" i="6"/>
  <c r="V449" i="5"/>
  <c r="Q450" i="5"/>
  <c r="O453" i="6" l="1"/>
  <c r="O452" i="5"/>
  <c r="X451" i="6"/>
  <c r="X450" i="5"/>
  <c r="P452" i="6"/>
  <c r="R451" i="5"/>
  <c r="R452" i="6"/>
  <c r="W451" i="6"/>
  <c r="V451" i="6"/>
  <c r="V450" i="5"/>
  <c r="W450" i="5"/>
  <c r="S452" i="6"/>
  <c r="U451" i="5"/>
  <c r="Y453" i="6"/>
  <c r="S451" i="5"/>
  <c r="Q451" i="5"/>
  <c r="T452" i="6"/>
  <c r="U452" i="6"/>
  <c r="T451" i="5"/>
  <c r="Q452" i="6"/>
  <c r="P451" i="5"/>
  <c r="O454" i="6" l="1"/>
  <c r="O453" i="5"/>
  <c r="V451" i="5"/>
  <c r="T453" i="6"/>
  <c r="U452" i="5"/>
  <c r="V452" i="6"/>
  <c r="S452" i="5"/>
  <c r="X452" i="6"/>
  <c r="U453" i="6"/>
  <c r="P452" i="5"/>
  <c r="T452" i="5"/>
  <c r="Q452" i="5"/>
  <c r="W452" i="6"/>
  <c r="R452" i="5"/>
  <c r="X451" i="5"/>
  <c r="Q453" i="6"/>
  <c r="Y454" i="6"/>
  <c r="W451" i="5"/>
  <c r="P453" i="6"/>
  <c r="V453" i="6" s="1"/>
  <c r="R453" i="6"/>
  <c r="S453" i="6"/>
  <c r="O455" i="6" l="1"/>
  <c r="O454" i="5"/>
  <c r="U454" i="6"/>
  <c r="S453" i="5"/>
  <c r="V452" i="5"/>
  <c r="P453" i="5"/>
  <c r="P454" i="6"/>
  <c r="Q454" i="6"/>
  <c r="W453" i="6"/>
  <c r="U453" i="5"/>
  <c r="Q453" i="5"/>
  <c r="T453" i="5"/>
  <c r="R454" i="6"/>
  <c r="S454" i="6"/>
  <c r="T454" i="6"/>
  <c r="W452" i="5"/>
  <c r="R453" i="5"/>
  <c r="X453" i="6"/>
  <c r="X452" i="5"/>
  <c r="Y455" i="6"/>
  <c r="O456" i="6" l="1"/>
  <c r="O455" i="5"/>
  <c r="X454" i="6"/>
  <c r="P455" i="6"/>
  <c r="V453" i="5"/>
  <c r="W454" i="6"/>
  <c r="R454" i="5"/>
  <c r="Y456" i="6"/>
  <c r="T454" i="5"/>
  <c r="T455" i="6"/>
  <c r="P454" i="5"/>
  <c r="W453" i="5"/>
  <c r="S454" i="5"/>
  <c r="Q455" i="6"/>
  <c r="U455" i="6"/>
  <c r="S455" i="6"/>
  <c r="X453" i="5"/>
  <c r="R455" i="6"/>
  <c r="U454" i="5"/>
  <c r="Q454" i="5"/>
  <c r="V454" i="6"/>
  <c r="O457" i="6" l="1"/>
  <c r="O456" i="5"/>
  <c r="T455" i="5"/>
  <c r="R455" i="5"/>
  <c r="W454" i="5"/>
  <c r="Y457" i="6"/>
  <c r="U455" i="5"/>
  <c r="W455" i="6"/>
  <c r="P456" i="6"/>
  <c r="U456" i="6"/>
  <c r="Q456" i="6"/>
  <c r="R456" i="6"/>
  <c r="X454" i="5"/>
  <c r="V454" i="5"/>
  <c r="T456" i="6"/>
  <c r="P455" i="5"/>
  <c r="Q455" i="5"/>
  <c r="S456" i="6"/>
  <c r="V455" i="6"/>
  <c r="X455" i="6"/>
  <c r="S455" i="5"/>
  <c r="O458" i="6" l="1"/>
  <c r="O457" i="5"/>
  <c r="U456" i="5"/>
  <c r="W456" i="6"/>
  <c r="V456" i="6"/>
  <c r="Q456" i="5"/>
  <c r="V455" i="5"/>
  <c r="T457" i="6"/>
  <c r="X455" i="5"/>
  <c r="S456" i="5"/>
  <c r="Y458" i="6"/>
  <c r="T456" i="5"/>
  <c r="W455" i="5"/>
  <c r="S457" i="6"/>
  <c r="R456" i="5"/>
  <c r="P456" i="5"/>
  <c r="R457" i="6"/>
  <c r="U457" i="6"/>
  <c r="P457" i="6"/>
  <c r="V457" i="6" s="1"/>
  <c r="X456" i="6"/>
  <c r="Q457" i="6"/>
  <c r="O459" i="6" l="1"/>
  <c r="O458" i="5"/>
  <c r="R458" i="6"/>
  <c r="X457" i="6"/>
  <c r="Y459" i="6"/>
  <c r="P457" i="5"/>
  <c r="P458" i="6"/>
  <c r="R457" i="5"/>
  <c r="W456" i="5"/>
  <c r="U457" i="5"/>
  <c r="U458" i="6"/>
  <c r="T458" i="6"/>
  <c r="V456" i="5"/>
  <c r="W457" i="6"/>
  <c r="T457" i="5"/>
  <c r="Q458" i="6"/>
  <c r="S457" i="5"/>
  <c r="S458" i="6"/>
  <c r="Q457" i="5"/>
  <c r="X456" i="5"/>
  <c r="O460" i="6" l="1"/>
  <c r="O459" i="5"/>
  <c r="S459" i="6"/>
  <c r="W457" i="5"/>
  <c r="X458" i="6"/>
  <c r="U458" i="5"/>
  <c r="X457" i="5"/>
  <c r="P459" i="6"/>
  <c r="V458" i="6"/>
  <c r="Y460" i="6"/>
  <c r="S458" i="5"/>
  <c r="P458" i="5"/>
  <c r="V457" i="5"/>
  <c r="R458" i="5"/>
  <c r="R459" i="6"/>
  <c r="U459" i="6"/>
  <c r="W458" i="6"/>
  <c r="Q458" i="5"/>
  <c r="T459" i="6"/>
  <c r="Q459" i="6"/>
  <c r="T458" i="5"/>
  <c r="O461" i="6" l="1"/>
  <c r="O460" i="5"/>
  <c r="W458" i="5"/>
  <c r="S459" i="5"/>
  <c r="Q459" i="5"/>
  <c r="P459" i="5"/>
  <c r="T459" i="5"/>
  <c r="Y461" i="6"/>
  <c r="X458" i="5"/>
  <c r="U459" i="5"/>
  <c r="W459" i="6"/>
  <c r="R459" i="5"/>
  <c r="P460" i="6"/>
  <c r="V459" i="6"/>
  <c r="Q460" i="6"/>
  <c r="S460" i="6"/>
  <c r="V458" i="5"/>
  <c r="U460" i="6"/>
  <c r="R460" i="6"/>
  <c r="T460" i="6"/>
  <c r="X459" i="6"/>
  <c r="O462" i="6" l="1"/>
  <c r="O461" i="5"/>
  <c r="V460" i="6"/>
  <c r="V459" i="5"/>
  <c r="Q460" i="5"/>
  <c r="P461" i="6"/>
  <c r="R461" i="6"/>
  <c r="Y462" i="6"/>
  <c r="R460" i="5"/>
  <c r="P460" i="5"/>
  <c r="T460" i="5"/>
  <c r="U461" i="6"/>
  <c r="U460" i="5"/>
  <c r="T461" i="6"/>
  <c r="S461" i="6"/>
  <c r="W460" i="6"/>
  <c r="S460" i="5"/>
  <c r="Q461" i="6"/>
  <c r="X460" i="6"/>
  <c r="X459" i="5"/>
  <c r="W459" i="5"/>
  <c r="O463" i="6" l="1"/>
  <c r="O462" i="5"/>
  <c r="T462" i="6"/>
  <c r="U462" i="6"/>
  <c r="X460" i="5"/>
  <c r="P462" i="6"/>
  <c r="Q462" i="6"/>
  <c r="R462" i="6"/>
  <c r="P461" i="5"/>
  <c r="Q461" i="5"/>
  <c r="U461" i="5"/>
  <c r="X461" i="6"/>
  <c r="W460" i="5"/>
  <c r="S461" i="5"/>
  <c r="V461" i="6"/>
  <c r="T461" i="5"/>
  <c r="W461" i="6"/>
  <c r="R461" i="5"/>
  <c r="Y463" i="6"/>
  <c r="S462" i="6"/>
  <c r="V460" i="5"/>
  <c r="O464" i="6" l="1"/>
  <c r="O463" i="5"/>
  <c r="X462" i="6"/>
  <c r="T463" i="6"/>
  <c r="S462" i="5"/>
  <c r="Q463" i="6"/>
  <c r="U463" i="6"/>
  <c r="V461" i="5"/>
  <c r="T462" i="5"/>
  <c r="P462" i="5"/>
  <c r="P463" i="6"/>
  <c r="U462" i="5"/>
  <c r="S463" i="6"/>
  <c r="V462" i="6"/>
  <c r="Y464" i="6"/>
  <c r="R463" i="6"/>
  <c r="Q462" i="5"/>
  <c r="W461" i="5"/>
  <c r="R462" i="5"/>
  <c r="X461" i="5"/>
  <c r="W462" i="6"/>
  <c r="O465" i="6" l="1"/>
  <c r="O464" i="5"/>
  <c r="W462" i="5"/>
  <c r="X462" i="5"/>
  <c r="W463" i="6"/>
  <c r="Q464" i="6"/>
  <c r="V462" i="5"/>
  <c r="R464" i="6"/>
  <c r="R463" i="5"/>
  <c r="V463" i="6"/>
  <c r="P464" i="6"/>
  <c r="T464" i="6"/>
  <c r="S464" i="6"/>
  <c r="X463" i="6"/>
  <c r="Y465" i="6"/>
  <c r="W464" i="6"/>
  <c r="Q463" i="5"/>
  <c r="P463" i="5"/>
  <c r="U464" i="6"/>
  <c r="U463" i="5"/>
  <c r="S463" i="5"/>
  <c r="T463" i="5"/>
  <c r="O466" i="6" l="1"/>
  <c r="O465" i="5"/>
  <c r="Y466" i="6"/>
  <c r="U464" i="5"/>
  <c r="T464" i="5"/>
  <c r="Q465" i="6"/>
  <c r="S464" i="5"/>
  <c r="X464" i="6"/>
  <c r="W463" i="5"/>
  <c r="V463" i="5"/>
  <c r="P465" i="6"/>
  <c r="S465" i="6"/>
  <c r="T465" i="6"/>
  <c r="U465" i="6"/>
  <c r="P464" i="5"/>
  <c r="R464" i="5"/>
  <c r="V464" i="6"/>
  <c r="Q464" i="5"/>
  <c r="R465" i="6"/>
  <c r="X463" i="5"/>
  <c r="O467" i="6" l="1"/>
  <c r="O466" i="5"/>
  <c r="U466" i="6"/>
  <c r="U465" i="5"/>
  <c r="R466" i="6"/>
  <c r="Q466" i="6"/>
  <c r="T466" i="6"/>
  <c r="W465" i="6"/>
  <c r="R465" i="5"/>
  <c r="P466" i="6"/>
  <c r="T465" i="5"/>
  <c r="S465" i="5"/>
  <c r="V464" i="5"/>
  <c r="X464" i="5"/>
  <c r="S466" i="6"/>
  <c r="W464" i="5"/>
  <c r="X465" i="6"/>
  <c r="Q465" i="5"/>
  <c r="V465" i="6"/>
  <c r="P465" i="5"/>
  <c r="Y467" i="6"/>
  <c r="O468" i="6" l="1"/>
  <c r="O467" i="5"/>
  <c r="W465" i="5"/>
  <c r="R466" i="5"/>
  <c r="R467" i="6"/>
  <c r="T466" i="5"/>
  <c r="S466" i="5"/>
  <c r="X466" i="6"/>
  <c r="X465" i="5"/>
  <c r="P466" i="5"/>
  <c r="P467" i="6"/>
  <c r="T467" i="6"/>
  <c r="W466" i="6"/>
  <c r="V466" i="6"/>
  <c r="U466" i="5"/>
  <c r="Q467" i="6"/>
  <c r="W467" i="6" s="1"/>
  <c r="U467" i="6"/>
  <c r="V465" i="5"/>
  <c r="Y468" i="6"/>
  <c r="S467" i="6"/>
  <c r="Q466" i="5"/>
  <c r="O469" i="6" l="1"/>
  <c r="O468" i="5"/>
  <c r="V467" i="6"/>
  <c r="S467" i="5"/>
  <c r="X466" i="5"/>
  <c r="S468" i="6"/>
  <c r="W466" i="5"/>
  <c r="T468" i="6"/>
  <c r="Q467" i="5"/>
  <c r="Y469" i="6"/>
  <c r="Q468" i="6"/>
  <c r="V466" i="5"/>
  <c r="T467" i="5"/>
  <c r="R467" i="5"/>
  <c r="X467" i="6"/>
  <c r="R468" i="6"/>
  <c r="U467" i="5"/>
  <c r="P467" i="5"/>
  <c r="P468" i="6"/>
  <c r="U468" i="6"/>
  <c r="O470" i="6" l="1"/>
  <c r="O469" i="5"/>
  <c r="W468" i="6"/>
  <c r="Q469" i="6"/>
  <c r="V468" i="6"/>
  <c r="X467" i="5"/>
  <c r="R468" i="5"/>
  <c r="Y470" i="6"/>
  <c r="T468" i="5"/>
  <c r="W467" i="5"/>
  <c r="P468" i="5"/>
  <c r="U468" i="5"/>
  <c r="T469" i="6"/>
  <c r="X468" i="6"/>
  <c r="S469" i="6"/>
  <c r="R469" i="6"/>
  <c r="U469" i="6"/>
  <c r="Q468" i="5"/>
  <c r="P469" i="6"/>
  <c r="V467" i="5"/>
  <c r="S468" i="5"/>
  <c r="O471" i="6" l="1"/>
  <c r="O470" i="5"/>
  <c r="U469" i="5"/>
  <c r="X469" i="6"/>
  <c r="R469" i="5"/>
  <c r="Q470" i="6"/>
  <c r="P469" i="5"/>
  <c r="V469" i="6"/>
  <c r="Y471" i="6"/>
  <c r="W469" i="6"/>
  <c r="W468" i="5"/>
  <c r="R470" i="6"/>
  <c r="S469" i="5"/>
  <c r="Q469" i="5"/>
  <c r="U470" i="6"/>
  <c r="P470" i="6"/>
  <c r="V468" i="5"/>
  <c r="X468" i="5"/>
  <c r="T469" i="5"/>
  <c r="S470" i="6"/>
  <c r="T470" i="6"/>
  <c r="O472" i="6" l="1"/>
  <c r="O471" i="5"/>
  <c r="Q471" i="6"/>
  <c r="P470" i="5"/>
  <c r="W469" i="5"/>
  <c r="R471" i="6"/>
  <c r="T470" i="5"/>
  <c r="X469" i="5"/>
  <c r="Y472" i="6"/>
  <c r="U470" i="5"/>
  <c r="R470" i="5"/>
  <c r="W470" i="6"/>
  <c r="X470" i="6"/>
  <c r="V470" i="6"/>
  <c r="P471" i="6"/>
  <c r="U471" i="6"/>
  <c r="T471" i="6"/>
  <c r="S471" i="6"/>
  <c r="Q470" i="5"/>
  <c r="S470" i="5"/>
  <c r="V469" i="5"/>
  <c r="O473" i="6" l="1"/>
  <c r="O472" i="5"/>
  <c r="R472" i="6"/>
  <c r="Q471" i="5"/>
  <c r="T472" i="6"/>
  <c r="V470" i="5"/>
  <c r="V471" i="6"/>
  <c r="P471" i="5"/>
  <c r="Q472" i="6"/>
  <c r="Y473" i="6"/>
  <c r="W470" i="5"/>
  <c r="W471" i="6"/>
  <c r="U472" i="6"/>
  <c r="U471" i="5"/>
  <c r="X470" i="5"/>
  <c r="S471" i="5"/>
  <c r="S472" i="6"/>
  <c r="P472" i="6"/>
  <c r="T471" i="5"/>
  <c r="R471" i="5"/>
  <c r="X471" i="6"/>
  <c r="O474" i="6" l="1"/>
  <c r="O473" i="5"/>
  <c r="U472" i="5"/>
  <c r="X472" i="6"/>
  <c r="W472" i="6"/>
  <c r="R472" i="5"/>
  <c r="Y474" i="6"/>
  <c r="Q473" i="6"/>
  <c r="T473" i="6"/>
  <c r="W471" i="5"/>
  <c r="S473" i="6"/>
  <c r="P473" i="6"/>
  <c r="V471" i="5"/>
  <c r="R473" i="6"/>
  <c r="S472" i="5"/>
  <c r="T472" i="5"/>
  <c r="P472" i="5"/>
  <c r="V472" i="6"/>
  <c r="Q472" i="5"/>
  <c r="U473" i="6"/>
  <c r="X471" i="5"/>
  <c r="O475" i="6" l="1"/>
  <c r="O474" i="5"/>
  <c r="V473" i="6"/>
  <c r="W473" i="6"/>
  <c r="T473" i="5"/>
  <c r="S474" i="6"/>
  <c r="X472" i="5"/>
  <c r="U473" i="5"/>
  <c r="V472" i="5"/>
  <c r="Q473" i="5"/>
  <c r="Q474" i="6"/>
  <c r="T474" i="6"/>
  <c r="X473" i="6"/>
  <c r="R473" i="5"/>
  <c r="P474" i="6"/>
  <c r="W472" i="5"/>
  <c r="P473" i="5"/>
  <c r="S473" i="5"/>
  <c r="U474" i="6"/>
  <c r="R474" i="6"/>
  <c r="Y475" i="6"/>
  <c r="O476" i="6" l="1"/>
  <c r="O475" i="5"/>
  <c r="X474" i="6"/>
  <c r="S474" i="5"/>
  <c r="V473" i="5"/>
  <c r="Q474" i="5"/>
  <c r="V474" i="6"/>
  <c r="U475" i="6"/>
  <c r="T474" i="5"/>
  <c r="Y476" i="6"/>
  <c r="W473" i="5"/>
  <c r="P474" i="5"/>
  <c r="P475" i="6"/>
  <c r="R475" i="6"/>
  <c r="S475" i="6"/>
  <c r="X473" i="5"/>
  <c r="T475" i="6"/>
  <c r="R474" i="5"/>
  <c r="W474" i="6"/>
  <c r="U474" i="5"/>
  <c r="Q475" i="6"/>
  <c r="O477" i="6" l="1"/>
  <c r="O476" i="5"/>
  <c r="T476" i="6"/>
  <c r="U476" i="6"/>
  <c r="X475" i="6"/>
  <c r="R476" i="6"/>
  <c r="P476" i="6"/>
  <c r="P475" i="5"/>
  <c r="W474" i="5"/>
  <c r="Y477" i="6"/>
  <c r="S476" i="6"/>
  <c r="X474" i="5"/>
  <c r="S475" i="5"/>
  <c r="T475" i="5"/>
  <c r="U475" i="5"/>
  <c r="Q476" i="6"/>
  <c r="R475" i="5"/>
  <c r="Q475" i="5"/>
  <c r="V474" i="5"/>
  <c r="W475" i="6"/>
  <c r="V475" i="6"/>
  <c r="O478" i="6" l="1"/>
  <c r="O477" i="5"/>
  <c r="R477" i="6"/>
  <c r="X475" i="5"/>
  <c r="Q476" i="5"/>
  <c r="V475" i="5"/>
  <c r="R476" i="5"/>
  <c r="T476" i="5"/>
  <c r="V476" i="6"/>
  <c r="P476" i="5"/>
  <c r="S476" i="5"/>
  <c r="P477" i="6"/>
  <c r="U476" i="5"/>
  <c r="U477" i="6"/>
  <c r="X477" i="6"/>
  <c r="W475" i="5"/>
  <c r="X476" i="6"/>
  <c r="W476" i="6"/>
  <c r="T477" i="6"/>
  <c r="S477" i="6"/>
  <c r="Q477" i="6"/>
  <c r="Y478" i="6"/>
  <c r="O479" i="6" l="1"/>
  <c r="O478" i="5"/>
  <c r="T478" i="6"/>
  <c r="Q477" i="5"/>
  <c r="W476" i="5"/>
  <c r="R477" i="5"/>
  <c r="U478" i="6"/>
  <c r="R478" i="6"/>
  <c r="V477" i="6"/>
  <c r="P478" i="6"/>
  <c r="T477" i="5"/>
  <c r="Y479" i="6"/>
  <c r="P477" i="5"/>
  <c r="Q478" i="6"/>
  <c r="U477" i="5"/>
  <c r="S478" i="6"/>
  <c r="W477" i="6"/>
  <c r="X476" i="5"/>
  <c r="V476" i="5"/>
  <c r="S477" i="5"/>
  <c r="O480" i="6" l="1"/>
  <c r="O479" i="5"/>
  <c r="Q479" i="6"/>
  <c r="Y480" i="6"/>
  <c r="U479" i="6"/>
  <c r="S479" i="6"/>
  <c r="R479" i="6"/>
  <c r="R478" i="5"/>
  <c r="X477" i="5"/>
  <c r="W477" i="5"/>
  <c r="P479" i="6"/>
  <c r="T479" i="6"/>
  <c r="U478" i="5"/>
  <c r="Q478" i="5"/>
  <c r="X478" i="6"/>
  <c r="P478" i="5"/>
  <c r="S478" i="5"/>
  <c r="V477" i="5"/>
  <c r="V478" i="6"/>
  <c r="T478" i="5"/>
  <c r="W478" i="6"/>
  <c r="O481" i="6" l="1"/>
  <c r="O480" i="5"/>
  <c r="P480" i="6"/>
  <c r="W478" i="5"/>
  <c r="S479" i="5"/>
  <c r="V478" i="5"/>
  <c r="T480" i="6"/>
  <c r="T479" i="5"/>
  <c r="S480" i="6"/>
  <c r="X479" i="6"/>
  <c r="Q479" i="5"/>
  <c r="R480" i="6"/>
  <c r="R479" i="5"/>
  <c r="W479" i="6"/>
  <c r="Q480" i="6"/>
  <c r="P479" i="5"/>
  <c r="V479" i="6"/>
  <c r="U479" i="5"/>
  <c r="U480" i="6"/>
  <c r="Y481" i="6"/>
  <c r="X478" i="5"/>
  <c r="O482" i="6" l="1"/>
  <c r="O481" i="5"/>
  <c r="Q481" i="6"/>
  <c r="X479" i="5"/>
  <c r="Q480" i="5"/>
  <c r="R480" i="5"/>
  <c r="P480" i="5"/>
  <c r="S481" i="6"/>
  <c r="S480" i="5"/>
  <c r="T481" i="6"/>
  <c r="W479" i="5"/>
  <c r="W481" i="6"/>
  <c r="X480" i="6"/>
  <c r="T480" i="5"/>
  <c r="U481" i="6"/>
  <c r="W480" i="6"/>
  <c r="V480" i="6"/>
  <c r="V479" i="5"/>
  <c r="R481" i="6"/>
  <c r="U480" i="5"/>
  <c r="Y482" i="6"/>
  <c r="P481" i="6"/>
  <c r="O483" i="6" l="1"/>
  <c r="O482" i="5"/>
  <c r="V480" i="5"/>
  <c r="T481" i="5"/>
  <c r="P482" i="6"/>
  <c r="T482" i="6"/>
  <c r="X480" i="5"/>
  <c r="Q482" i="6"/>
  <c r="Q481" i="5"/>
  <c r="S481" i="5"/>
  <c r="U482" i="6"/>
  <c r="S482" i="6"/>
  <c r="X481" i="6"/>
  <c r="R482" i="6"/>
  <c r="Y483" i="6"/>
  <c r="R481" i="5"/>
  <c r="V481" i="6"/>
  <c r="U481" i="5"/>
  <c r="P481" i="5"/>
  <c r="W480" i="5"/>
  <c r="O484" i="6" l="1"/>
  <c r="O483" i="5"/>
  <c r="V482" i="6"/>
  <c r="Q482" i="5"/>
  <c r="Q483" i="6"/>
  <c r="U483" i="6"/>
  <c r="V481" i="5"/>
  <c r="P483" i="6"/>
  <c r="S482" i="5"/>
  <c r="R482" i="5"/>
  <c r="S483" i="6"/>
  <c r="X482" i="6"/>
  <c r="W482" i="6"/>
  <c r="R483" i="6"/>
  <c r="W481" i="5"/>
  <c r="X481" i="5"/>
  <c r="T483" i="6"/>
  <c r="Y484" i="6"/>
  <c r="T482" i="5"/>
  <c r="U482" i="5"/>
  <c r="P482" i="5"/>
  <c r="O485" i="6" l="1"/>
  <c r="O484" i="5"/>
  <c r="W483" i="6"/>
  <c r="P484" i="6"/>
  <c r="T484" i="6"/>
  <c r="V482" i="5"/>
  <c r="Q483" i="5"/>
  <c r="X483" i="6"/>
  <c r="S484" i="6"/>
  <c r="T483" i="5"/>
  <c r="S483" i="5"/>
  <c r="P483" i="5"/>
  <c r="W482" i="5"/>
  <c r="Y485" i="6"/>
  <c r="U484" i="6"/>
  <c r="Q484" i="6"/>
  <c r="U483" i="5"/>
  <c r="R484" i="6"/>
  <c r="V483" i="6"/>
  <c r="R483" i="5"/>
  <c r="X482" i="5"/>
  <c r="O486" i="6" l="1"/>
  <c r="O485" i="5"/>
  <c r="T485" i="6"/>
  <c r="X483" i="5"/>
  <c r="Q484" i="5"/>
  <c r="W483" i="5"/>
  <c r="V484" i="6"/>
  <c r="R485" i="6"/>
  <c r="U484" i="5"/>
  <c r="X484" i="6"/>
  <c r="T484" i="5"/>
  <c r="V483" i="5"/>
  <c r="W484" i="6"/>
  <c r="S485" i="6"/>
  <c r="Q485" i="6"/>
  <c r="P485" i="6"/>
  <c r="R484" i="5"/>
  <c r="U485" i="6"/>
  <c r="S484" i="5"/>
  <c r="P484" i="5"/>
  <c r="Y486" i="6"/>
  <c r="O487" i="6" l="1"/>
  <c r="O486" i="5"/>
  <c r="Q486" i="6"/>
  <c r="S486" i="6"/>
  <c r="X485" i="6"/>
  <c r="T486" i="6"/>
  <c r="Y487" i="6"/>
  <c r="V485" i="6"/>
  <c r="U485" i="5"/>
  <c r="P485" i="5"/>
  <c r="Q485" i="5"/>
  <c r="R486" i="6"/>
  <c r="T485" i="5"/>
  <c r="S485" i="5"/>
  <c r="W484" i="5"/>
  <c r="R485" i="5"/>
  <c r="P486" i="6"/>
  <c r="X484" i="5"/>
  <c r="U486" i="6"/>
  <c r="W485" i="6"/>
  <c r="V484" i="5"/>
  <c r="O488" i="6" l="1"/>
  <c r="O487" i="5"/>
  <c r="P487" i="6"/>
  <c r="X486" i="6"/>
  <c r="S487" i="6"/>
  <c r="T486" i="5"/>
  <c r="U487" i="6"/>
  <c r="W486" i="6"/>
  <c r="Y488" i="6"/>
  <c r="R487" i="6"/>
  <c r="P486" i="5"/>
  <c r="W485" i="5"/>
  <c r="V486" i="6"/>
  <c r="T487" i="6"/>
  <c r="X485" i="5"/>
  <c r="U486" i="5"/>
  <c r="V485" i="5"/>
  <c r="S486" i="5"/>
  <c r="Q487" i="6"/>
  <c r="W487" i="6" s="1"/>
  <c r="R486" i="5"/>
  <c r="Q486" i="5"/>
  <c r="O489" i="6" l="1"/>
  <c r="O488" i="5"/>
  <c r="T487" i="5"/>
  <c r="T488" i="6"/>
  <c r="X487" i="6"/>
  <c r="U487" i="5"/>
  <c r="W486" i="5"/>
  <c r="Q487" i="5"/>
  <c r="X486" i="5"/>
  <c r="V486" i="5"/>
  <c r="R487" i="5"/>
  <c r="Y489" i="6"/>
  <c r="U488" i="6"/>
  <c r="V487" i="6"/>
  <c r="P487" i="5"/>
  <c r="R488" i="6"/>
  <c r="S488" i="6"/>
  <c r="Q488" i="6"/>
  <c r="P488" i="6"/>
  <c r="S487" i="5"/>
  <c r="O490" i="6" l="1"/>
  <c r="O489" i="5"/>
  <c r="W488" i="6"/>
  <c r="S489" i="6"/>
  <c r="V488" i="6"/>
  <c r="Q488" i="5"/>
  <c r="W487" i="5"/>
  <c r="Y490" i="6"/>
  <c r="S488" i="5"/>
  <c r="X487" i="5"/>
  <c r="R489" i="6"/>
  <c r="P488" i="5"/>
  <c r="R488" i="5"/>
  <c r="X488" i="6"/>
  <c r="U489" i="6"/>
  <c r="P489" i="6"/>
  <c r="V487" i="5"/>
  <c r="Q489" i="6"/>
  <c r="W489" i="6" s="1"/>
  <c r="T488" i="5"/>
  <c r="T489" i="6"/>
  <c r="U488" i="5"/>
  <c r="O491" i="6" l="1"/>
  <c r="O490" i="5"/>
  <c r="X489" i="6"/>
  <c r="V488" i="5"/>
  <c r="V489" i="6"/>
  <c r="X488" i="5"/>
  <c r="S489" i="5"/>
  <c r="R489" i="5"/>
  <c r="Q489" i="5"/>
  <c r="S490" i="6"/>
  <c r="T489" i="5"/>
  <c r="P489" i="5"/>
  <c r="Q490" i="6"/>
  <c r="U490" i="6"/>
  <c r="U489" i="5"/>
  <c r="R490" i="6"/>
  <c r="T490" i="6"/>
  <c r="Y491" i="6"/>
  <c r="W488" i="5"/>
  <c r="P490" i="6"/>
  <c r="O492" i="6" l="1"/>
  <c r="O491" i="5"/>
  <c r="W490" i="6"/>
  <c r="R491" i="6"/>
  <c r="P491" i="6"/>
  <c r="X491" i="6"/>
  <c r="V489" i="5"/>
  <c r="W489" i="5"/>
  <c r="T491" i="6"/>
  <c r="U491" i="6"/>
  <c r="T490" i="5"/>
  <c r="R490" i="5"/>
  <c r="U490" i="5"/>
  <c r="Q490" i="5"/>
  <c r="Y492" i="6"/>
  <c r="X489" i="5"/>
  <c r="S490" i="5"/>
  <c r="P490" i="5"/>
  <c r="S491" i="6"/>
  <c r="V490" i="6"/>
  <c r="X490" i="6"/>
  <c r="Q491" i="6"/>
  <c r="O493" i="6" l="1"/>
  <c r="O492" i="5"/>
  <c r="S492" i="6"/>
  <c r="U492" i="6"/>
  <c r="S491" i="5"/>
  <c r="W490" i="5"/>
  <c r="R492" i="6"/>
  <c r="V491" i="6"/>
  <c r="R491" i="5"/>
  <c r="P492" i="6"/>
  <c r="U491" i="5"/>
  <c r="V490" i="5"/>
  <c r="T491" i="5"/>
  <c r="Y493" i="6"/>
  <c r="X490" i="5"/>
  <c r="P491" i="5"/>
  <c r="Q491" i="5"/>
  <c r="T492" i="6"/>
  <c r="W491" i="6"/>
  <c r="Q492" i="6"/>
  <c r="O494" i="6" l="1"/>
  <c r="O493" i="5"/>
  <c r="S493" i="6"/>
  <c r="W491" i="5"/>
  <c r="X492" i="6"/>
  <c r="R493" i="6"/>
  <c r="V492" i="6"/>
  <c r="T493" i="6"/>
  <c r="V491" i="5"/>
  <c r="X491" i="5"/>
  <c r="P493" i="6"/>
  <c r="S492" i="5"/>
  <c r="R492" i="5"/>
  <c r="T492" i="5"/>
  <c r="P492" i="5"/>
  <c r="U493" i="6"/>
  <c r="Q492" i="5"/>
  <c r="W492" i="6"/>
  <c r="Q493" i="6"/>
  <c r="U492" i="5"/>
  <c r="Y494" i="6"/>
  <c r="O495" i="6" l="1"/>
  <c r="O494" i="5"/>
  <c r="W493" i="6"/>
  <c r="Q493" i="5"/>
  <c r="X493" i="6"/>
  <c r="Q494" i="6"/>
  <c r="P493" i="5"/>
  <c r="U493" i="5"/>
  <c r="Y495" i="6"/>
  <c r="R493" i="5"/>
  <c r="R494" i="6"/>
  <c r="P494" i="6"/>
  <c r="V492" i="5"/>
  <c r="V493" i="6"/>
  <c r="S494" i="6"/>
  <c r="S493" i="5"/>
  <c r="X492" i="5"/>
  <c r="W492" i="5"/>
  <c r="T493" i="5"/>
  <c r="T494" i="6"/>
  <c r="U494" i="6"/>
  <c r="O496" i="6" l="1"/>
  <c r="O495" i="5"/>
  <c r="W493" i="5"/>
  <c r="X493" i="5"/>
  <c r="P495" i="6"/>
  <c r="S494" i="5"/>
  <c r="V493" i="5"/>
  <c r="Q495" i="6"/>
  <c r="S495" i="6"/>
  <c r="T494" i="5"/>
  <c r="T495" i="6"/>
  <c r="V494" i="6"/>
  <c r="P494" i="5"/>
  <c r="U494" i="5"/>
  <c r="W494" i="6"/>
  <c r="U495" i="6"/>
  <c r="X494" i="6"/>
  <c r="R494" i="5"/>
  <c r="Y496" i="6"/>
  <c r="Q494" i="5"/>
  <c r="R495" i="6"/>
  <c r="O497" i="6" l="1"/>
  <c r="O496" i="5"/>
  <c r="Q496" i="6"/>
  <c r="Q495" i="5"/>
  <c r="X494" i="5"/>
  <c r="W494" i="5"/>
  <c r="V494" i="5"/>
  <c r="R496" i="6"/>
  <c r="R495" i="5"/>
  <c r="V495" i="6"/>
  <c r="U495" i="5"/>
  <c r="U496" i="6"/>
  <c r="S496" i="6"/>
  <c r="W495" i="6"/>
  <c r="S495" i="5"/>
  <c r="P495" i="5"/>
  <c r="Y497" i="6"/>
  <c r="T495" i="5"/>
  <c r="P496" i="6"/>
  <c r="X495" i="6"/>
  <c r="T496" i="6"/>
  <c r="O498" i="6" l="1"/>
  <c r="O497" i="5"/>
  <c r="S497" i="6"/>
  <c r="X496" i="6"/>
  <c r="T496" i="5"/>
  <c r="P497" i="6"/>
  <c r="X495" i="5"/>
  <c r="Q496" i="5"/>
  <c r="T497" i="6"/>
  <c r="W495" i="5"/>
  <c r="R496" i="5"/>
  <c r="S496" i="5"/>
  <c r="Q497" i="6"/>
  <c r="U497" i="6"/>
  <c r="Y498" i="6"/>
  <c r="U496" i="5"/>
  <c r="V495" i="5"/>
  <c r="P496" i="5"/>
  <c r="R497" i="6"/>
  <c r="W496" i="6"/>
  <c r="V496" i="6"/>
  <c r="O499" i="6" l="1"/>
  <c r="O498" i="5"/>
  <c r="X497" i="6"/>
  <c r="Q498" i="6"/>
  <c r="P497" i="5"/>
  <c r="T497" i="5"/>
  <c r="V497" i="6"/>
  <c r="V496" i="5"/>
  <c r="U497" i="5"/>
  <c r="R497" i="5"/>
  <c r="W496" i="5"/>
  <c r="Y499" i="6"/>
  <c r="S498" i="6"/>
  <c r="R498" i="6"/>
  <c r="T498" i="6"/>
  <c r="Q497" i="5"/>
  <c r="S497" i="5"/>
  <c r="U498" i="6"/>
  <c r="X496" i="5"/>
  <c r="P498" i="6"/>
  <c r="W497" i="6"/>
  <c r="O500" i="6" l="1"/>
  <c r="O499" i="5"/>
  <c r="W497" i="5"/>
  <c r="P499" i="6"/>
  <c r="T498" i="5"/>
  <c r="P498" i="5"/>
  <c r="S498" i="5"/>
  <c r="Y500" i="6"/>
  <c r="S499" i="6"/>
  <c r="R498" i="5"/>
  <c r="T499" i="6"/>
  <c r="W498" i="6"/>
  <c r="V497" i="5"/>
  <c r="Q498" i="5"/>
  <c r="Q499" i="6"/>
  <c r="V498" i="6"/>
  <c r="U499" i="6"/>
  <c r="U498" i="5"/>
  <c r="X498" i="6"/>
  <c r="R499" i="6"/>
  <c r="X497" i="5"/>
  <c r="O501" i="6" l="1"/>
  <c r="O500" i="5"/>
  <c r="T500" i="6"/>
  <c r="Y501" i="6"/>
  <c r="X498" i="5"/>
  <c r="S499" i="5"/>
  <c r="S500" i="6"/>
  <c r="Q500" i="6"/>
  <c r="R499" i="5"/>
  <c r="R500" i="6"/>
  <c r="U499" i="5"/>
  <c r="X499" i="6"/>
  <c r="W498" i="5"/>
  <c r="V499" i="6"/>
  <c r="T499" i="5"/>
  <c r="Q499" i="5"/>
  <c r="P499" i="5"/>
  <c r="U500" i="6"/>
  <c r="W499" i="6"/>
  <c r="V498" i="5"/>
  <c r="P500" i="6"/>
  <c r="O502" i="6" l="1"/>
  <c r="O501" i="5"/>
  <c r="R501" i="6"/>
  <c r="R500" i="5"/>
  <c r="V500" i="6"/>
  <c r="X499" i="5"/>
  <c r="P500" i="5"/>
  <c r="Q500" i="5"/>
  <c r="S501" i="6"/>
  <c r="T500" i="5"/>
  <c r="U501" i="6"/>
  <c r="T501" i="6"/>
  <c r="U500" i="5"/>
  <c r="V499" i="5"/>
  <c r="Q501" i="6"/>
  <c r="W500" i="6"/>
  <c r="P501" i="6"/>
  <c r="V501" i="6" s="1"/>
  <c r="Y502" i="6"/>
  <c r="S500" i="5"/>
  <c r="X500" i="6"/>
  <c r="W499" i="5"/>
  <c r="O503" i="6" l="1"/>
  <c r="O502" i="5"/>
  <c r="V500" i="5"/>
  <c r="T501" i="5"/>
  <c r="Q502" i="6"/>
  <c r="W500" i="5"/>
  <c r="P502" i="6"/>
  <c r="S501" i="5"/>
  <c r="W501" i="6"/>
  <c r="S502" i="6"/>
  <c r="Y503" i="6"/>
  <c r="R501" i="5"/>
  <c r="X501" i="6"/>
  <c r="X500" i="5"/>
  <c r="U502" i="6"/>
  <c r="P501" i="5"/>
  <c r="T502" i="6"/>
  <c r="U501" i="5"/>
  <c r="Q501" i="5"/>
  <c r="R502" i="6"/>
  <c r="O504" i="6" l="1"/>
  <c r="O503" i="5"/>
  <c r="Y504" i="6"/>
  <c r="P503" i="6"/>
  <c r="T502" i="5"/>
  <c r="S502" i="5"/>
  <c r="Q503" i="6"/>
  <c r="V501" i="5"/>
  <c r="W501" i="5"/>
  <c r="X502" i="6"/>
  <c r="V502" i="6"/>
  <c r="X501" i="5"/>
  <c r="T503" i="6"/>
  <c r="U503" i="6"/>
  <c r="Q502" i="5"/>
  <c r="U502" i="5"/>
  <c r="P502" i="5"/>
  <c r="R503" i="6"/>
  <c r="R502" i="5"/>
  <c r="W502" i="6"/>
  <c r="S503" i="6"/>
  <c r="O505" i="6" l="1"/>
  <c r="O504" i="5"/>
  <c r="S503" i="5"/>
  <c r="S504" i="6"/>
  <c r="R504" i="6"/>
  <c r="U503" i="5"/>
  <c r="X502" i="5"/>
  <c r="R503" i="5"/>
  <c r="Q504" i="6"/>
  <c r="V502" i="5"/>
  <c r="W502" i="5"/>
  <c r="T503" i="5"/>
  <c r="U504" i="6"/>
  <c r="X503" i="6"/>
  <c r="T504" i="6"/>
  <c r="P504" i="6"/>
  <c r="Y505" i="6"/>
  <c r="Q503" i="5"/>
  <c r="W503" i="6"/>
  <c r="V503" i="6"/>
  <c r="P503" i="5"/>
  <c r="O506" i="6" l="1"/>
  <c r="O505" i="5"/>
  <c r="T504" i="5"/>
  <c r="R505" i="6"/>
  <c r="U505" i="6"/>
  <c r="X503" i="5"/>
  <c r="V504" i="6"/>
  <c r="X504" i="6"/>
  <c r="Y506" i="6"/>
  <c r="S505" i="6"/>
  <c r="W504" i="6"/>
  <c r="U504" i="5"/>
  <c r="P504" i="5"/>
  <c r="V503" i="5"/>
  <c r="Q504" i="5"/>
  <c r="P505" i="6"/>
  <c r="T505" i="6"/>
  <c r="W503" i="5"/>
  <c r="R504" i="5"/>
  <c r="S504" i="5"/>
  <c r="Q505" i="6"/>
  <c r="O507" i="6" l="1"/>
  <c r="O506" i="5"/>
  <c r="X504" i="5"/>
  <c r="Y507" i="6"/>
  <c r="V504" i="5"/>
  <c r="T505" i="5"/>
  <c r="P506" i="6"/>
  <c r="Q505" i="5"/>
  <c r="V505" i="6"/>
  <c r="W505" i="6"/>
  <c r="X505" i="6"/>
  <c r="R505" i="5"/>
  <c r="U506" i="6"/>
  <c r="T506" i="6"/>
  <c r="S505" i="5"/>
  <c r="Q506" i="6"/>
  <c r="S506" i="6"/>
  <c r="W504" i="5"/>
  <c r="R506" i="6"/>
  <c r="P505" i="5"/>
  <c r="U505" i="5"/>
  <c r="O508" i="6" l="1"/>
  <c r="O507" i="5"/>
  <c r="U506" i="5"/>
  <c r="Q506" i="5"/>
  <c r="X505" i="5"/>
  <c r="W505" i="5"/>
  <c r="V505" i="5"/>
  <c r="P507" i="6"/>
  <c r="S506" i="5"/>
  <c r="T507" i="6"/>
  <c r="U507" i="6"/>
  <c r="S507" i="6"/>
  <c r="T506" i="5"/>
  <c r="Y508" i="6"/>
  <c r="R506" i="5"/>
  <c r="R507" i="6"/>
  <c r="P506" i="5"/>
  <c r="V506" i="6"/>
  <c r="X506" i="6"/>
  <c r="W506" i="6"/>
  <c r="Q507" i="6"/>
  <c r="O509" i="6" l="1"/>
  <c r="O508" i="5"/>
  <c r="R507" i="5"/>
  <c r="V506" i="5"/>
  <c r="U507" i="5"/>
  <c r="V507" i="6"/>
  <c r="Y509" i="6"/>
  <c r="S508" i="6"/>
  <c r="W507" i="6"/>
  <c r="T507" i="5"/>
  <c r="S507" i="5"/>
  <c r="Q508" i="6"/>
  <c r="X507" i="6"/>
  <c r="X506" i="5"/>
  <c r="U508" i="6"/>
  <c r="T508" i="6"/>
  <c r="W506" i="5"/>
  <c r="P508" i="6"/>
  <c r="P507" i="5"/>
  <c r="R508" i="6"/>
  <c r="Q507" i="5"/>
  <c r="O510" i="6" l="1"/>
  <c r="O509" i="5"/>
  <c r="R508" i="5"/>
  <c r="R509" i="6"/>
  <c r="X508" i="6"/>
  <c r="Y510" i="6"/>
  <c r="Q508" i="5"/>
  <c r="S509" i="6"/>
  <c r="P509" i="6"/>
  <c r="V507" i="5"/>
  <c r="P508" i="5"/>
  <c r="Q509" i="6"/>
  <c r="X507" i="5"/>
  <c r="U508" i="5"/>
  <c r="W508" i="6"/>
  <c r="T508" i="5"/>
  <c r="S508" i="5"/>
  <c r="T509" i="6"/>
  <c r="V508" i="6"/>
  <c r="W507" i="5"/>
  <c r="U509" i="6"/>
  <c r="O511" i="6" l="1"/>
  <c r="O510" i="5"/>
  <c r="W509" i="6"/>
  <c r="Q509" i="5"/>
  <c r="U509" i="5"/>
  <c r="P509" i="5"/>
  <c r="S510" i="6"/>
  <c r="V509" i="6"/>
  <c r="W508" i="5"/>
  <c r="S509" i="5"/>
  <c r="T510" i="6"/>
  <c r="V508" i="5"/>
  <c r="Y511" i="6"/>
  <c r="R510" i="6"/>
  <c r="U510" i="6"/>
  <c r="P510" i="6"/>
  <c r="X508" i="5"/>
  <c r="X509" i="6"/>
  <c r="Q510" i="6"/>
  <c r="T509" i="5"/>
  <c r="R509" i="5"/>
  <c r="O512" i="6" l="1"/>
  <c r="O511" i="5"/>
  <c r="U510" i="5"/>
  <c r="X509" i="5"/>
  <c r="V509" i="5"/>
  <c r="X510" i="6"/>
  <c r="V510" i="6"/>
  <c r="P510" i="5"/>
  <c r="R510" i="5"/>
  <c r="Q510" i="5"/>
  <c r="W510" i="6"/>
  <c r="S510" i="5"/>
  <c r="T510" i="5"/>
  <c r="W509" i="5"/>
  <c r="U511" i="6"/>
  <c r="T511" i="6"/>
  <c r="Q511" i="6"/>
  <c r="P511" i="6"/>
  <c r="S511" i="6"/>
  <c r="Y512" i="6"/>
  <c r="R511" i="6"/>
  <c r="O513" i="6" l="1"/>
  <c r="O512" i="5"/>
  <c r="P511" i="5"/>
  <c r="U512" i="6"/>
  <c r="X510" i="5"/>
  <c r="V511" i="6"/>
  <c r="X511" i="6"/>
  <c r="S512" i="6"/>
  <c r="V510" i="5"/>
  <c r="Y513" i="6"/>
  <c r="T511" i="5"/>
  <c r="Q511" i="5"/>
  <c r="Q512" i="6"/>
  <c r="W510" i="5"/>
  <c r="P512" i="6"/>
  <c r="T512" i="6"/>
  <c r="R511" i="5"/>
  <c r="R512" i="6"/>
  <c r="U511" i="5"/>
  <c r="S511" i="5"/>
  <c r="W511" i="6"/>
  <c r="O514" i="6" l="1"/>
  <c r="O513" i="5"/>
  <c r="W511" i="5"/>
  <c r="S512" i="5"/>
  <c r="Q512" i="5"/>
  <c r="X511" i="5"/>
  <c r="Q513" i="6"/>
  <c r="R513" i="6"/>
  <c r="W512" i="6"/>
  <c r="V512" i="6"/>
  <c r="T512" i="5"/>
  <c r="U512" i="5"/>
  <c r="P513" i="6"/>
  <c r="V513" i="6" s="1"/>
  <c r="Y514" i="6"/>
  <c r="U513" i="6"/>
  <c r="V511" i="5"/>
  <c r="P512" i="5"/>
  <c r="X512" i="6"/>
  <c r="S513" i="6"/>
  <c r="T513" i="6"/>
  <c r="R512" i="5"/>
  <c r="O515" i="6" l="1"/>
  <c r="O514" i="5"/>
  <c r="P513" i="5"/>
  <c r="P514" i="6"/>
  <c r="X512" i="5"/>
  <c r="T513" i="5"/>
  <c r="U514" i="6"/>
  <c r="U513" i="5"/>
  <c r="X513" i="6"/>
  <c r="Q514" i="6"/>
  <c r="T514" i="6"/>
  <c r="S513" i="5"/>
  <c r="R514" i="6"/>
  <c r="S514" i="6"/>
  <c r="V512" i="5"/>
  <c r="R513" i="5"/>
  <c r="W513" i="6"/>
  <c r="W512" i="5"/>
  <c r="Y515" i="6"/>
  <c r="Q513" i="5"/>
  <c r="O516" i="6" l="1"/>
  <c r="O515" i="5"/>
  <c r="R514" i="5"/>
  <c r="W514" i="6"/>
  <c r="P515" i="6"/>
  <c r="P514" i="5"/>
  <c r="Q515" i="6"/>
  <c r="W513" i="5"/>
  <c r="U515" i="6"/>
  <c r="V513" i="5"/>
  <c r="T514" i="5"/>
  <c r="U514" i="5"/>
  <c r="Q514" i="5"/>
  <c r="X513" i="5"/>
  <c r="T515" i="6"/>
  <c r="S514" i="5"/>
  <c r="V514" i="6"/>
  <c r="X514" i="6"/>
  <c r="S515" i="6"/>
  <c r="R515" i="6"/>
  <c r="Y516" i="6"/>
  <c r="O517" i="6" l="1"/>
  <c r="O516" i="5"/>
  <c r="P515" i="5"/>
  <c r="U515" i="5"/>
  <c r="X515" i="6"/>
  <c r="P516" i="6"/>
  <c r="R515" i="5"/>
  <c r="V514" i="5"/>
  <c r="X514" i="5"/>
  <c r="S515" i="5"/>
  <c r="V515" i="6"/>
  <c r="Q516" i="6"/>
  <c r="W515" i="6"/>
  <c r="S516" i="6"/>
  <c r="T516" i="6"/>
  <c r="Y517" i="6"/>
  <c r="T515" i="5"/>
  <c r="U516" i="6"/>
  <c r="W514" i="5"/>
  <c r="R516" i="6"/>
  <c r="Q515" i="5"/>
  <c r="O518" i="6" l="1"/>
  <c r="O517" i="5"/>
  <c r="Q517" i="6"/>
  <c r="V516" i="6"/>
  <c r="X516" i="6"/>
  <c r="W516" i="6"/>
  <c r="S516" i="5"/>
  <c r="P516" i="5"/>
  <c r="U517" i="6"/>
  <c r="W517" i="6"/>
  <c r="T517" i="6"/>
  <c r="R516" i="5"/>
  <c r="V515" i="5"/>
  <c r="W515" i="5"/>
  <c r="R517" i="6"/>
  <c r="Y518" i="6"/>
  <c r="P517" i="6"/>
  <c r="X515" i="5"/>
  <c r="U516" i="5"/>
  <c r="T516" i="5"/>
  <c r="Q516" i="5"/>
  <c r="S517" i="6"/>
  <c r="O519" i="6" l="1"/>
  <c r="O518" i="5"/>
  <c r="Y519" i="6"/>
  <c r="W516" i="5"/>
  <c r="U518" i="6"/>
  <c r="V516" i="5"/>
  <c r="X516" i="5"/>
  <c r="U517" i="5"/>
  <c r="P517" i="5"/>
  <c r="Q517" i="5"/>
  <c r="S518" i="6"/>
  <c r="P518" i="6"/>
  <c r="X517" i="6"/>
  <c r="R517" i="5"/>
  <c r="S517" i="5"/>
  <c r="Q518" i="6"/>
  <c r="T518" i="6"/>
  <c r="T517" i="5"/>
  <c r="V517" i="6"/>
  <c r="R518" i="6"/>
  <c r="O520" i="6" l="1"/>
  <c r="O519" i="5"/>
  <c r="X517" i="5"/>
  <c r="R519" i="6"/>
  <c r="Q519" i="6"/>
  <c r="V518" i="6"/>
  <c r="Q518" i="5"/>
  <c r="S518" i="5"/>
  <c r="R518" i="5"/>
  <c r="T519" i="6"/>
  <c r="U518" i="5"/>
  <c r="W517" i="5"/>
  <c r="X518" i="6"/>
  <c r="V517" i="5"/>
  <c r="S519" i="6"/>
  <c r="U519" i="6"/>
  <c r="T518" i="5"/>
  <c r="Y520" i="6"/>
  <c r="W518" i="6"/>
  <c r="P519" i="6"/>
  <c r="P518" i="5"/>
  <c r="O521" i="6" l="1"/>
  <c r="O520" i="5"/>
  <c r="V519" i="6"/>
  <c r="X518" i="5"/>
  <c r="S519" i="5"/>
  <c r="Y521" i="6"/>
  <c r="X519" i="6"/>
  <c r="T519" i="5"/>
  <c r="R520" i="6"/>
  <c r="U519" i="5"/>
  <c r="S520" i="6"/>
  <c r="T520" i="6"/>
  <c r="U520" i="6"/>
  <c r="W519" i="6"/>
  <c r="Q519" i="5"/>
  <c r="Q520" i="6"/>
  <c r="P519" i="5"/>
  <c r="P520" i="6"/>
  <c r="R519" i="5"/>
  <c r="V518" i="5"/>
  <c r="W518" i="5"/>
  <c r="O522" i="6" l="1"/>
  <c r="O521" i="5"/>
  <c r="X520" i="6"/>
  <c r="X519" i="5"/>
  <c r="U521" i="6"/>
  <c r="S520" i="5"/>
  <c r="Q521" i="6"/>
  <c r="Y522" i="6"/>
  <c r="P520" i="5"/>
  <c r="W520" i="6"/>
  <c r="V520" i="6"/>
  <c r="T521" i="6"/>
  <c r="P521" i="6"/>
  <c r="V519" i="5"/>
  <c r="W519" i="5"/>
  <c r="W521" i="6"/>
  <c r="R520" i="5"/>
  <c r="U520" i="5"/>
  <c r="Q520" i="5"/>
  <c r="S521" i="6"/>
  <c r="T520" i="5"/>
  <c r="R521" i="6"/>
  <c r="O523" i="6" l="1"/>
  <c r="O522" i="5"/>
  <c r="S521" i="5"/>
  <c r="T521" i="5"/>
  <c r="R522" i="6"/>
  <c r="P522" i="6"/>
  <c r="Q521" i="5"/>
  <c r="U522" i="6"/>
  <c r="V520" i="5"/>
  <c r="Y523" i="6"/>
  <c r="W520" i="5"/>
  <c r="V521" i="6"/>
  <c r="S522" i="6"/>
  <c r="U521" i="5"/>
  <c r="T522" i="6"/>
  <c r="X520" i="5"/>
  <c r="X521" i="6"/>
  <c r="R521" i="5"/>
  <c r="Q522" i="6"/>
  <c r="P521" i="5"/>
  <c r="O524" i="6" l="1"/>
  <c r="O523" i="5"/>
  <c r="Y524" i="6"/>
  <c r="S523" i="6"/>
  <c r="S522" i="5"/>
  <c r="T523" i="6"/>
  <c r="V522" i="6"/>
  <c r="W521" i="5"/>
  <c r="R522" i="5"/>
  <c r="P522" i="5"/>
  <c r="T522" i="5"/>
  <c r="W522" i="6"/>
  <c r="X522" i="6"/>
  <c r="Q523" i="6"/>
  <c r="V521" i="5"/>
  <c r="X521" i="5"/>
  <c r="U523" i="6"/>
  <c r="U522" i="5"/>
  <c r="R523" i="6"/>
  <c r="P523" i="6"/>
  <c r="Q522" i="5"/>
  <c r="O525" i="6" l="1"/>
  <c r="O524" i="5"/>
  <c r="Q524" i="6"/>
  <c r="R524" i="6"/>
  <c r="V523" i="6"/>
  <c r="V522" i="5"/>
  <c r="U524" i="6"/>
  <c r="Y525" i="6"/>
  <c r="T524" i="6"/>
  <c r="P524" i="6"/>
  <c r="S524" i="6"/>
  <c r="R523" i="5"/>
  <c r="S523" i="5"/>
  <c r="P523" i="5"/>
  <c r="X522" i="5"/>
  <c r="X523" i="6"/>
  <c r="U523" i="5"/>
  <c r="W522" i="5"/>
  <c r="W523" i="6"/>
  <c r="Q523" i="5"/>
  <c r="T523" i="5"/>
  <c r="O526" i="6" l="1"/>
  <c r="O525" i="5"/>
  <c r="S524" i="5"/>
  <c r="P525" i="6"/>
  <c r="U524" i="5"/>
  <c r="Q524" i="5"/>
  <c r="T524" i="5"/>
  <c r="T525" i="6"/>
  <c r="R524" i="5"/>
  <c r="S525" i="6"/>
  <c r="X523" i="5"/>
  <c r="P524" i="5"/>
  <c r="U525" i="6"/>
  <c r="R525" i="6"/>
  <c r="W524" i="6"/>
  <c r="V523" i="5"/>
  <c r="Q525" i="6"/>
  <c r="W523" i="5"/>
  <c r="Y526" i="6"/>
  <c r="X524" i="6"/>
  <c r="V524" i="6"/>
  <c r="O527" i="6" l="1"/>
  <c r="O526" i="5"/>
  <c r="W525" i="6"/>
  <c r="U526" i="6"/>
  <c r="V525" i="6"/>
  <c r="X525" i="6"/>
  <c r="V524" i="5"/>
  <c r="T526" i="6"/>
  <c r="R525" i="5"/>
  <c r="P525" i="5"/>
  <c r="Y527" i="6"/>
  <c r="R526" i="6"/>
  <c r="X526" i="6" s="1"/>
  <c r="Q526" i="6"/>
  <c r="P526" i="6"/>
  <c r="X524" i="5"/>
  <c r="W524" i="5"/>
  <c r="S525" i="5"/>
  <c r="T525" i="5"/>
  <c r="S526" i="6"/>
  <c r="U525" i="5"/>
  <c r="Q525" i="5"/>
  <c r="O528" i="6" l="1"/>
  <c r="O527" i="5"/>
  <c r="P527" i="6"/>
  <c r="U526" i="5"/>
  <c r="W525" i="5"/>
  <c r="R526" i="5"/>
  <c r="T527" i="6"/>
  <c r="R527" i="6"/>
  <c r="X525" i="5"/>
  <c r="P526" i="5"/>
  <c r="V525" i="5"/>
  <c r="S526" i="5"/>
  <c r="U527" i="6"/>
  <c r="Q527" i="6"/>
  <c r="S527" i="6"/>
  <c r="V526" i="6"/>
  <c r="Y528" i="6"/>
  <c r="W526" i="6"/>
  <c r="T526" i="5"/>
  <c r="Q526" i="5"/>
  <c r="O529" i="6" l="1"/>
  <c r="O528" i="5"/>
  <c r="P527" i="5"/>
  <c r="W526" i="5"/>
  <c r="R528" i="6"/>
  <c r="Q528" i="6"/>
  <c r="X526" i="5"/>
  <c r="S528" i="6"/>
  <c r="V527" i="6"/>
  <c r="P528" i="6"/>
  <c r="W527" i="6"/>
  <c r="T527" i="5"/>
  <c r="Q527" i="5"/>
  <c r="U527" i="5"/>
  <c r="X527" i="6"/>
  <c r="Y529" i="6"/>
  <c r="V526" i="5"/>
  <c r="R527" i="5"/>
  <c r="U528" i="6"/>
  <c r="T528" i="6"/>
  <c r="S527" i="5"/>
  <c r="O530" i="6" l="1"/>
  <c r="O529" i="5"/>
  <c r="R529" i="6"/>
  <c r="X527" i="5"/>
  <c r="U528" i="5"/>
  <c r="P528" i="5"/>
  <c r="R528" i="5"/>
  <c r="W527" i="5"/>
  <c r="S528" i="5"/>
  <c r="V527" i="5"/>
  <c r="Y530" i="6"/>
  <c r="T529" i="6"/>
  <c r="Q528" i="5"/>
  <c r="X528" i="6"/>
  <c r="W528" i="6"/>
  <c r="U529" i="6"/>
  <c r="T528" i="5"/>
  <c r="S529" i="6"/>
  <c r="V528" i="6"/>
  <c r="P529" i="6"/>
  <c r="Q529" i="6"/>
  <c r="O531" i="6" l="1"/>
  <c r="O530" i="5"/>
  <c r="S529" i="5"/>
  <c r="T529" i="5"/>
  <c r="X528" i="5"/>
  <c r="S530" i="6"/>
  <c r="Y531" i="6"/>
  <c r="T530" i="6"/>
  <c r="V528" i="5"/>
  <c r="X529" i="6"/>
  <c r="W528" i="5"/>
  <c r="R529" i="5"/>
  <c r="U529" i="5"/>
  <c r="Q529" i="5"/>
  <c r="V529" i="6"/>
  <c r="R530" i="6"/>
  <c r="P529" i="5"/>
  <c r="Q530" i="6"/>
  <c r="P530" i="6"/>
  <c r="U530" i="6"/>
  <c r="W529" i="6"/>
  <c r="O532" i="6" l="1"/>
  <c r="O531" i="5"/>
  <c r="W530" i="6"/>
  <c r="U531" i="6"/>
  <c r="R531" i="6"/>
  <c r="U530" i="5"/>
  <c r="V529" i="5"/>
  <c r="Q530" i="5"/>
  <c r="S530" i="5"/>
  <c r="X530" i="6"/>
  <c r="Y532" i="6"/>
  <c r="W529" i="5"/>
  <c r="S531" i="6"/>
  <c r="T530" i="5"/>
  <c r="T531" i="6"/>
  <c r="X529" i="5"/>
  <c r="Q531" i="6"/>
  <c r="R530" i="5"/>
  <c r="V530" i="6"/>
  <c r="P530" i="5"/>
  <c r="P531" i="6"/>
  <c r="O533" i="6" l="1"/>
  <c r="O532" i="5"/>
  <c r="U532" i="6"/>
  <c r="S531" i="5"/>
  <c r="W530" i="5"/>
  <c r="Y533" i="6"/>
  <c r="Q531" i="5"/>
  <c r="U531" i="5"/>
  <c r="T532" i="6"/>
  <c r="R532" i="6"/>
  <c r="T531" i="5"/>
  <c r="Q532" i="6"/>
  <c r="P531" i="5"/>
  <c r="V531" i="6"/>
  <c r="W531" i="6"/>
  <c r="X531" i="6"/>
  <c r="P532" i="6"/>
  <c r="S532" i="6"/>
  <c r="V530" i="5"/>
  <c r="R531" i="5"/>
  <c r="X530" i="5"/>
  <c r="O534" i="6" l="1"/>
  <c r="O533" i="5"/>
  <c r="X532" i="6"/>
  <c r="R532" i="5"/>
  <c r="Q532" i="5"/>
  <c r="X531" i="5"/>
  <c r="W531" i="5"/>
  <c r="T532" i="5"/>
  <c r="U533" i="6"/>
  <c r="T533" i="6"/>
  <c r="R533" i="6"/>
  <c r="Y534" i="6"/>
  <c r="V532" i="6"/>
  <c r="S532" i="5"/>
  <c r="P533" i="6"/>
  <c r="W532" i="6"/>
  <c r="P532" i="5"/>
  <c r="S533" i="6"/>
  <c r="V533" i="6"/>
  <c r="U532" i="5"/>
  <c r="V531" i="5"/>
  <c r="Q533" i="6"/>
  <c r="O535" i="6" l="1"/>
  <c r="O534" i="5"/>
  <c r="U533" i="5"/>
  <c r="T534" i="6"/>
  <c r="Y535" i="6"/>
  <c r="X533" i="6"/>
  <c r="S533" i="5"/>
  <c r="R534" i="6"/>
  <c r="S534" i="6"/>
  <c r="U534" i="6"/>
  <c r="X532" i="5"/>
  <c r="T533" i="5"/>
  <c r="Q534" i="6"/>
  <c r="W533" i="6"/>
  <c r="Q533" i="5"/>
  <c r="V532" i="5"/>
  <c r="W532" i="5"/>
  <c r="R533" i="5"/>
  <c r="P534" i="6"/>
  <c r="P533" i="5"/>
  <c r="O536" i="6" l="1"/>
  <c r="O535" i="5"/>
  <c r="W534" i="6"/>
  <c r="V533" i="5"/>
  <c r="X533" i="5"/>
  <c r="U535" i="6"/>
  <c r="T534" i="5"/>
  <c r="W533" i="5"/>
  <c r="P535" i="6"/>
  <c r="V534" i="6"/>
  <c r="R535" i="6"/>
  <c r="U534" i="5"/>
  <c r="S535" i="6"/>
  <c r="R534" i="5"/>
  <c r="Q535" i="6"/>
  <c r="X534" i="6"/>
  <c r="S534" i="5"/>
  <c r="Y536" i="6"/>
  <c r="T535" i="6"/>
  <c r="P534" i="5"/>
  <c r="Q534" i="5"/>
  <c r="O537" i="6" l="1"/>
  <c r="O536" i="5"/>
  <c r="P536" i="6"/>
  <c r="Q535" i="5"/>
  <c r="T536" i="6"/>
  <c r="V535" i="6"/>
  <c r="T535" i="5"/>
  <c r="W534" i="5"/>
  <c r="X534" i="5"/>
  <c r="S535" i="5"/>
  <c r="Q536" i="6"/>
  <c r="R535" i="5"/>
  <c r="X535" i="6"/>
  <c r="W535" i="6"/>
  <c r="S536" i="6"/>
  <c r="U536" i="6"/>
  <c r="Y537" i="6"/>
  <c r="V534" i="5"/>
  <c r="R536" i="6"/>
  <c r="U535" i="5"/>
  <c r="P535" i="5"/>
  <c r="O538" i="6" l="1"/>
  <c r="O537" i="5"/>
  <c r="R536" i="5"/>
  <c r="V535" i="5"/>
  <c r="P537" i="6"/>
  <c r="X535" i="5"/>
  <c r="S536" i="5"/>
  <c r="Y538" i="6"/>
  <c r="X536" i="6"/>
  <c r="T537" i="6"/>
  <c r="W535" i="5"/>
  <c r="S537" i="6"/>
  <c r="V536" i="6"/>
  <c r="Q536" i="5"/>
  <c r="U537" i="6"/>
  <c r="P536" i="5"/>
  <c r="W536" i="6"/>
  <c r="R537" i="6"/>
  <c r="Q537" i="6"/>
  <c r="U536" i="5"/>
  <c r="T536" i="5"/>
  <c r="O539" i="6" l="1"/>
  <c r="O538" i="5"/>
  <c r="Q538" i="6"/>
  <c r="P537" i="5"/>
  <c r="S537" i="5"/>
  <c r="Q537" i="5"/>
  <c r="Y539" i="6"/>
  <c r="R537" i="5"/>
  <c r="S538" i="6"/>
  <c r="X537" i="6"/>
  <c r="T538" i="6"/>
  <c r="X536" i="5"/>
  <c r="V536" i="5"/>
  <c r="W536" i="5"/>
  <c r="U537" i="5"/>
  <c r="U538" i="6"/>
  <c r="R538" i="6"/>
  <c r="V537" i="6"/>
  <c r="W537" i="6"/>
  <c r="T537" i="5"/>
  <c r="P538" i="6"/>
  <c r="O540" i="6" l="1"/>
  <c r="O539" i="5"/>
  <c r="P539" i="6"/>
  <c r="R539" i="6"/>
  <c r="S539" i="6"/>
  <c r="V538" i="6"/>
  <c r="T539" i="6"/>
  <c r="P538" i="5"/>
  <c r="Q538" i="5"/>
  <c r="W537" i="5"/>
  <c r="Q539" i="6"/>
  <c r="R538" i="5"/>
  <c r="T538" i="5"/>
  <c r="X537" i="5"/>
  <c r="U539" i="6"/>
  <c r="X538" i="6"/>
  <c r="S538" i="5"/>
  <c r="W538" i="6"/>
  <c r="U538" i="5"/>
  <c r="V537" i="5"/>
  <c r="Y540" i="6"/>
  <c r="O541" i="6" l="1"/>
  <c r="O540" i="5"/>
  <c r="V538" i="5"/>
  <c r="P540" i="6"/>
  <c r="Q539" i="5"/>
  <c r="X538" i="5"/>
  <c r="V539" i="6"/>
  <c r="R539" i="5"/>
  <c r="Y541" i="6"/>
  <c r="U540" i="6"/>
  <c r="S539" i="5"/>
  <c r="X539" i="6"/>
  <c r="Q540" i="6"/>
  <c r="T540" i="6"/>
  <c r="W540" i="6"/>
  <c r="P539" i="5"/>
  <c r="T539" i="5"/>
  <c r="W538" i="5"/>
  <c r="U539" i="5"/>
  <c r="R540" i="6"/>
  <c r="S540" i="6"/>
  <c r="W539" i="6"/>
  <c r="O542" i="6" l="1"/>
  <c r="O541" i="5"/>
  <c r="P540" i="5"/>
  <c r="W539" i="5"/>
  <c r="V539" i="5"/>
  <c r="R540" i="5"/>
  <c r="T540" i="5"/>
  <c r="V540" i="6"/>
  <c r="U540" i="5"/>
  <c r="T541" i="6"/>
  <c r="X540" i="6"/>
  <c r="S541" i="6"/>
  <c r="S540" i="5"/>
  <c r="X539" i="5"/>
  <c r="Q541" i="6"/>
  <c r="Q540" i="5"/>
  <c r="P541" i="6"/>
  <c r="R541" i="6"/>
  <c r="Y542" i="6"/>
  <c r="U541" i="6"/>
  <c r="O543" i="6" l="1"/>
  <c r="O542" i="5"/>
  <c r="Q541" i="5"/>
  <c r="P542" i="6"/>
  <c r="P541" i="5"/>
  <c r="T542" i="6"/>
  <c r="W541" i="6"/>
  <c r="V541" i="6"/>
  <c r="U542" i="6"/>
  <c r="S541" i="5"/>
  <c r="Q542" i="6"/>
  <c r="W540" i="5"/>
  <c r="U541" i="5"/>
  <c r="V540" i="5"/>
  <c r="R542" i="6"/>
  <c r="T541" i="5"/>
  <c r="Y543" i="6"/>
  <c r="X540" i="5"/>
  <c r="X541" i="6"/>
  <c r="R541" i="5"/>
  <c r="S542" i="6"/>
  <c r="O544" i="6" l="1"/>
  <c r="O543" i="5"/>
  <c r="P543" i="6"/>
  <c r="W542" i="6"/>
  <c r="S542" i="5"/>
  <c r="Q542" i="5"/>
  <c r="P542" i="5"/>
  <c r="U542" i="5"/>
  <c r="U543" i="6"/>
  <c r="W541" i="5"/>
  <c r="V542" i="6"/>
  <c r="R543" i="6"/>
  <c r="X542" i="6"/>
  <c r="Q543" i="6"/>
  <c r="V541" i="5"/>
  <c r="R542" i="5"/>
  <c r="X541" i="5"/>
  <c r="S543" i="6"/>
  <c r="Y544" i="6"/>
  <c r="T542" i="5"/>
  <c r="T543" i="6"/>
  <c r="O545" i="6" l="1"/>
  <c r="O544" i="5"/>
  <c r="X543" i="6"/>
  <c r="P543" i="5"/>
  <c r="X542" i="5"/>
  <c r="U544" i="6"/>
  <c r="S543" i="5"/>
  <c r="R543" i="5"/>
  <c r="V542" i="5"/>
  <c r="Y545" i="6"/>
  <c r="W543" i="6"/>
  <c r="U543" i="5"/>
  <c r="Q543" i="5"/>
  <c r="R544" i="6"/>
  <c r="V543" i="6"/>
  <c r="T544" i="6"/>
  <c r="W542" i="5"/>
  <c r="T543" i="5"/>
  <c r="P544" i="6"/>
  <c r="S544" i="6"/>
  <c r="Q544" i="6"/>
  <c r="O546" i="6" l="1"/>
  <c r="O545" i="5"/>
  <c r="S545" i="6"/>
  <c r="Q545" i="6"/>
  <c r="V543" i="5"/>
  <c r="R544" i="5"/>
  <c r="P544" i="5"/>
  <c r="P545" i="6"/>
  <c r="U545" i="6"/>
  <c r="T544" i="5"/>
  <c r="S544" i="5"/>
  <c r="X544" i="6"/>
  <c r="X543" i="5"/>
  <c r="W544" i="6"/>
  <c r="Q544" i="5"/>
  <c r="W543" i="5"/>
  <c r="V544" i="6"/>
  <c r="R545" i="6"/>
  <c r="Y546" i="6"/>
  <c r="U544" i="5"/>
  <c r="T545" i="6"/>
  <c r="O547" i="6" l="1"/>
  <c r="O546" i="5"/>
  <c r="T546" i="6"/>
  <c r="R546" i="6"/>
  <c r="R545" i="5"/>
  <c r="X544" i="5"/>
  <c r="Y547" i="6"/>
  <c r="W544" i="5"/>
  <c r="W545" i="6"/>
  <c r="U546" i="6"/>
  <c r="P545" i="5"/>
  <c r="T545" i="5"/>
  <c r="S546" i="6"/>
  <c r="P546" i="6"/>
  <c r="V545" i="6"/>
  <c r="S545" i="5"/>
  <c r="Q545" i="5"/>
  <c r="V544" i="5"/>
  <c r="X545" i="6"/>
  <c r="U545" i="5"/>
  <c r="Q546" i="6"/>
  <c r="O548" i="6" l="1"/>
  <c r="O547" i="5"/>
  <c r="X546" i="6"/>
  <c r="P546" i="5"/>
  <c r="S546" i="5"/>
  <c r="U547" i="6"/>
  <c r="T546" i="5"/>
  <c r="W546" i="6"/>
  <c r="T547" i="6"/>
  <c r="R546" i="5"/>
  <c r="X545" i="5"/>
  <c r="V545" i="5"/>
  <c r="U546" i="5"/>
  <c r="W545" i="5"/>
  <c r="R547" i="6"/>
  <c r="Q547" i="6"/>
  <c r="P547" i="6"/>
  <c r="V546" i="6"/>
  <c r="S547" i="6"/>
  <c r="Y548" i="6"/>
  <c r="Q546" i="5"/>
  <c r="O549" i="6" l="1"/>
  <c r="O548" i="5"/>
  <c r="V547" i="6"/>
  <c r="R547" i="5"/>
  <c r="W546" i="5"/>
  <c r="U548" i="6"/>
  <c r="X547" i="6"/>
  <c r="Q547" i="5"/>
  <c r="P548" i="6"/>
  <c r="W547" i="6"/>
  <c r="Q548" i="6"/>
  <c r="P547" i="5"/>
  <c r="R548" i="6"/>
  <c r="T548" i="6"/>
  <c r="X546" i="5"/>
  <c r="T547" i="5"/>
  <c r="S548" i="6"/>
  <c r="U547" i="5"/>
  <c r="V546" i="5"/>
  <c r="S547" i="5"/>
  <c r="Y549" i="6"/>
  <c r="O550" i="6" l="1"/>
  <c r="O549" i="5"/>
  <c r="Q548" i="5"/>
  <c r="W547" i="5"/>
  <c r="R548" i="5"/>
  <c r="W548" i="6"/>
  <c r="S549" i="6"/>
  <c r="X547" i="5"/>
  <c r="Q549" i="6"/>
  <c r="T548" i="5"/>
  <c r="P549" i="6"/>
  <c r="V548" i="6"/>
  <c r="U548" i="5"/>
  <c r="U549" i="6"/>
  <c r="X548" i="6"/>
  <c r="V547" i="5"/>
  <c r="S548" i="5"/>
  <c r="Y550" i="6"/>
  <c r="R549" i="6"/>
  <c r="P548" i="5"/>
  <c r="T549" i="6"/>
  <c r="O551" i="6" l="1"/>
  <c r="O550" i="5"/>
  <c r="X549" i="6"/>
  <c r="Q549" i="5"/>
  <c r="Q550" i="6"/>
  <c r="S550" i="6"/>
  <c r="Y551" i="6"/>
  <c r="R550" i="6"/>
  <c r="R549" i="5"/>
  <c r="W548" i="5"/>
  <c r="U549" i="5"/>
  <c r="P550" i="6"/>
  <c r="V549" i="6"/>
  <c r="T549" i="5"/>
  <c r="P549" i="5"/>
  <c r="X548" i="5"/>
  <c r="U550" i="6"/>
  <c r="V548" i="5"/>
  <c r="S549" i="5"/>
  <c r="T550" i="6"/>
  <c r="W549" i="6"/>
  <c r="O552" i="6" l="1"/>
  <c r="O551" i="5"/>
  <c r="S551" i="6"/>
  <c r="R551" i="6"/>
  <c r="W549" i="5"/>
  <c r="V549" i="5"/>
  <c r="R550" i="5"/>
  <c r="Q550" i="5"/>
  <c r="X550" i="6"/>
  <c r="X549" i="5"/>
  <c r="P550" i="5"/>
  <c r="U551" i="6"/>
  <c r="Y552" i="6"/>
  <c r="P551" i="6"/>
  <c r="V550" i="6"/>
  <c r="Q551" i="6"/>
  <c r="U550" i="5"/>
  <c r="S550" i="5"/>
  <c r="T550" i="5"/>
  <c r="T551" i="6"/>
  <c r="W550" i="6"/>
  <c r="O553" i="6" l="1"/>
  <c r="O552" i="5"/>
  <c r="Q552" i="6"/>
  <c r="X550" i="5"/>
  <c r="V550" i="5"/>
  <c r="X551" i="6"/>
  <c r="Y553" i="6"/>
  <c r="U551" i="5"/>
  <c r="W551" i="6"/>
  <c r="S551" i="5"/>
  <c r="W550" i="5"/>
  <c r="T551" i="5"/>
  <c r="V551" i="6"/>
  <c r="U552" i="6"/>
  <c r="R551" i="5"/>
  <c r="P551" i="5"/>
  <c r="S552" i="6"/>
  <c r="Q551" i="5"/>
  <c r="P552" i="6"/>
  <c r="R552" i="6"/>
  <c r="T552" i="6"/>
  <c r="O554" i="6" l="1"/>
  <c r="O553" i="5"/>
  <c r="W552" i="6"/>
  <c r="X551" i="5"/>
  <c r="Q553" i="6"/>
  <c r="X552" i="6"/>
  <c r="R553" i="6"/>
  <c r="T552" i="5"/>
  <c r="S553" i="6"/>
  <c r="T553" i="6"/>
  <c r="Y554" i="6"/>
  <c r="V551" i="5"/>
  <c r="V552" i="6"/>
  <c r="W551" i="5"/>
  <c r="U553" i="6"/>
  <c r="Q552" i="5"/>
  <c r="S552" i="5"/>
  <c r="U552" i="5"/>
  <c r="P552" i="5"/>
  <c r="R552" i="5"/>
  <c r="P553" i="6"/>
  <c r="O555" i="6" l="1"/>
  <c r="O554" i="5"/>
  <c r="R554" i="6"/>
  <c r="Y555" i="6"/>
  <c r="Q553" i="5"/>
  <c r="P554" i="6"/>
  <c r="S553" i="5"/>
  <c r="X553" i="6"/>
  <c r="Q554" i="6"/>
  <c r="T553" i="5"/>
  <c r="T554" i="6"/>
  <c r="U553" i="5"/>
  <c r="W553" i="6"/>
  <c r="V552" i="5"/>
  <c r="R553" i="5"/>
  <c r="U554" i="6"/>
  <c r="X552" i="5"/>
  <c r="V553" i="6"/>
  <c r="W552" i="5"/>
  <c r="P553" i="5"/>
  <c r="S554" i="6"/>
  <c r="O556" i="6" l="1"/>
  <c r="O555" i="5"/>
  <c r="Y556" i="6"/>
  <c r="W553" i="5"/>
  <c r="P554" i="5"/>
  <c r="X553" i="5"/>
  <c r="T554" i="5"/>
  <c r="U555" i="6"/>
  <c r="U554" i="5"/>
  <c r="V553" i="5"/>
  <c r="Q555" i="6"/>
  <c r="R555" i="6"/>
  <c r="S554" i="5"/>
  <c r="Q554" i="5"/>
  <c r="R554" i="5"/>
  <c r="T555" i="6"/>
  <c r="W554" i="6"/>
  <c r="X554" i="6"/>
  <c r="V554" i="6"/>
  <c r="P555" i="6"/>
  <c r="V555" i="6" s="1"/>
  <c r="S555" i="6"/>
  <c r="O557" i="6" l="1"/>
  <c r="O556" i="5"/>
  <c r="R556" i="6"/>
  <c r="Q555" i="5"/>
  <c r="P555" i="5"/>
  <c r="U556" i="6"/>
  <c r="T555" i="5"/>
  <c r="W555" i="6"/>
  <c r="X554" i="5"/>
  <c r="P556" i="6"/>
  <c r="U555" i="5"/>
  <c r="R555" i="5"/>
  <c r="Q556" i="6"/>
  <c r="T556" i="6"/>
  <c r="X555" i="6"/>
  <c r="S556" i="6"/>
  <c r="S555" i="5"/>
  <c r="Y557" i="6"/>
  <c r="W554" i="5"/>
  <c r="V554" i="5"/>
  <c r="O558" i="6" l="1"/>
  <c r="O557" i="5"/>
  <c r="R556" i="5"/>
  <c r="X556" i="6"/>
  <c r="V555" i="5"/>
  <c r="X555" i="5"/>
  <c r="T557" i="6"/>
  <c r="R557" i="6"/>
  <c r="T556" i="5"/>
  <c r="V556" i="6"/>
  <c r="Y558" i="6"/>
  <c r="U557" i="6"/>
  <c r="W556" i="6"/>
  <c r="W555" i="5"/>
  <c r="Q557" i="6"/>
  <c r="P557" i="6"/>
  <c r="Q556" i="5"/>
  <c r="S557" i="6"/>
  <c r="P556" i="5"/>
  <c r="S556" i="5"/>
  <c r="U556" i="5"/>
  <c r="O559" i="6" l="1"/>
  <c r="O558" i="5"/>
  <c r="Q558" i="6"/>
  <c r="V557" i="6"/>
  <c r="Y559" i="6"/>
  <c r="R557" i="5"/>
  <c r="W557" i="6"/>
  <c r="P557" i="5"/>
  <c r="T558" i="6"/>
  <c r="U558" i="6"/>
  <c r="U557" i="5"/>
  <c r="S557" i="5"/>
  <c r="X557" i="6"/>
  <c r="P558" i="6"/>
  <c r="S558" i="6"/>
  <c r="Q557" i="5"/>
  <c r="V556" i="5"/>
  <c r="T557" i="5"/>
  <c r="W556" i="5"/>
  <c r="X556" i="5"/>
  <c r="R558" i="6"/>
  <c r="O560" i="6" l="1"/>
  <c r="O559" i="5"/>
  <c r="V558" i="6"/>
  <c r="T558" i="5"/>
  <c r="R558" i="5"/>
  <c r="U559" i="6"/>
  <c r="S559" i="6"/>
  <c r="U558" i="5"/>
  <c r="Q558" i="5"/>
  <c r="X557" i="5"/>
  <c r="R559" i="6"/>
  <c r="X558" i="6"/>
  <c r="Y560" i="6"/>
  <c r="Q559" i="6"/>
  <c r="P558" i="5"/>
  <c r="W557" i="5"/>
  <c r="W558" i="6"/>
  <c r="P559" i="6"/>
  <c r="S558" i="5"/>
  <c r="V557" i="5"/>
  <c r="T559" i="6"/>
  <c r="O561" i="6" l="1"/>
  <c r="O560" i="5"/>
  <c r="Q559" i="5"/>
  <c r="U560" i="6"/>
  <c r="X559" i="6"/>
  <c r="Y561" i="6"/>
  <c r="P559" i="5"/>
  <c r="V559" i="6"/>
  <c r="S560" i="6"/>
  <c r="W559" i="6"/>
  <c r="T560" i="6"/>
  <c r="U559" i="5"/>
  <c r="V558" i="5"/>
  <c r="S559" i="5"/>
  <c r="T559" i="5"/>
  <c r="R559" i="5"/>
  <c r="R560" i="6"/>
  <c r="P560" i="6"/>
  <c r="Q560" i="6"/>
  <c r="V560" i="6"/>
  <c r="W558" i="5"/>
  <c r="X558" i="5"/>
  <c r="O562" i="6" l="1"/>
  <c r="O561" i="5"/>
  <c r="U561" i="6"/>
  <c r="R561" i="6"/>
  <c r="R560" i="5"/>
  <c r="T561" i="6"/>
  <c r="P561" i="6"/>
  <c r="Y562" i="6"/>
  <c r="P560" i="5"/>
  <c r="Q560" i="5"/>
  <c r="W560" i="6"/>
  <c r="U560" i="5"/>
  <c r="W559" i="5"/>
  <c r="V559" i="5"/>
  <c r="X559" i="5"/>
  <c r="S560" i="5"/>
  <c r="T560" i="5"/>
  <c r="Q561" i="6"/>
  <c r="S561" i="6"/>
  <c r="X560" i="6"/>
  <c r="O563" i="6" l="1"/>
  <c r="O562" i="5"/>
  <c r="V560" i="5"/>
  <c r="U561" i="5"/>
  <c r="T561" i="5"/>
  <c r="X560" i="5"/>
  <c r="S562" i="6"/>
  <c r="Q561" i="5"/>
  <c r="W561" i="6"/>
  <c r="T562" i="6"/>
  <c r="Y563" i="6"/>
  <c r="S561" i="5"/>
  <c r="V561" i="6"/>
  <c r="P562" i="6"/>
  <c r="Q562" i="6"/>
  <c r="U562" i="6"/>
  <c r="X561" i="6"/>
  <c r="W560" i="5"/>
  <c r="R561" i="5"/>
  <c r="R562" i="6"/>
  <c r="P561" i="5"/>
  <c r="O564" i="6" l="1"/>
  <c r="O563" i="5"/>
  <c r="U563" i="6"/>
  <c r="V561" i="5"/>
  <c r="Q562" i="5"/>
  <c r="W562" i="6"/>
  <c r="X562" i="6"/>
  <c r="P562" i="5"/>
  <c r="S562" i="5"/>
  <c r="R562" i="5"/>
  <c r="T563" i="6"/>
  <c r="P563" i="6"/>
  <c r="W561" i="5"/>
  <c r="X561" i="5"/>
  <c r="S563" i="6"/>
  <c r="Q563" i="6"/>
  <c r="R563" i="6"/>
  <c r="Y564" i="6"/>
  <c r="V562" i="6"/>
  <c r="T562" i="5"/>
  <c r="U562" i="5"/>
  <c r="O565" i="6" l="1"/>
  <c r="O564" i="5"/>
  <c r="S564" i="6"/>
  <c r="P563" i="5"/>
  <c r="T563" i="5"/>
  <c r="Q564" i="6"/>
  <c r="U564" i="6"/>
  <c r="P564" i="6"/>
  <c r="S563" i="5"/>
  <c r="R563" i="5"/>
  <c r="T564" i="6"/>
  <c r="V563" i="6"/>
  <c r="X563" i="6"/>
  <c r="V562" i="5"/>
  <c r="Y565" i="6"/>
  <c r="R564" i="6"/>
  <c r="X562" i="5"/>
  <c r="W563" i="6"/>
  <c r="U563" i="5"/>
  <c r="Q563" i="5"/>
  <c r="W562" i="5"/>
  <c r="O566" i="6" l="1"/>
  <c r="O565" i="5"/>
  <c r="V564" i="6"/>
  <c r="S564" i="5"/>
  <c r="S565" i="6"/>
  <c r="P565" i="6"/>
  <c r="X564" i="6"/>
  <c r="Y566" i="6"/>
  <c r="T565" i="6"/>
  <c r="W563" i="5"/>
  <c r="R565" i="6"/>
  <c r="V563" i="5"/>
  <c r="X563" i="5"/>
  <c r="R564" i="5"/>
  <c r="U564" i="5"/>
  <c r="Q565" i="6"/>
  <c r="W564" i="6"/>
  <c r="T564" i="5"/>
  <c r="P564" i="5"/>
  <c r="U565" i="6"/>
  <c r="Q564" i="5"/>
  <c r="O567" i="6" l="1"/>
  <c r="O566" i="5"/>
  <c r="U566" i="6"/>
  <c r="U565" i="5"/>
  <c r="P566" i="6"/>
  <c r="V565" i="6"/>
  <c r="X565" i="6"/>
  <c r="T566" i="6"/>
  <c r="T565" i="5"/>
  <c r="Q566" i="6"/>
  <c r="W564" i="5"/>
  <c r="Y567" i="6"/>
  <c r="W565" i="6"/>
  <c r="X564" i="5"/>
  <c r="V564" i="5"/>
  <c r="S566" i="6"/>
  <c r="Q565" i="5"/>
  <c r="P565" i="5"/>
  <c r="S565" i="5"/>
  <c r="R565" i="5"/>
  <c r="R566" i="6"/>
  <c r="O568" i="6" l="1"/>
  <c r="O567" i="5"/>
  <c r="T567" i="6"/>
  <c r="S566" i="5"/>
  <c r="R566" i="5"/>
  <c r="W565" i="5"/>
  <c r="V566" i="6"/>
  <c r="R567" i="6"/>
  <c r="W566" i="6"/>
  <c r="U567" i="6"/>
  <c r="P567" i="6"/>
  <c r="Q566" i="5"/>
  <c r="V565" i="5"/>
  <c r="P566" i="5"/>
  <c r="U566" i="5"/>
  <c r="Y568" i="6"/>
  <c r="S567" i="6"/>
  <c r="Q567" i="6"/>
  <c r="X565" i="5"/>
  <c r="T566" i="5"/>
  <c r="X566" i="6"/>
  <c r="O569" i="6" l="1"/>
  <c r="O568" i="5"/>
  <c r="P567" i="5"/>
  <c r="U567" i="5"/>
  <c r="P568" i="6"/>
  <c r="T568" i="6"/>
  <c r="Q567" i="5"/>
  <c r="S567" i="5"/>
  <c r="W567" i="6"/>
  <c r="Y569" i="6"/>
  <c r="R568" i="6"/>
  <c r="R567" i="5"/>
  <c r="Q568" i="6"/>
  <c r="X567" i="6"/>
  <c r="X566" i="5"/>
  <c r="S568" i="6"/>
  <c r="W566" i="5"/>
  <c r="V566" i="5"/>
  <c r="V567" i="6"/>
  <c r="U568" i="6"/>
  <c r="T567" i="5"/>
  <c r="O570" i="6" l="1"/>
  <c r="O569" i="5"/>
  <c r="S569" i="6"/>
  <c r="U568" i="5"/>
  <c r="W568" i="6"/>
  <c r="U569" i="6"/>
  <c r="X567" i="5"/>
  <c r="X568" i="6"/>
  <c r="R568" i="5"/>
  <c r="Y570" i="6"/>
  <c r="Q569" i="6"/>
  <c r="P569" i="6"/>
  <c r="T569" i="6"/>
  <c r="V568" i="6"/>
  <c r="Q568" i="5"/>
  <c r="V567" i="5"/>
  <c r="T568" i="5"/>
  <c r="W567" i="5"/>
  <c r="P568" i="5"/>
  <c r="S568" i="5"/>
  <c r="R569" i="6"/>
  <c r="O571" i="6" l="1"/>
  <c r="O570" i="5"/>
  <c r="W569" i="6"/>
  <c r="R570" i="6"/>
  <c r="Y571" i="6"/>
  <c r="W568" i="5"/>
  <c r="P569" i="5"/>
  <c r="S570" i="6"/>
  <c r="U569" i="5"/>
  <c r="Q570" i="6"/>
  <c r="T570" i="6"/>
  <c r="T569" i="5"/>
  <c r="U570" i="6"/>
  <c r="V569" i="6"/>
  <c r="P570" i="6"/>
  <c r="X568" i="5"/>
  <c r="Q569" i="5"/>
  <c r="S569" i="5"/>
  <c r="X569" i="6"/>
  <c r="R569" i="5"/>
  <c r="V568" i="5"/>
  <c r="O572" i="6" l="1"/>
  <c r="O571" i="5"/>
  <c r="Q570" i="5"/>
  <c r="W569" i="5"/>
  <c r="R571" i="6"/>
  <c r="S571" i="6"/>
  <c r="V570" i="6"/>
  <c r="X569" i="5"/>
  <c r="Y572" i="6"/>
  <c r="V569" i="5"/>
  <c r="T571" i="6"/>
  <c r="S570" i="5"/>
  <c r="P571" i="6"/>
  <c r="P570" i="5"/>
  <c r="U570" i="5"/>
  <c r="R570" i="5"/>
  <c r="Q571" i="6"/>
  <c r="W570" i="6"/>
  <c r="T570" i="5"/>
  <c r="X570" i="6"/>
  <c r="U571" i="6"/>
  <c r="O573" i="6" l="1"/>
  <c r="O572" i="5"/>
  <c r="U572" i="6"/>
  <c r="P571" i="5"/>
  <c r="S571" i="5"/>
  <c r="V570" i="5"/>
  <c r="W571" i="6"/>
  <c r="Q571" i="5"/>
  <c r="R572" i="6"/>
  <c r="U571" i="5"/>
  <c r="R571" i="5"/>
  <c r="V571" i="6"/>
  <c r="W570" i="5"/>
  <c r="S572" i="6"/>
  <c r="P572" i="6"/>
  <c r="X570" i="5"/>
  <c r="Q572" i="6"/>
  <c r="Y573" i="6"/>
  <c r="T571" i="5"/>
  <c r="X571" i="6"/>
  <c r="T572" i="6"/>
  <c r="O574" i="6" l="1"/>
  <c r="O573" i="5"/>
  <c r="R573" i="6"/>
  <c r="P573" i="6"/>
  <c r="T572" i="5"/>
  <c r="S573" i="6"/>
  <c r="Y574" i="6"/>
  <c r="V571" i="5"/>
  <c r="W571" i="5"/>
  <c r="U573" i="6"/>
  <c r="Q573" i="6"/>
  <c r="R572" i="5"/>
  <c r="X571" i="5"/>
  <c r="W572" i="6"/>
  <c r="V572" i="6"/>
  <c r="U572" i="5"/>
  <c r="T573" i="6"/>
  <c r="X572" i="6"/>
  <c r="S572" i="5"/>
  <c r="P572" i="5"/>
  <c r="Q572" i="5"/>
  <c r="O575" i="6" l="1"/>
  <c r="O574" i="5"/>
  <c r="V573" i="6"/>
  <c r="P574" i="6"/>
  <c r="T573" i="5"/>
  <c r="X572" i="5"/>
  <c r="X573" i="6"/>
  <c r="P573" i="5"/>
  <c r="Q573" i="5"/>
  <c r="U573" i="5"/>
  <c r="R573" i="5"/>
  <c r="Y575" i="6"/>
  <c r="V572" i="5"/>
  <c r="S574" i="6"/>
  <c r="R574" i="6"/>
  <c r="W572" i="5"/>
  <c r="Q574" i="6"/>
  <c r="T574" i="6"/>
  <c r="S573" i="5"/>
  <c r="U574" i="6"/>
  <c r="W573" i="6"/>
  <c r="O576" i="6" l="1"/>
  <c r="O575" i="5"/>
  <c r="W574" i="6"/>
  <c r="S574" i="5"/>
  <c r="S575" i="6"/>
  <c r="V574" i="6"/>
  <c r="R575" i="6"/>
  <c r="X574" i="6"/>
  <c r="X573" i="5"/>
  <c r="U575" i="6"/>
  <c r="P575" i="6"/>
  <c r="W573" i="5"/>
  <c r="P574" i="5"/>
  <c r="Y576" i="6"/>
  <c r="Q574" i="5"/>
  <c r="R574" i="5"/>
  <c r="Q575" i="6"/>
  <c r="U574" i="5"/>
  <c r="T575" i="6"/>
  <c r="T574" i="5"/>
  <c r="V573" i="5"/>
  <c r="O577" i="6" l="1"/>
  <c r="O576" i="5"/>
  <c r="W575" i="6"/>
  <c r="P576" i="6"/>
  <c r="P575" i="5"/>
  <c r="R576" i="6"/>
  <c r="T575" i="5"/>
  <c r="S576" i="6"/>
  <c r="R575" i="5"/>
  <c r="V574" i="5"/>
  <c r="X574" i="5"/>
  <c r="W574" i="5"/>
  <c r="T576" i="6"/>
  <c r="V575" i="6"/>
  <c r="Y577" i="6"/>
  <c r="Q576" i="6"/>
  <c r="W576" i="6" s="1"/>
  <c r="Q575" i="5"/>
  <c r="S575" i="5"/>
  <c r="U576" i="6"/>
  <c r="X575" i="6"/>
  <c r="U575" i="5"/>
  <c r="O578" i="6" l="1"/>
  <c r="O577" i="5"/>
  <c r="Q576" i="5"/>
  <c r="T577" i="6"/>
  <c r="V576" i="6"/>
  <c r="X575" i="5"/>
  <c r="W575" i="5"/>
  <c r="Q577" i="6"/>
  <c r="S577" i="6"/>
  <c r="P576" i="5"/>
  <c r="X576" i="6"/>
  <c r="U577" i="6"/>
  <c r="Y578" i="6"/>
  <c r="S576" i="5"/>
  <c r="T576" i="5"/>
  <c r="P577" i="6"/>
  <c r="R576" i="5"/>
  <c r="V575" i="5"/>
  <c r="R577" i="6"/>
  <c r="X577" i="6" s="1"/>
  <c r="U576" i="5"/>
  <c r="O579" i="6" l="1"/>
  <c r="O578" i="5"/>
  <c r="W577" i="6"/>
  <c r="T578" i="6"/>
  <c r="S578" i="6"/>
  <c r="U577" i="5"/>
  <c r="P578" i="6"/>
  <c r="Y579" i="6"/>
  <c r="V577" i="6"/>
  <c r="T577" i="5"/>
  <c r="Q578" i="6"/>
  <c r="X576" i="5"/>
  <c r="U578" i="6"/>
  <c r="W576" i="5"/>
  <c r="P577" i="5"/>
  <c r="R577" i="5"/>
  <c r="R578" i="6"/>
  <c r="Q577" i="5"/>
  <c r="V576" i="5"/>
  <c r="S577" i="5"/>
  <c r="O580" i="6" l="1"/>
  <c r="O579" i="5"/>
  <c r="X578" i="6"/>
  <c r="Y580" i="6"/>
  <c r="R579" i="6"/>
  <c r="R578" i="5"/>
  <c r="W578" i="6"/>
  <c r="X577" i="5"/>
  <c r="Q579" i="6"/>
  <c r="S579" i="6"/>
  <c r="P579" i="6"/>
  <c r="S578" i="5"/>
  <c r="U579" i="6"/>
  <c r="P578" i="5"/>
  <c r="V578" i="6"/>
  <c r="U578" i="5"/>
  <c r="T578" i="5"/>
  <c r="Q578" i="5"/>
  <c r="W577" i="5"/>
  <c r="V577" i="5"/>
  <c r="T579" i="6"/>
  <c r="O581" i="6" l="1"/>
  <c r="O580" i="5"/>
  <c r="T579" i="5"/>
  <c r="S580" i="6"/>
  <c r="T580" i="6"/>
  <c r="P580" i="6"/>
  <c r="P579" i="5"/>
  <c r="Y581" i="6"/>
  <c r="W578" i="5"/>
  <c r="Q579" i="5"/>
  <c r="U579" i="5"/>
  <c r="R580" i="6"/>
  <c r="R579" i="5"/>
  <c r="V579" i="6"/>
  <c r="W579" i="6"/>
  <c r="X579" i="6"/>
  <c r="Q580" i="6"/>
  <c r="S579" i="5"/>
  <c r="U580" i="6"/>
  <c r="X578" i="5"/>
  <c r="V578" i="5"/>
  <c r="O582" i="6" l="1"/>
  <c r="O581" i="5"/>
  <c r="U580" i="5"/>
  <c r="T580" i="5"/>
  <c r="X579" i="5"/>
  <c r="W579" i="5"/>
  <c r="Q580" i="5"/>
  <c r="Q581" i="6"/>
  <c r="R581" i="6"/>
  <c r="S580" i="5"/>
  <c r="X580" i="6"/>
  <c r="V580" i="6"/>
  <c r="P581" i="6"/>
  <c r="S581" i="6"/>
  <c r="U581" i="6"/>
  <c r="R580" i="5"/>
  <c r="W580" i="6"/>
  <c r="V579" i="5"/>
  <c r="T581" i="6"/>
  <c r="Y582" i="6"/>
  <c r="P580" i="5"/>
  <c r="O583" i="6" l="1"/>
  <c r="O582" i="5"/>
  <c r="W581" i="6"/>
  <c r="X581" i="6"/>
  <c r="P581" i="5"/>
  <c r="U581" i="5"/>
  <c r="R582" i="6"/>
  <c r="V580" i="5"/>
  <c r="Y583" i="6"/>
  <c r="S582" i="6"/>
  <c r="P582" i="6"/>
  <c r="Q581" i="5"/>
  <c r="W580" i="5"/>
  <c r="T582" i="6"/>
  <c r="X580" i="5"/>
  <c r="T581" i="5"/>
  <c r="S581" i="5"/>
  <c r="U582" i="6"/>
  <c r="Q582" i="6"/>
  <c r="V581" i="6"/>
  <c r="R581" i="5"/>
  <c r="O584" i="6" l="1"/>
  <c r="O583" i="5"/>
  <c r="U583" i="6"/>
  <c r="W582" i="6"/>
  <c r="W581" i="5"/>
  <c r="Y584" i="6"/>
  <c r="P582" i="5"/>
  <c r="V582" i="6"/>
  <c r="R582" i="5"/>
  <c r="R583" i="6"/>
  <c r="P583" i="6"/>
  <c r="S583" i="6"/>
  <c r="V581" i="5"/>
  <c r="X582" i="6"/>
  <c r="X581" i="5"/>
  <c r="T583" i="6"/>
  <c r="Q582" i="5"/>
  <c r="S582" i="5"/>
  <c r="U582" i="5"/>
  <c r="Q583" i="6"/>
  <c r="T582" i="5"/>
  <c r="O585" i="6" l="1"/>
  <c r="O584" i="5"/>
  <c r="W583" i="6"/>
  <c r="T583" i="5"/>
  <c r="U583" i="5"/>
  <c r="T584" i="6"/>
  <c r="V583" i="6"/>
  <c r="X582" i="5"/>
  <c r="S583" i="5"/>
  <c r="R583" i="5"/>
  <c r="P583" i="5"/>
  <c r="X583" i="6"/>
  <c r="Q583" i="5"/>
  <c r="V582" i="5"/>
  <c r="Q584" i="6"/>
  <c r="W584" i="6" s="1"/>
  <c r="P584" i="6"/>
  <c r="U584" i="6"/>
  <c r="R584" i="6"/>
  <c r="Y585" i="6"/>
  <c r="W582" i="5"/>
  <c r="S584" i="6"/>
  <c r="O586" i="6" l="1"/>
  <c r="O585" i="5"/>
  <c r="V584" i="6"/>
  <c r="V583" i="5"/>
  <c r="T585" i="6"/>
  <c r="U584" i="5"/>
  <c r="R584" i="5"/>
  <c r="Y586" i="6"/>
  <c r="P585" i="6"/>
  <c r="X584" i="6"/>
  <c r="Q584" i="5"/>
  <c r="R585" i="6"/>
  <c r="P584" i="5"/>
  <c r="S585" i="6"/>
  <c r="T584" i="5"/>
  <c r="Q585" i="6"/>
  <c r="U585" i="6"/>
  <c r="X583" i="5"/>
  <c r="S584" i="5"/>
  <c r="W583" i="5"/>
  <c r="O587" i="6" l="1"/>
  <c r="O586" i="5"/>
  <c r="R585" i="5"/>
  <c r="P585" i="5"/>
  <c r="Y587" i="6"/>
  <c r="V585" i="6"/>
  <c r="W584" i="5"/>
  <c r="Q585" i="5"/>
  <c r="T586" i="6"/>
  <c r="W585" i="6"/>
  <c r="S586" i="6"/>
  <c r="Q586" i="6"/>
  <c r="X585" i="6"/>
  <c r="U585" i="5"/>
  <c r="R586" i="6"/>
  <c r="U586" i="6"/>
  <c r="V584" i="5"/>
  <c r="X584" i="5"/>
  <c r="P586" i="6"/>
  <c r="S585" i="5"/>
  <c r="T585" i="5"/>
  <c r="O588" i="6" l="1"/>
  <c r="O587" i="5"/>
  <c r="T587" i="6"/>
  <c r="X586" i="6"/>
  <c r="S587" i="6"/>
  <c r="T586" i="5"/>
  <c r="V585" i="5"/>
  <c r="R586" i="5"/>
  <c r="P587" i="6"/>
  <c r="W586" i="6"/>
  <c r="W585" i="5"/>
  <c r="S586" i="5"/>
  <c r="Q586" i="5"/>
  <c r="V586" i="6"/>
  <c r="X585" i="5"/>
  <c r="R587" i="6"/>
  <c r="U587" i="6"/>
  <c r="U586" i="5"/>
  <c r="P586" i="5"/>
  <c r="Y588" i="6"/>
  <c r="Q587" i="6"/>
  <c r="O589" i="6" l="1"/>
  <c r="O588" i="5"/>
  <c r="X586" i="5"/>
  <c r="T588" i="6"/>
  <c r="T587" i="5"/>
  <c r="Q587" i="5"/>
  <c r="R587" i="5"/>
  <c r="R588" i="6"/>
  <c r="V586" i="5"/>
  <c r="W587" i="6"/>
  <c r="U587" i="5"/>
  <c r="U588" i="6"/>
  <c r="S587" i="5"/>
  <c r="W586" i="5"/>
  <c r="X587" i="6"/>
  <c r="S588" i="6"/>
  <c r="P587" i="5"/>
  <c r="P588" i="6"/>
  <c r="Y589" i="6"/>
  <c r="V587" i="6"/>
  <c r="Q588" i="6"/>
  <c r="O590" i="6" l="1"/>
  <c r="O589" i="5"/>
  <c r="X588" i="6"/>
  <c r="P589" i="6"/>
  <c r="P588" i="5"/>
  <c r="R589" i="6"/>
  <c r="V587" i="5"/>
  <c r="V588" i="6"/>
  <c r="W587" i="5"/>
  <c r="Q588" i="5"/>
  <c r="T589" i="6"/>
  <c r="Q589" i="6"/>
  <c r="U588" i="5"/>
  <c r="T588" i="5"/>
  <c r="U589" i="6"/>
  <c r="S589" i="6"/>
  <c r="W588" i="6"/>
  <c r="X587" i="5"/>
  <c r="Y590" i="6"/>
  <c r="S588" i="5"/>
  <c r="R588" i="5"/>
  <c r="O591" i="6" l="1"/>
  <c r="O590" i="5"/>
  <c r="W589" i="6"/>
  <c r="S589" i="5"/>
  <c r="W588" i="5"/>
  <c r="P590" i="6"/>
  <c r="X588" i="5"/>
  <c r="S590" i="6"/>
  <c r="Y591" i="6"/>
  <c r="R589" i="5"/>
  <c r="Q590" i="6"/>
  <c r="T590" i="6"/>
  <c r="V588" i="5"/>
  <c r="T589" i="5"/>
  <c r="X589" i="6"/>
  <c r="R590" i="6"/>
  <c r="P589" i="5"/>
  <c r="Q589" i="5"/>
  <c r="U589" i="5"/>
  <c r="V589" i="6"/>
  <c r="U590" i="6"/>
  <c r="O592" i="6" l="1"/>
  <c r="O591" i="5"/>
  <c r="R591" i="6"/>
  <c r="P591" i="6"/>
  <c r="V590" i="6"/>
  <c r="S591" i="6"/>
  <c r="W589" i="5"/>
  <c r="P590" i="5"/>
  <c r="U590" i="5"/>
  <c r="Q591" i="6"/>
  <c r="V591" i="6"/>
  <c r="X589" i="5"/>
  <c r="T591" i="6"/>
  <c r="V589" i="5"/>
  <c r="X590" i="6"/>
  <c r="U591" i="6"/>
  <c r="Q590" i="5"/>
  <c r="W590" i="6"/>
  <c r="R590" i="5"/>
  <c r="S590" i="5"/>
  <c r="Y592" i="6"/>
  <c r="T590" i="5"/>
  <c r="O593" i="6" l="1"/>
  <c r="O592" i="5"/>
  <c r="T592" i="6"/>
  <c r="U591" i="5"/>
  <c r="W590" i="5"/>
  <c r="U592" i="6"/>
  <c r="Y593" i="6"/>
  <c r="W591" i="6"/>
  <c r="X591" i="6"/>
  <c r="P592" i="6"/>
  <c r="Q591" i="5"/>
  <c r="T591" i="5"/>
  <c r="Q592" i="6"/>
  <c r="V590" i="5"/>
  <c r="S591" i="5"/>
  <c r="X590" i="5"/>
  <c r="S592" i="6"/>
  <c r="R591" i="5"/>
  <c r="R592" i="6"/>
  <c r="P591" i="5"/>
  <c r="O594" i="6" l="1"/>
  <c r="O593" i="5"/>
  <c r="Q593" i="6"/>
  <c r="S593" i="6"/>
  <c r="S592" i="5"/>
  <c r="W592" i="6"/>
  <c r="P593" i="6"/>
  <c r="U592" i="5"/>
  <c r="Y594" i="6"/>
  <c r="V592" i="6"/>
  <c r="R593" i="6"/>
  <c r="T592" i="5"/>
  <c r="V591" i="5"/>
  <c r="Q592" i="5"/>
  <c r="P592" i="5"/>
  <c r="U593" i="6"/>
  <c r="R592" i="5"/>
  <c r="T593" i="6"/>
  <c r="W591" i="5"/>
  <c r="X592" i="6"/>
  <c r="X591" i="5"/>
  <c r="O595" i="6" l="1"/>
  <c r="O594" i="5"/>
  <c r="X593" i="6"/>
  <c r="S593" i="5"/>
  <c r="Q593" i="5"/>
  <c r="V592" i="5"/>
  <c r="T594" i="6"/>
  <c r="Y595" i="6"/>
  <c r="W593" i="6"/>
  <c r="R593" i="5"/>
  <c r="P593" i="5"/>
  <c r="U594" i="6"/>
  <c r="T593" i="5"/>
  <c r="R594" i="6"/>
  <c r="X592" i="5"/>
  <c r="P594" i="6"/>
  <c r="V593" i="6"/>
  <c r="W592" i="5"/>
  <c r="U593" i="5"/>
  <c r="Q594" i="6"/>
  <c r="S594" i="6"/>
  <c r="O596" i="6" l="1"/>
  <c r="O595" i="5"/>
  <c r="X594" i="6"/>
  <c r="X593" i="5"/>
  <c r="V593" i="5"/>
  <c r="U595" i="6"/>
  <c r="Q594" i="5"/>
  <c r="S594" i="5"/>
  <c r="W594" i="6"/>
  <c r="T594" i="5"/>
  <c r="W593" i="5"/>
  <c r="P594" i="5"/>
  <c r="Y596" i="6"/>
  <c r="S595" i="6"/>
  <c r="R594" i="5"/>
  <c r="V594" i="6"/>
  <c r="Q595" i="6"/>
  <c r="R595" i="6"/>
  <c r="P595" i="6"/>
  <c r="U594" i="5"/>
  <c r="T595" i="6"/>
  <c r="O597" i="6" l="1"/>
  <c r="O596" i="5"/>
  <c r="P596" i="6"/>
  <c r="Q596" i="6"/>
  <c r="X594" i="5"/>
  <c r="P595" i="5"/>
  <c r="S596" i="6"/>
  <c r="Q595" i="5"/>
  <c r="U596" i="6"/>
  <c r="U595" i="5"/>
  <c r="W594" i="5"/>
  <c r="X595" i="6"/>
  <c r="R595" i="5"/>
  <c r="W595" i="6"/>
  <c r="T596" i="6"/>
  <c r="S595" i="5"/>
  <c r="V594" i="5"/>
  <c r="R596" i="6"/>
  <c r="Y597" i="6"/>
  <c r="T595" i="5"/>
  <c r="V595" i="6"/>
  <c r="O598" i="6" l="1"/>
  <c r="O597" i="5"/>
  <c r="X596" i="6"/>
  <c r="S596" i="5"/>
  <c r="Y598" i="6"/>
  <c r="U597" i="6"/>
  <c r="X595" i="5"/>
  <c r="P597" i="6"/>
  <c r="U596" i="5"/>
  <c r="V595" i="5"/>
  <c r="W596" i="6"/>
  <c r="T597" i="6"/>
  <c r="V596" i="6"/>
  <c r="T596" i="5"/>
  <c r="W595" i="5"/>
  <c r="Q596" i="5"/>
  <c r="P596" i="5"/>
  <c r="R596" i="5"/>
  <c r="Q597" i="6"/>
  <c r="R597" i="6"/>
  <c r="S597" i="6"/>
  <c r="O599" i="6" l="1"/>
  <c r="O598" i="5"/>
  <c r="T597" i="5"/>
  <c r="Q597" i="5"/>
  <c r="S598" i="6"/>
  <c r="Q598" i="6"/>
  <c r="W597" i="6"/>
  <c r="P598" i="6"/>
  <c r="W598" i="6"/>
  <c r="V596" i="5"/>
  <c r="X597" i="6"/>
  <c r="U598" i="6"/>
  <c r="X596" i="5"/>
  <c r="T598" i="6"/>
  <c r="U597" i="5"/>
  <c r="S597" i="5"/>
  <c r="Y599" i="6"/>
  <c r="P597" i="5"/>
  <c r="R598" i="6"/>
  <c r="R597" i="5"/>
  <c r="V597" i="6"/>
  <c r="W596" i="5"/>
  <c r="O600" i="6" l="1"/>
  <c r="O599" i="5"/>
  <c r="U599" i="6"/>
  <c r="R598" i="5"/>
  <c r="S599" i="6"/>
  <c r="S598" i="5"/>
  <c r="V598" i="6"/>
  <c r="Q598" i="5"/>
  <c r="T598" i="5"/>
  <c r="V597" i="5"/>
  <c r="P599" i="6"/>
  <c r="P598" i="5"/>
  <c r="X598" i="6"/>
  <c r="Y600" i="6"/>
  <c r="W597" i="5"/>
  <c r="Q599" i="6"/>
  <c r="T599" i="6"/>
  <c r="X597" i="5"/>
  <c r="R599" i="6"/>
  <c r="U598" i="5"/>
  <c r="O601" i="6" l="1"/>
  <c r="O600" i="5"/>
  <c r="T600" i="6"/>
  <c r="R600" i="6"/>
  <c r="T599" i="5"/>
  <c r="U599" i="5"/>
  <c r="W598" i="5"/>
  <c r="R599" i="5"/>
  <c r="V599" i="6"/>
  <c r="Q599" i="5"/>
  <c r="W599" i="6"/>
  <c r="P600" i="6"/>
  <c r="V598" i="5"/>
  <c r="Q600" i="6"/>
  <c r="S600" i="6"/>
  <c r="X598" i="5"/>
  <c r="Y601" i="6"/>
  <c r="P599" i="5"/>
  <c r="U600" i="6"/>
  <c r="X599" i="6"/>
  <c r="S599" i="5"/>
  <c r="O602" i="6" l="1"/>
  <c r="O601" i="5"/>
  <c r="Q601" i="6"/>
  <c r="P601" i="6"/>
  <c r="T600" i="5"/>
  <c r="Y602" i="6"/>
  <c r="U600" i="5"/>
  <c r="P600" i="5"/>
  <c r="U601" i="6"/>
  <c r="R601" i="6"/>
  <c r="R600" i="5"/>
  <c r="W600" i="6"/>
  <c r="X599" i="5"/>
  <c r="V600" i="6"/>
  <c r="W599" i="5"/>
  <c r="V599" i="5"/>
  <c r="S601" i="6"/>
  <c r="T601" i="6"/>
  <c r="Q600" i="5"/>
  <c r="X600" i="6"/>
  <c r="S600" i="5"/>
  <c r="O603" i="6" l="1"/>
  <c r="O602" i="5"/>
  <c r="R601" i="5"/>
  <c r="S601" i="5"/>
  <c r="W601" i="6"/>
  <c r="X601" i="6"/>
  <c r="Q601" i="5"/>
  <c r="R602" i="6"/>
  <c r="X600" i="5"/>
  <c r="Y603" i="6"/>
  <c r="W600" i="5"/>
  <c r="U601" i="5"/>
  <c r="V600" i="5"/>
  <c r="P601" i="5"/>
  <c r="T602" i="6"/>
  <c r="V601" i="6"/>
  <c r="T601" i="5"/>
  <c r="P602" i="6"/>
  <c r="S602" i="6"/>
  <c r="Q602" i="6"/>
  <c r="U602" i="6"/>
  <c r="O604" i="6" l="1"/>
  <c r="O603" i="5"/>
  <c r="Q602" i="5"/>
  <c r="U602" i="5"/>
  <c r="Y604" i="6"/>
  <c r="R602" i="5"/>
  <c r="R603" i="6"/>
  <c r="X601" i="5"/>
  <c r="V601" i="5"/>
  <c r="T603" i="6"/>
  <c r="W602" i="6"/>
  <c r="S602" i="5"/>
  <c r="W601" i="5"/>
  <c r="V602" i="6"/>
  <c r="P603" i="6"/>
  <c r="S603" i="6"/>
  <c r="U603" i="6"/>
  <c r="X602" i="6"/>
  <c r="P602" i="5"/>
  <c r="T602" i="5"/>
  <c r="Q603" i="6"/>
  <c r="O605" i="6" l="1"/>
  <c r="O604" i="5"/>
  <c r="X602" i="5"/>
  <c r="X603" i="6"/>
  <c r="Y605" i="6"/>
  <c r="Q604" i="6"/>
  <c r="P603" i="5"/>
  <c r="V602" i="5"/>
  <c r="R604" i="6"/>
  <c r="Q603" i="5"/>
  <c r="R603" i="5"/>
  <c r="W602" i="5"/>
  <c r="V603" i="6"/>
  <c r="W603" i="6"/>
  <c r="S603" i="5"/>
  <c r="S604" i="6"/>
  <c r="U603" i="5"/>
  <c r="T604" i="6"/>
  <c r="U604" i="6"/>
  <c r="P604" i="6"/>
  <c r="T603" i="5"/>
  <c r="O605" i="5" l="1"/>
  <c r="X603" i="5"/>
  <c r="R604" i="5"/>
  <c r="X604" i="5"/>
  <c r="T604" i="5"/>
  <c r="P605" i="6"/>
  <c r="P605" i="5"/>
  <c r="T605" i="5"/>
  <c r="V605" i="6"/>
  <c r="C3" i="1"/>
  <c r="F73" i="1"/>
  <c r="D163" i="1"/>
  <c r="F226" i="1"/>
  <c r="D287" i="1"/>
  <c r="F363" i="1"/>
  <c r="D138" i="1"/>
  <c r="F316" i="1"/>
  <c r="F36" i="1"/>
  <c r="F95" i="1"/>
  <c r="D269" i="1"/>
  <c r="D256" i="1"/>
  <c r="D215" i="1"/>
  <c r="F81" i="1"/>
  <c r="F335" i="1"/>
  <c r="F160" i="1"/>
  <c r="F99" i="1"/>
  <c r="F306" i="1"/>
  <c r="E319" i="1"/>
  <c r="E331" i="1"/>
  <c r="F97" i="1"/>
  <c r="D119" i="1"/>
  <c r="D180" i="1"/>
  <c r="F59" i="1"/>
  <c r="D363" i="1"/>
  <c r="E88" i="1"/>
  <c r="E107" i="1"/>
  <c r="D354" i="1"/>
  <c r="D341" i="1"/>
  <c r="F349" i="1"/>
  <c r="E94" i="1"/>
  <c r="F317" i="1"/>
  <c r="F7" i="1"/>
  <c r="F80" i="1"/>
  <c r="E227" i="1"/>
  <c r="D315" i="1"/>
  <c r="E307" i="1"/>
  <c r="F33" i="1"/>
  <c r="E239" i="1"/>
  <c r="F359" i="1"/>
  <c r="F41" i="1"/>
  <c r="D100" i="1"/>
  <c r="F231" i="1"/>
  <c r="D262" i="1"/>
  <c r="E382" i="1"/>
  <c r="E223" i="1"/>
  <c r="D316" i="1"/>
  <c r="F211" i="1"/>
  <c r="E41" i="1"/>
  <c r="F22" i="1"/>
  <c r="E127" i="1"/>
  <c r="D206" i="1"/>
  <c r="F74" i="1"/>
  <c r="D275" i="1"/>
  <c r="E180" i="1"/>
  <c r="S605" i="5"/>
  <c r="D320" i="1"/>
  <c r="E371" i="1"/>
  <c r="F47" i="1"/>
  <c r="F60" i="1"/>
  <c r="E342" i="1"/>
  <c r="E308" i="1"/>
  <c r="E71" i="1"/>
  <c r="U604" i="5"/>
  <c r="D185" i="1"/>
  <c r="E251" i="1"/>
  <c r="E245" i="1"/>
  <c r="Q604" i="5"/>
  <c r="W604" i="5" s="1"/>
  <c r="E287" i="1"/>
  <c r="F209" i="1"/>
  <c r="D344" i="1"/>
  <c r="E42" i="1"/>
  <c r="E262" i="1"/>
  <c r="D134" i="1"/>
  <c r="D254" i="1"/>
  <c r="D265" i="1"/>
  <c r="E47" i="1"/>
  <c r="E304" i="1"/>
  <c r="E124" i="1"/>
  <c r="D376" i="1"/>
  <c r="D69" i="1"/>
  <c r="F361" i="1"/>
  <c r="D167" i="1"/>
  <c r="E151" i="1"/>
  <c r="D73" i="1"/>
  <c r="E162" i="1"/>
  <c r="F182" i="1"/>
  <c r="D94" i="1"/>
  <c r="E189" i="1"/>
  <c r="D77" i="1"/>
  <c r="E148" i="1"/>
  <c r="D108" i="1"/>
  <c r="E191" i="1"/>
  <c r="D164" i="1"/>
  <c r="E279" i="1"/>
  <c r="F351" i="1"/>
  <c r="F288" i="1"/>
  <c r="D165" i="1"/>
  <c r="D35" i="1"/>
  <c r="F382" i="1"/>
  <c r="F384" i="1"/>
  <c r="D334" i="1"/>
  <c r="F360" i="1"/>
  <c r="F300" i="1"/>
  <c r="D291" i="1"/>
  <c r="F276" i="1"/>
  <c r="D49" i="1"/>
  <c r="D313" i="1"/>
  <c r="E312" i="1"/>
  <c r="E243" i="1"/>
  <c r="E64" i="1"/>
  <c r="E267" i="1"/>
  <c r="E208" i="1"/>
  <c r="E333" i="1"/>
  <c r="D26" i="1"/>
  <c r="E214" i="1"/>
  <c r="E144" i="1"/>
  <c r="D211" i="1"/>
  <c r="D208" i="1"/>
  <c r="F372" i="1"/>
  <c r="D298" i="1"/>
  <c r="E69" i="1"/>
  <c r="D99" i="1"/>
  <c r="D242" i="1"/>
  <c r="E54" i="1"/>
  <c r="D40" i="1"/>
  <c r="E99" i="1"/>
  <c r="D281" i="1"/>
  <c r="F334" i="1"/>
  <c r="E248" i="1"/>
  <c r="F93" i="1"/>
  <c r="D126" i="1"/>
  <c r="D205" i="1"/>
  <c r="D55" i="1"/>
  <c r="E112" i="1"/>
  <c r="D182" i="1"/>
  <c r="D345" i="1"/>
  <c r="E350" i="1"/>
  <c r="F196" i="1"/>
  <c r="F286" i="1"/>
  <c r="F322" i="1"/>
  <c r="E28" i="1"/>
  <c r="D237" i="1"/>
  <c r="E147" i="1"/>
  <c r="E354" i="1"/>
  <c r="F78" i="1"/>
  <c r="F233" i="1"/>
  <c r="F153" i="1"/>
  <c r="E26" i="1"/>
  <c r="E152" i="1"/>
  <c r="D332" i="1"/>
  <c r="F38" i="1"/>
  <c r="D352" i="1"/>
  <c r="F158" i="1"/>
  <c r="E384" i="1"/>
  <c r="D75" i="1"/>
  <c r="D30" i="1"/>
  <c r="F44" i="1"/>
  <c r="F103" i="1"/>
  <c r="F297" i="1"/>
  <c r="D260" i="1"/>
  <c r="E277" i="1"/>
  <c r="F109" i="1"/>
  <c r="F183" i="1"/>
  <c r="F155" i="1"/>
  <c r="E60" i="1"/>
  <c r="F117" i="1"/>
  <c r="D365" i="1"/>
  <c r="F83" i="1"/>
  <c r="F343" i="1"/>
  <c r="E200" i="1"/>
  <c r="D125" i="1"/>
  <c r="E338" i="1"/>
  <c r="F90" i="1"/>
  <c r="D288" i="1"/>
  <c r="D65" i="1"/>
  <c r="F179" i="1"/>
  <c r="E57" i="1"/>
  <c r="F241" i="1"/>
  <c r="E326" i="1"/>
  <c r="D87" i="1"/>
  <c r="D323" i="1"/>
  <c r="F127" i="1"/>
  <c r="E98" i="1"/>
  <c r="F308" i="1"/>
  <c r="D89" i="1"/>
  <c r="E202" i="1"/>
  <c r="F54" i="1"/>
  <c r="E31" i="1"/>
  <c r="E249" i="1"/>
  <c r="F143" i="1"/>
  <c r="E290" i="1"/>
  <c r="E45" i="1"/>
  <c r="F301" i="1"/>
  <c r="F283" i="1"/>
  <c r="E197" i="1"/>
  <c r="F124" i="1"/>
  <c r="D274" i="1"/>
  <c r="E89" i="1"/>
  <c r="E232" i="1"/>
  <c r="D199" i="1"/>
  <c r="F147" i="1"/>
  <c r="E40" i="1"/>
  <c r="D84" i="1"/>
  <c r="F240" i="1"/>
  <c r="F223" i="1"/>
  <c r="F186" i="1"/>
  <c r="F350" i="1"/>
  <c r="E83" i="1"/>
  <c r="F190" i="1"/>
  <c r="D151" i="1"/>
  <c r="F142" i="1"/>
  <c r="E55" i="1"/>
  <c r="D168" i="1"/>
  <c r="D270" i="1"/>
  <c r="D74" i="1"/>
  <c r="F171" i="1"/>
  <c r="E226" i="1"/>
  <c r="E289" i="1"/>
  <c r="D248" i="1"/>
  <c r="E283" i="1"/>
  <c r="F383" i="1"/>
  <c r="F141" i="1"/>
  <c r="F106" i="1"/>
  <c r="D382" i="1"/>
  <c r="F167" i="1"/>
  <c r="D183" i="1"/>
  <c r="D194" i="1"/>
  <c r="F341" i="1"/>
  <c r="E383" i="1"/>
  <c r="F88" i="1"/>
  <c r="E169" i="1"/>
  <c r="F200" i="1"/>
  <c r="F249" i="1"/>
  <c r="E105" i="1"/>
  <c r="D329" i="1"/>
  <c r="F332" i="1"/>
  <c r="E343" i="1"/>
  <c r="D271" i="1"/>
  <c r="F70" i="1"/>
  <c r="F282" i="1"/>
  <c r="E247" i="1"/>
  <c r="F15" i="1"/>
  <c r="F252" i="1"/>
  <c r="F163" i="1"/>
  <c r="E65" i="1"/>
  <c r="D149" i="1"/>
  <c r="E224" i="1"/>
  <c r="D342" i="1"/>
  <c r="F65" i="1"/>
  <c r="E39" i="1"/>
  <c r="E58" i="1"/>
  <c r="F115" i="1"/>
  <c r="D224" i="1"/>
  <c r="D157" i="1"/>
  <c r="E374" i="1"/>
  <c r="F212" i="1"/>
  <c r="D307" i="1"/>
  <c r="D172" i="1"/>
  <c r="D76" i="1"/>
  <c r="F145" i="1"/>
  <c r="D333" i="1"/>
  <c r="D59" i="1"/>
  <c r="E316" i="1"/>
  <c r="E172" i="1"/>
  <c r="D364" i="1"/>
  <c r="F293" i="1"/>
  <c r="D78" i="1"/>
  <c r="F267" i="1"/>
  <c r="E379" i="1"/>
  <c r="E385" i="1"/>
  <c r="F61" i="1"/>
  <c r="D253" i="1"/>
  <c r="D171" i="1"/>
  <c r="D66" i="1"/>
  <c r="E358" i="1"/>
  <c r="F159" i="1"/>
  <c r="E84" i="1"/>
  <c r="F248" i="1"/>
  <c r="F49" i="1"/>
  <c r="E100" i="1"/>
  <c r="F58" i="1"/>
  <c r="D51" i="1"/>
  <c r="E63" i="1"/>
  <c r="F120" i="1"/>
  <c r="D261" i="1"/>
  <c r="E341" i="1"/>
  <c r="E187" i="1"/>
  <c r="D128" i="1"/>
  <c r="F329" i="1"/>
  <c r="F256" i="1"/>
  <c r="D80" i="1"/>
  <c r="D130" i="1"/>
  <c r="D300" i="1"/>
  <c r="F215" i="1"/>
  <c r="F310" i="1"/>
  <c r="F176" i="1"/>
  <c r="D327" i="1"/>
  <c r="F262" i="1"/>
  <c r="E135" i="1"/>
  <c r="E35" i="1"/>
  <c r="E160" i="1"/>
  <c r="E199" i="1"/>
  <c r="D36" i="1"/>
  <c r="E120" i="1"/>
  <c r="E302" i="1"/>
  <c r="D60" i="1"/>
  <c r="E324" i="1"/>
  <c r="F85" i="1"/>
  <c r="F151" i="1"/>
  <c r="E75" i="1"/>
  <c r="D184" i="1"/>
  <c r="F320" i="1"/>
  <c r="E32" i="1"/>
  <c r="D67" i="1"/>
  <c r="D296" i="1"/>
  <c r="E258" i="1"/>
  <c r="D343" i="1"/>
  <c r="D85" i="1"/>
  <c r="E381" i="1"/>
  <c r="F165" i="1"/>
  <c r="E213" i="1"/>
  <c r="E101" i="1"/>
  <c r="D101" i="1"/>
  <c r="F53" i="1"/>
  <c r="F353" i="1"/>
  <c r="F275" i="1"/>
  <c r="E106" i="1"/>
  <c r="F126" i="1"/>
  <c r="E48" i="1"/>
  <c r="D286" i="1"/>
  <c r="F56" i="1"/>
  <c r="D244" i="1"/>
  <c r="F100" i="1"/>
  <c r="E108" i="1"/>
  <c r="F136" i="1"/>
  <c r="F219" i="1"/>
  <c r="D279" i="1"/>
  <c r="F236" i="1"/>
  <c r="E186" i="1"/>
  <c r="E291" i="1"/>
  <c r="F379" i="1"/>
  <c r="D189" i="1"/>
  <c r="E234" i="1"/>
  <c r="E233" i="1"/>
  <c r="D353" i="1"/>
  <c r="F237" i="1"/>
  <c r="E377" i="1"/>
  <c r="F214" i="1"/>
  <c r="F144" i="1"/>
  <c r="E34" i="1"/>
  <c r="E163" i="1"/>
  <c r="F137" i="1"/>
  <c r="F269" i="1"/>
  <c r="E96" i="1"/>
  <c r="F189" i="1"/>
  <c r="D187" i="1"/>
  <c r="D150" i="1"/>
  <c r="E300" i="1"/>
  <c r="D48" i="1"/>
  <c r="E259" i="1"/>
  <c r="E33" i="1"/>
  <c r="D321" i="1"/>
  <c r="E274" i="1"/>
  <c r="F374" i="1"/>
  <c r="F369" i="1"/>
  <c r="E53" i="1"/>
  <c r="F377" i="1"/>
  <c r="D231" i="1"/>
  <c r="U605" i="6"/>
  <c r="D32" i="1"/>
  <c r="E90" i="1"/>
  <c r="D278" i="1"/>
  <c r="F105" i="1"/>
  <c r="E79" i="1"/>
  <c r="D154" i="1"/>
  <c r="E357" i="1"/>
  <c r="F79" i="1"/>
  <c r="E334" i="1"/>
  <c r="E192" i="1"/>
  <c r="E376" i="1"/>
  <c r="D331" i="1"/>
  <c r="D93" i="1"/>
  <c r="E102" i="1"/>
  <c r="E257" i="1"/>
  <c r="F193" i="1"/>
  <c r="E269" i="1"/>
  <c r="E131" i="1"/>
  <c r="F298" i="1"/>
  <c r="F371" i="1"/>
  <c r="F118" i="1"/>
  <c r="E276" i="1"/>
  <c r="F229" i="1"/>
  <c r="D239" i="1"/>
  <c r="F42" i="1"/>
  <c r="F266" i="1"/>
  <c r="D379" i="1"/>
  <c r="E37" i="1"/>
  <c r="E195" i="1"/>
  <c r="D95" i="1"/>
  <c r="F123" i="1"/>
  <c r="F19" i="1"/>
  <c r="D148" i="1"/>
  <c r="E284" i="1"/>
  <c r="F37" i="1"/>
  <c r="E171" i="1"/>
  <c r="F84" i="1"/>
  <c r="E38" i="1"/>
  <c r="D377" i="1"/>
  <c r="F119" i="1"/>
  <c r="E130" i="1"/>
  <c r="E209" i="1"/>
  <c r="D195" i="1"/>
  <c r="F366" i="1"/>
  <c r="D98" i="1"/>
  <c r="F157" i="1"/>
  <c r="F330" i="1"/>
  <c r="D204" i="1"/>
  <c r="F246" i="1"/>
  <c r="E327" i="1"/>
  <c r="D383" i="1"/>
  <c r="D290" i="1"/>
  <c r="E203" i="1"/>
  <c r="F178" i="1"/>
  <c r="E275" i="1"/>
  <c r="E366" i="1"/>
  <c r="P604" i="5"/>
  <c r="V604" i="5" s="1"/>
  <c r="F91" i="1"/>
  <c r="D299" i="1"/>
  <c r="F148" i="1"/>
  <c r="D144" i="1"/>
  <c r="F55" i="1"/>
  <c r="E149" i="1"/>
  <c r="E198" i="1"/>
  <c r="D311" i="1"/>
  <c r="D209" i="1"/>
  <c r="D62" i="1"/>
  <c r="D109" i="1"/>
  <c r="E359" i="1"/>
  <c r="F344" i="1"/>
  <c r="F381" i="1"/>
  <c r="E138" i="1"/>
  <c r="D135" i="1"/>
  <c r="F386" i="1"/>
  <c r="F199" i="1"/>
  <c r="D161" i="1"/>
  <c r="D142" i="1"/>
  <c r="V604" i="6"/>
  <c r="F216" i="1"/>
  <c r="D216" i="1"/>
  <c r="E181" i="1"/>
  <c r="E212" i="1"/>
  <c r="D91" i="1"/>
  <c r="E185" i="1"/>
  <c r="D27" i="1"/>
  <c r="E311" i="1"/>
  <c r="D64" i="1"/>
  <c r="D31" i="1"/>
  <c r="F279" i="1"/>
  <c r="E241" i="1"/>
  <c r="R605" i="5"/>
  <c r="F239" i="1"/>
  <c r="F299" i="1"/>
  <c r="F294" i="1"/>
  <c r="W604" i="6"/>
  <c r="F307" i="1"/>
  <c r="F255" i="1"/>
  <c r="D360" i="1"/>
  <c r="E52" i="1"/>
  <c r="E322" i="1"/>
  <c r="E123" i="1"/>
  <c r="D358" i="1"/>
  <c r="E253" i="1"/>
  <c r="F57" i="1"/>
  <c r="D366" i="1"/>
  <c r="D120" i="1"/>
  <c r="E235" i="1"/>
  <c r="D56" i="1"/>
  <c r="D146" i="1"/>
  <c r="E194" i="1"/>
  <c r="D63" i="1"/>
  <c r="D228" i="1"/>
  <c r="F277" i="1"/>
  <c r="F378" i="1"/>
  <c r="D82" i="1"/>
  <c r="F131" i="1"/>
  <c r="D37" i="1"/>
  <c r="F27" i="1"/>
  <c r="F108" i="1"/>
  <c r="F213" i="1"/>
  <c r="E76" i="1"/>
  <c r="E352" i="1"/>
  <c r="F68" i="1"/>
  <c r="D88" i="1"/>
  <c r="D207" i="1"/>
  <c r="F375" i="1"/>
  <c r="D162" i="1"/>
  <c r="E85" i="1"/>
  <c r="F132" i="1"/>
  <c r="D226" i="1"/>
  <c r="D292" i="1"/>
  <c r="F122" i="1"/>
  <c r="E153" i="1"/>
  <c r="E317" i="1"/>
  <c r="F201" i="1"/>
  <c r="F207" i="1"/>
  <c r="F319" i="1"/>
  <c r="F362" i="1"/>
  <c r="D268" i="1"/>
  <c r="F17" i="1"/>
  <c r="F210" i="1"/>
  <c r="D368" i="1"/>
  <c r="D145" i="1"/>
  <c r="F173" i="1"/>
  <c r="F289" i="1"/>
  <c r="E323" i="1"/>
  <c r="W603" i="5"/>
  <c r="E230" i="1"/>
  <c r="D188" i="1"/>
  <c r="E164" i="1"/>
  <c r="E133" i="1"/>
  <c r="F34" i="1"/>
  <c r="D196" i="1"/>
  <c r="D372" i="1"/>
  <c r="F150" i="1"/>
  <c r="F302" i="1"/>
  <c r="F18" i="1"/>
  <c r="D177" i="1"/>
  <c r="D240" i="1"/>
  <c r="E229" i="1"/>
  <c r="D238" i="1"/>
  <c r="V605" i="5"/>
  <c r="F274" i="1"/>
  <c r="F134" i="1"/>
  <c r="D169" i="1"/>
  <c r="E380" i="1"/>
  <c r="E217" i="1"/>
  <c r="E378" i="1"/>
  <c r="D160" i="1"/>
  <c r="F188" i="1"/>
  <c r="F333" i="1"/>
  <c r="F13" i="1"/>
  <c r="E266" i="1"/>
  <c r="F75" i="1"/>
  <c r="D147" i="1"/>
  <c r="D370" i="1"/>
  <c r="F324" i="1"/>
  <c r="F328" i="1"/>
  <c r="D33" i="1"/>
  <c r="D257" i="1"/>
  <c r="E173" i="1"/>
  <c r="F305" i="1"/>
  <c r="E150" i="1"/>
  <c r="D102" i="1"/>
  <c r="E281" i="1"/>
  <c r="D122" i="1"/>
  <c r="E386" i="1"/>
  <c r="E293" i="1"/>
  <c r="F39" i="1"/>
  <c r="D277" i="1"/>
  <c r="F242" i="1"/>
  <c r="E367" i="1"/>
  <c r="E140" i="1"/>
  <c r="F94" i="1"/>
  <c r="E87" i="1"/>
  <c r="E260" i="1"/>
  <c r="D57" i="1"/>
  <c r="D124" i="1"/>
  <c r="F104" i="1"/>
  <c r="E282" i="1"/>
  <c r="E113" i="1"/>
  <c r="F217" i="1"/>
  <c r="D340" i="1"/>
  <c r="D347" i="1"/>
  <c r="D155" i="1"/>
  <c r="D46" i="1"/>
  <c r="E272" i="1"/>
  <c r="F258" i="1"/>
  <c r="D245" i="1"/>
  <c r="D314" i="1"/>
  <c r="F354" i="1"/>
  <c r="D213" i="1"/>
  <c r="F348" i="1"/>
  <c r="F86" i="1"/>
  <c r="F290" i="1"/>
  <c r="E242" i="1"/>
  <c r="D104" i="1"/>
  <c r="F76" i="1"/>
  <c r="E325" i="1"/>
  <c r="D308" i="1"/>
  <c r="F356" i="1"/>
  <c r="F89" i="1"/>
  <c r="D186" i="1"/>
  <c r="D217" i="1"/>
  <c r="F257" i="1"/>
  <c r="E109" i="1"/>
  <c r="E175" i="1"/>
  <c r="E46" i="1"/>
  <c r="D284" i="1"/>
  <c r="F368" i="1"/>
  <c r="D114" i="1"/>
  <c r="E207" i="1"/>
  <c r="E43" i="1"/>
  <c r="E368" i="1"/>
  <c r="F77" i="1"/>
  <c r="D175" i="1"/>
  <c r="E91" i="1"/>
  <c r="E70" i="1"/>
  <c r="F166" i="1"/>
  <c r="D222" i="1"/>
  <c r="E268" i="1"/>
  <c r="E165" i="1"/>
  <c r="D136" i="1"/>
  <c r="F220" i="1"/>
  <c r="E329" i="1"/>
  <c r="E137" i="1"/>
  <c r="E336" i="1"/>
  <c r="E62" i="1"/>
  <c r="F202" i="1"/>
  <c r="E221" i="1"/>
  <c r="F280" i="1"/>
  <c r="F278" i="1"/>
  <c r="E286" i="1"/>
  <c r="D86" i="1"/>
  <c r="F331" i="1"/>
  <c r="D266" i="1"/>
  <c r="E337" i="1"/>
  <c r="F111" i="1"/>
  <c r="D97" i="1"/>
  <c r="D116" i="1"/>
  <c r="E142" i="1"/>
  <c r="E117" i="1"/>
  <c r="E103" i="1"/>
  <c r="D123" i="1"/>
  <c r="D221" i="1"/>
  <c r="D297" i="1"/>
  <c r="D357" i="1"/>
  <c r="F161" i="1"/>
  <c r="E122" i="1"/>
  <c r="D198" i="1"/>
  <c r="D83" i="1"/>
  <c r="D243" i="1"/>
  <c r="D225" i="1"/>
  <c r="D201" i="1"/>
  <c r="D58" i="1"/>
  <c r="D103" i="1"/>
  <c r="D306" i="1"/>
  <c r="D249" i="1"/>
  <c r="E111" i="1"/>
  <c r="F96" i="1"/>
  <c r="F338" i="1"/>
  <c r="D158" i="1"/>
  <c r="F268" i="1"/>
  <c r="E73" i="1"/>
  <c r="D384" i="1"/>
  <c r="D117" i="1"/>
  <c r="D72" i="1"/>
  <c r="D156" i="1"/>
  <c r="D310" i="1"/>
  <c r="F28" i="1"/>
  <c r="D356" i="1"/>
  <c r="E129" i="1"/>
  <c r="E339" i="1"/>
  <c r="F218" i="1"/>
  <c r="E211" i="1"/>
  <c r="E146" i="1"/>
  <c r="F206" i="1"/>
  <c r="F121" i="1"/>
  <c r="F128" i="1"/>
  <c r="E225" i="1"/>
  <c r="E59" i="1"/>
  <c r="E161" i="1"/>
  <c r="D223" i="1"/>
  <c r="E271" i="1"/>
  <c r="R605" i="6"/>
  <c r="F232" i="1"/>
  <c r="D131" i="1"/>
  <c r="D176" i="1"/>
  <c r="E328" i="1"/>
  <c r="F192" i="1"/>
  <c r="D143" i="1"/>
  <c r="E263" i="1"/>
  <c r="F264" i="1"/>
  <c r="D375" i="1"/>
  <c r="D96" i="1"/>
  <c r="E30" i="1"/>
  <c r="F129" i="1"/>
  <c r="E363" i="1"/>
  <c r="D45" i="1"/>
  <c r="D338" i="1"/>
  <c r="F273" i="1"/>
  <c r="F272" i="1"/>
  <c r="E183" i="1"/>
  <c r="D178" i="1"/>
  <c r="E177" i="1"/>
  <c r="D111" i="1"/>
  <c r="F312" i="1"/>
  <c r="D304" i="1"/>
  <c r="D92" i="1"/>
  <c r="D229" i="1"/>
  <c r="D41" i="1"/>
  <c r="F373" i="1"/>
  <c r="E206" i="1"/>
  <c r="D71" i="1"/>
  <c r="F364" i="1"/>
  <c r="D202" i="1"/>
  <c r="F292" i="1"/>
  <c r="E215" i="1"/>
  <c r="F184" i="1"/>
  <c r="F181" i="1"/>
  <c r="D325" i="1"/>
  <c r="D192" i="1"/>
  <c r="E280" i="1"/>
  <c r="E255" i="1"/>
  <c r="D153" i="1"/>
  <c r="D112" i="1"/>
  <c r="E81" i="1"/>
  <c r="D50" i="1"/>
  <c r="F194" i="1"/>
  <c r="F50" i="1"/>
  <c r="X604" i="6"/>
  <c r="S604" i="5"/>
  <c r="F67" i="1"/>
  <c r="F296" i="1"/>
  <c r="F347" i="1"/>
  <c r="D273" i="1"/>
  <c r="E348" i="1"/>
  <c r="E114" i="1"/>
  <c r="D190" i="1"/>
  <c r="E309" i="1"/>
  <c r="E176" i="1"/>
  <c r="F162" i="1"/>
  <c r="F110" i="1"/>
  <c r="D236" i="1"/>
  <c r="F168" i="1"/>
  <c r="F195" i="1"/>
  <c r="F357" i="1"/>
  <c r="E188" i="1"/>
  <c r="F8" i="1"/>
  <c r="F170" i="1"/>
  <c r="D348" i="1"/>
  <c r="D52" i="1"/>
  <c r="E231" i="1"/>
  <c r="E335" i="1"/>
  <c r="D294" i="1"/>
  <c r="D210" i="1"/>
  <c r="E190" i="1"/>
  <c r="D285" i="1"/>
  <c r="E166" i="1"/>
  <c r="E237" i="1"/>
  <c r="F180" i="1"/>
  <c r="F234" i="1"/>
  <c r="E128" i="1"/>
  <c r="E56" i="1"/>
  <c r="E370" i="1"/>
  <c r="D79" i="1"/>
  <c r="D317" i="1"/>
  <c r="F26" i="1"/>
  <c r="F107" i="1"/>
  <c r="D121" i="1"/>
  <c r="D166" i="1"/>
  <c r="D330" i="1"/>
  <c r="F318" i="1"/>
  <c r="F66" i="1"/>
  <c r="D336" i="1"/>
  <c r="E353" i="1"/>
  <c r="E158" i="1"/>
  <c r="D81" i="1"/>
  <c r="T605" i="6"/>
  <c r="U605" i="5"/>
  <c r="E305" i="1"/>
  <c r="D324" i="1"/>
  <c r="F224" i="1"/>
  <c r="F325" i="1"/>
  <c r="E178" i="1"/>
  <c r="E77" i="1"/>
  <c r="F125" i="1"/>
  <c r="D386" i="1"/>
  <c r="D140" i="1"/>
  <c r="Q605" i="5"/>
  <c r="D214" i="1"/>
  <c r="E155" i="1"/>
  <c r="D181" i="1"/>
  <c r="F304" i="1"/>
  <c r="E365" i="1"/>
  <c r="F20" i="1"/>
  <c r="F247" i="1"/>
  <c r="D328" i="1"/>
  <c r="F235" i="1"/>
  <c r="D43" i="1"/>
  <c r="F315" i="1"/>
  <c r="E167" i="1"/>
  <c r="D309" i="1"/>
  <c r="F309" i="1"/>
  <c r="D318" i="1"/>
  <c r="D233" i="1"/>
  <c r="F185" i="1"/>
  <c r="E126" i="1"/>
  <c r="E332" i="1"/>
  <c r="D267" i="1"/>
  <c r="D29" i="1"/>
  <c r="E349" i="1"/>
  <c r="F98" i="1"/>
  <c r="E86" i="1"/>
  <c r="E27" i="1"/>
  <c r="F10" i="1"/>
  <c r="F40" i="1"/>
  <c r="E314" i="1"/>
  <c r="F380" i="1"/>
  <c r="D272" i="1"/>
  <c r="F32" i="1"/>
  <c r="F191" i="1"/>
  <c r="D293" i="1"/>
  <c r="D105" i="1"/>
  <c r="D355" i="1"/>
  <c r="E68" i="1"/>
  <c r="F327" i="1"/>
  <c r="E145" i="1"/>
  <c r="F35" i="1"/>
  <c r="E159" i="1"/>
  <c r="E369" i="1"/>
  <c r="E174" i="1"/>
  <c r="E168" i="1"/>
  <c r="E295" i="1"/>
  <c r="D326" i="1"/>
  <c r="F342" i="1"/>
  <c r="E201" i="1"/>
  <c r="F146" i="1"/>
  <c r="F287" i="1"/>
  <c r="D218" i="1"/>
  <c r="D362" i="1"/>
  <c r="F225" i="1"/>
  <c r="E179" i="1"/>
  <c r="D252" i="1"/>
  <c r="E80" i="1"/>
  <c r="D159" i="1"/>
  <c r="E372" i="1"/>
  <c r="F263" i="1"/>
  <c r="F253" i="1"/>
  <c r="E315" i="1"/>
  <c r="E219" i="1"/>
  <c r="F250" i="1"/>
  <c r="F177" i="1"/>
  <c r="F321" i="1"/>
  <c r="D200" i="1"/>
  <c r="D193" i="1"/>
  <c r="F259" i="1"/>
  <c r="Q605" i="6"/>
  <c r="E244" i="1"/>
  <c r="F222" i="1"/>
  <c r="E278" i="1"/>
  <c r="D47" i="1"/>
  <c r="E346" i="1"/>
  <c r="F197" i="1"/>
  <c r="F204" i="1"/>
  <c r="E141" i="1"/>
  <c r="D319" i="1"/>
  <c r="E157" i="1"/>
  <c r="E261" i="1"/>
  <c r="D118" i="1"/>
  <c r="E256" i="1"/>
  <c r="F140" i="1"/>
  <c r="D113" i="1"/>
  <c r="D371" i="1"/>
  <c r="D312" i="1"/>
  <c r="S605" i="6"/>
  <c r="D250" i="1"/>
  <c r="D39" i="1"/>
  <c r="D289" i="1"/>
  <c r="F244" i="1"/>
  <c r="E265" i="1"/>
  <c r="E104" i="1"/>
  <c r="V603" i="5"/>
  <c r="F139" i="1"/>
  <c r="E132" i="1"/>
  <c r="F87" i="1"/>
  <c r="E246" i="1"/>
  <c r="E121" i="1"/>
  <c r="F62" i="1"/>
  <c r="E292" i="1"/>
  <c r="D378" i="1"/>
  <c r="E95" i="1"/>
  <c r="E134" i="1"/>
  <c r="D255" i="1"/>
  <c r="F198" i="1"/>
  <c r="D283" i="1"/>
  <c r="F30" i="1"/>
  <c r="E222" i="1"/>
  <c r="D302" i="1"/>
  <c r="F205" i="1"/>
  <c r="E299" i="1"/>
  <c r="D263" i="1"/>
  <c r="D127" i="1"/>
  <c r="E238" i="1"/>
  <c r="F367" i="1"/>
  <c r="E210" i="1"/>
  <c r="E375" i="1"/>
  <c r="F71" i="1"/>
  <c r="X605" i="6"/>
  <c r="W605" i="5"/>
  <c r="W605" i="6"/>
  <c r="C5" i="10"/>
  <c r="F170" i="10"/>
  <c r="F324" i="10"/>
  <c r="F52" i="10"/>
  <c r="F94" i="10"/>
  <c r="F148" i="10"/>
  <c r="F212" i="10"/>
  <c r="F312" i="10"/>
  <c r="F50" i="10"/>
  <c r="F109" i="10"/>
  <c r="F202" i="10"/>
  <c r="F53" i="10"/>
  <c r="F96" i="10"/>
  <c r="F150" i="10"/>
  <c r="F27" i="10"/>
  <c r="F194" i="10"/>
  <c r="F340" i="10"/>
  <c r="F57" i="10"/>
  <c r="F100" i="10"/>
  <c r="F156" i="10"/>
  <c r="F220" i="10"/>
  <c r="F328" i="10"/>
  <c r="F56" i="10"/>
  <c r="F122" i="10"/>
  <c r="F210" i="10"/>
  <c r="F58" i="10"/>
  <c r="F101" i="10"/>
  <c r="F158" i="10"/>
  <c r="F222" i="10"/>
  <c r="F332" i="10"/>
  <c r="F49" i="10"/>
  <c r="F92" i="10"/>
  <c r="F144" i="10"/>
  <c r="F208" i="10"/>
  <c r="F304" i="10"/>
  <c r="F125" i="10"/>
  <c r="F157" i="10"/>
  <c r="F189" i="10"/>
  <c r="F221" i="10"/>
  <c r="F253" i="10"/>
  <c r="F285" i="10"/>
  <c r="F317" i="10"/>
  <c r="F40" i="10"/>
  <c r="F218" i="10"/>
  <c r="F356" i="10"/>
  <c r="F62" i="10"/>
  <c r="F105" i="10"/>
  <c r="F164" i="10"/>
  <c r="F228" i="10"/>
  <c r="F344" i="10"/>
  <c r="F66" i="10"/>
  <c r="F130" i="10"/>
  <c r="F226" i="10"/>
  <c r="F64" i="10"/>
  <c r="F106" i="10"/>
  <c r="F166" i="10"/>
  <c r="F230" i="10"/>
  <c r="F348" i="10"/>
  <c r="F54" i="10"/>
  <c r="F97" i="10"/>
  <c r="F152" i="10"/>
  <c r="F216" i="10"/>
  <c r="F320" i="10"/>
  <c r="F129" i="10"/>
  <c r="F161" i="10"/>
  <c r="F193" i="10"/>
  <c r="F225" i="10"/>
  <c r="F257" i="10"/>
  <c r="F289" i="10"/>
  <c r="F321" i="10"/>
  <c r="F353" i="10"/>
  <c r="F385" i="10"/>
  <c r="F270" i="10"/>
  <c r="F302" i="10"/>
  <c r="F334" i="10"/>
  <c r="F366" i="10"/>
  <c r="F39" i="10"/>
  <c r="F71" i="10"/>
  <c r="F103" i="10"/>
  <c r="F135" i="10"/>
  <c r="F167" i="10"/>
  <c r="F199" i="10"/>
  <c r="F231" i="10"/>
  <c r="F263" i="10"/>
  <c r="F61" i="10"/>
  <c r="F244" i="10"/>
  <c r="F372" i="10"/>
  <c r="F68" i="10"/>
  <c r="F110" i="10"/>
  <c r="F172" i="10"/>
  <c r="F236" i="10"/>
  <c r="F360" i="10"/>
  <c r="F72" i="10"/>
  <c r="F138" i="10"/>
  <c r="F234" i="10"/>
  <c r="F69" i="10"/>
  <c r="F112" i="10"/>
  <c r="F174" i="10"/>
  <c r="F238" i="10"/>
  <c r="F364" i="10"/>
  <c r="F60" i="10"/>
  <c r="F102" i="10"/>
  <c r="F160" i="10"/>
  <c r="F224" i="10"/>
  <c r="F336" i="10"/>
  <c r="F133" i="10"/>
  <c r="F165" i="10"/>
  <c r="F197" i="10"/>
  <c r="F229" i="10"/>
  <c r="F261" i="10"/>
  <c r="F293" i="10"/>
  <c r="F325" i="10"/>
  <c r="F357" i="10"/>
  <c r="F242" i="10"/>
  <c r="F274" i="10"/>
  <c r="F306" i="10"/>
  <c r="F338" i="10"/>
  <c r="F370" i="10"/>
  <c r="F43" i="10"/>
  <c r="F75" i="10"/>
  <c r="F107" i="10"/>
  <c r="F139" i="10"/>
  <c r="F171" i="10"/>
  <c r="F203" i="10"/>
  <c r="F235" i="10"/>
  <c r="F267" i="10"/>
  <c r="F299" i="10"/>
  <c r="F331" i="10"/>
  <c r="F363" i="10"/>
  <c r="F77" i="10"/>
  <c r="F260" i="10"/>
  <c r="F30" i="10"/>
  <c r="F73" i="10"/>
  <c r="F116" i="10"/>
  <c r="F180" i="10"/>
  <c r="F248" i="10"/>
  <c r="F376" i="10"/>
  <c r="F82" i="10"/>
  <c r="F154" i="10"/>
  <c r="F32" i="10"/>
  <c r="F74" i="10"/>
  <c r="F118" i="10"/>
  <c r="F182" i="10"/>
  <c r="F252" i="10"/>
  <c r="F380" i="10"/>
  <c r="F65" i="10"/>
  <c r="F108" i="10"/>
  <c r="F168" i="10"/>
  <c r="F232" i="10"/>
  <c r="F352" i="10"/>
  <c r="F137" i="10"/>
  <c r="F169" i="10"/>
  <c r="F201" i="10"/>
  <c r="F233" i="10"/>
  <c r="F265" i="10"/>
  <c r="F297" i="10"/>
  <c r="F329" i="10"/>
  <c r="F361" i="10"/>
  <c r="F246" i="10"/>
  <c r="F278" i="10"/>
  <c r="F310" i="10"/>
  <c r="F342" i="10"/>
  <c r="F374" i="10"/>
  <c r="F47" i="10"/>
  <c r="F79" i="10"/>
  <c r="F111" i="10"/>
  <c r="F143" i="10"/>
  <c r="F175" i="10"/>
  <c r="F207" i="10"/>
  <c r="F239" i="10"/>
  <c r="F271" i="10"/>
  <c r="F303" i="10"/>
  <c r="F335" i="10"/>
  <c r="F367" i="10"/>
  <c r="F98" i="10"/>
  <c r="F276" i="10"/>
  <c r="F36" i="10"/>
  <c r="F78" i="10"/>
  <c r="F124" i="10"/>
  <c r="F188" i="10"/>
  <c r="F264" i="10"/>
  <c r="F29" i="10"/>
  <c r="F88" i="10"/>
  <c r="F162" i="10"/>
  <c r="F37" i="10"/>
  <c r="F80" i="10"/>
  <c r="F126" i="10"/>
  <c r="F190" i="10"/>
  <c r="F268" i="10"/>
  <c r="F28" i="10"/>
  <c r="F70" i="10"/>
  <c r="F113" i="10"/>
  <c r="F176" i="10"/>
  <c r="F240" i="10"/>
  <c r="F368" i="10"/>
  <c r="F141" i="10"/>
  <c r="F173" i="10"/>
  <c r="F205" i="10"/>
  <c r="F237" i="10"/>
  <c r="F269" i="10"/>
  <c r="F301" i="10"/>
  <c r="F333" i="10"/>
  <c r="F365" i="10"/>
  <c r="F250" i="10"/>
  <c r="F282" i="10"/>
  <c r="F314" i="10"/>
  <c r="F346" i="10"/>
  <c r="F378" i="10"/>
  <c r="F51" i="10"/>
  <c r="F83" i="10"/>
  <c r="F115" i="10"/>
  <c r="F147" i="10"/>
  <c r="F179" i="10"/>
  <c r="F211" i="10"/>
  <c r="F243" i="10"/>
  <c r="F275" i="10"/>
  <c r="F307" i="10"/>
  <c r="F339" i="10"/>
  <c r="F371" i="10"/>
  <c r="F84" i="10"/>
  <c r="F85" i="10"/>
  <c r="F76" i="10"/>
  <c r="F384" i="10"/>
  <c r="F241" i="10"/>
  <c r="F349" i="10"/>
  <c r="F294" i="10"/>
  <c r="F382" i="10"/>
  <c r="F99" i="10"/>
  <c r="F191" i="10"/>
  <c r="F279" i="10"/>
  <c r="F343" i="10"/>
  <c r="F132" i="10"/>
  <c r="F134" i="10"/>
  <c r="F86" i="10"/>
  <c r="F121" i="10"/>
  <c r="F249" i="10"/>
  <c r="F369" i="10"/>
  <c r="F298" i="10"/>
  <c r="F31" i="10"/>
  <c r="F119" i="10"/>
  <c r="F195" i="10"/>
  <c r="F287" i="10"/>
  <c r="F351" i="10"/>
  <c r="F196" i="10"/>
  <c r="F198" i="10"/>
  <c r="F120" i="10"/>
  <c r="F145" i="10"/>
  <c r="F273" i="10"/>
  <c r="F377" i="10"/>
  <c r="F318" i="10"/>
  <c r="F35" i="10"/>
  <c r="F127" i="10"/>
  <c r="F215" i="10"/>
  <c r="F291" i="10"/>
  <c r="F355" i="10"/>
  <c r="F280" i="10"/>
  <c r="F214" i="10"/>
  <c r="F136" i="10"/>
  <c r="F153" i="10"/>
  <c r="F281" i="10"/>
  <c r="F381" i="10"/>
  <c r="F326" i="10"/>
  <c r="F55" i="10"/>
  <c r="F131" i="10"/>
  <c r="F223" i="10"/>
  <c r="F295" i="10"/>
  <c r="F359" i="10"/>
  <c r="F34" i="10"/>
  <c r="F284" i="10"/>
  <c r="F184" i="10"/>
  <c r="F177" i="10"/>
  <c r="F305" i="10"/>
  <c r="F254" i="10"/>
  <c r="F330" i="10"/>
  <c r="F63" i="10"/>
  <c r="F151" i="10"/>
  <c r="F227" i="10"/>
  <c r="F311" i="10"/>
  <c r="F375" i="10"/>
  <c r="F114" i="10"/>
  <c r="F93" i="10"/>
  <c r="F316" i="10"/>
  <c r="F200" i="10"/>
  <c r="F185" i="10"/>
  <c r="F313" i="10"/>
  <c r="F262" i="10"/>
  <c r="F350" i="10"/>
  <c r="F67" i="10"/>
  <c r="F159" i="10"/>
  <c r="F247" i="10"/>
  <c r="F319" i="10"/>
  <c r="F383" i="10"/>
  <c r="F292" i="10"/>
  <c r="F178" i="10"/>
  <c r="F33" i="10"/>
  <c r="F256" i="10"/>
  <c r="F209" i="10"/>
  <c r="F337" i="10"/>
  <c r="F266" i="10"/>
  <c r="F358" i="10"/>
  <c r="F87" i="10"/>
  <c r="F163" i="10"/>
  <c r="F255" i="10"/>
  <c r="F323" i="10"/>
  <c r="F387" i="10"/>
  <c r="F41" i="10"/>
  <c r="F42" i="10"/>
  <c r="F44" i="10"/>
  <c r="F288" i="10"/>
  <c r="F217" i="10"/>
  <c r="F345" i="10"/>
  <c r="F286" i="10"/>
  <c r="F362" i="10"/>
  <c r="F95" i="10"/>
  <c r="F183" i="10"/>
  <c r="F259" i="10"/>
  <c r="F327" i="10"/>
  <c r="D38" i="1"/>
  <c r="D70" i="1"/>
  <c r="F313" i="1"/>
  <c r="F102" i="1"/>
  <c r="E61" i="1"/>
  <c r="D179" i="1"/>
  <c r="E92" i="1"/>
  <c r="E298" i="1"/>
  <c r="F336" i="1"/>
  <c r="F51" i="1"/>
  <c r="E270" i="1"/>
  <c r="F311" i="1"/>
  <c r="D235" i="1"/>
  <c r="F14" i="1"/>
  <c r="E356" i="1"/>
  <c r="F251" i="1"/>
  <c r="D303" i="1"/>
  <c r="E139" i="1"/>
  <c r="D54" i="1"/>
  <c r="D219" i="1"/>
  <c r="D197" i="1"/>
  <c r="D301" i="1"/>
  <c r="E205" i="1"/>
  <c r="E306" i="1"/>
  <c r="F101" i="1"/>
  <c r="E29" i="1"/>
  <c r="E264" i="1"/>
  <c r="D132" i="1"/>
  <c r="E154" i="1"/>
  <c r="F339" i="1"/>
  <c r="E136" i="1"/>
  <c r="F64" i="1"/>
  <c r="E250" i="1"/>
  <c r="D264" i="1"/>
  <c r="E36" i="1"/>
  <c r="F43" i="1"/>
  <c r="F261" i="1"/>
  <c r="D141" i="1"/>
  <c r="E344" i="1"/>
  <c r="F203" i="1"/>
  <c r="F281" i="1"/>
  <c r="D337" i="1"/>
  <c r="D107" i="1"/>
  <c r="E303" i="1"/>
  <c r="E360" i="1"/>
  <c r="E228" i="1"/>
  <c r="D44" i="1"/>
  <c r="D110" i="1"/>
  <c r="D232" i="1"/>
  <c r="E297" i="1"/>
  <c r="F208" i="1"/>
  <c r="E345" i="1"/>
  <c r="F174" i="1"/>
  <c r="E220" i="1"/>
  <c r="D173" i="1"/>
  <c r="F352" i="1"/>
  <c r="E254" i="1"/>
  <c r="E170" i="1"/>
  <c r="F187" i="1"/>
  <c r="E373" i="1"/>
  <c r="D90" i="1"/>
  <c r="F355" i="1"/>
  <c r="D385" i="1"/>
  <c r="E294" i="1"/>
  <c r="E118" i="1"/>
  <c r="D241" i="1"/>
  <c r="F63" i="1"/>
  <c r="E51" i="1"/>
  <c r="F164" i="1"/>
  <c r="D34" i="1"/>
  <c r="E93" i="1"/>
  <c r="E361" i="1"/>
  <c r="E355" i="1"/>
  <c r="F370" i="1"/>
  <c r="F112" i="1"/>
  <c r="E218" i="1"/>
  <c r="E143" i="1"/>
  <c r="E97" i="1"/>
  <c r="F254" i="1"/>
  <c r="F346" i="1"/>
  <c r="F285" i="1"/>
  <c r="E74" i="1"/>
  <c r="F9" i="1"/>
  <c r="E347" i="1"/>
  <c r="E340" i="1"/>
  <c r="D339" i="1"/>
  <c r="E182" i="1"/>
  <c r="F149" i="1"/>
  <c r="D282" i="1"/>
  <c r="D53" i="1"/>
  <c r="F230" i="1"/>
  <c r="E115" i="1"/>
  <c r="F340" i="1"/>
  <c r="E252" i="1"/>
  <c r="E288" i="1"/>
  <c r="E66" i="1"/>
  <c r="D346" i="1"/>
  <c r="F385" i="1"/>
  <c r="F92" i="1"/>
  <c r="E116" i="1"/>
  <c r="D42" i="1"/>
  <c r="E119" i="1"/>
  <c r="D322" i="1"/>
  <c r="F135" i="1"/>
  <c r="D246" i="1"/>
  <c r="D61" i="1"/>
  <c r="F260" i="1"/>
  <c r="F376" i="1"/>
  <c r="F221" i="1"/>
  <c r="F271" i="1"/>
  <c r="F238" i="1"/>
  <c r="D137" i="1"/>
  <c r="F69" i="1"/>
  <c r="E320" i="1"/>
  <c r="E321" i="1"/>
  <c r="F358" i="1"/>
  <c r="D139" i="1"/>
  <c r="D68" i="1"/>
  <c r="D259" i="1"/>
  <c r="F48" i="1"/>
  <c r="F133" i="1"/>
  <c r="F46" i="1"/>
  <c r="D335" i="1"/>
  <c r="F113" i="1"/>
  <c r="D305" i="1"/>
  <c r="E216" i="1"/>
  <c r="F227" i="1"/>
  <c r="E351" i="1"/>
  <c r="F12" i="1"/>
  <c r="E240" i="1"/>
  <c r="E193" i="1"/>
  <c r="D280" i="1"/>
  <c r="F72" i="1"/>
  <c r="F314" i="1"/>
  <c r="F154" i="1"/>
  <c r="F365" i="1"/>
  <c r="D361" i="1"/>
  <c r="D174" i="1"/>
  <c r="D115" i="1"/>
  <c r="D28" i="1"/>
  <c r="D369" i="1"/>
  <c r="D359" i="1"/>
  <c r="D234" i="1"/>
  <c r="E196" i="1"/>
  <c r="D230" i="1"/>
  <c r="F270" i="1"/>
  <c r="D247" i="1"/>
  <c r="D367" i="1"/>
  <c r="F116" i="1"/>
  <c r="D106" i="1"/>
  <c r="D129" i="1"/>
  <c r="F228" i="1"/>
  <c r="E362" i="1"/>
  <c r="D374" i="1"/>
  <c r="D212" i="1"/>
  <c r="D133" i="1"/>
  <c r="E50" i="1"/>
  <c r="E296" i="1"/>
  <c r="D152" i="1"/>
  <c r="F11" i="1"/>
  <c r="E125" i="1"/>
  <c r="F323" i="1"/>
  <c r="E110" i="1"/>
  <c r="D373" i="1"/>
  <c r="F326" i="1"/>
  <c r="D349" i="1"/>
  <c r="E78" i="1"/>
  <c r="D227" i="1"/>
  <c r="F52" i="1"/>
  <c r="F82" i="1"/>
  <c r="F175" i="1"/>
  <c r="E67" i="1"/>
  <c r="F114" i="1"/>
  <c r="D350" i="1"/>
  <c r="E273" i="1"/>
  <c r="E310" i="1"/>
  <c r="E72" i="1"/>
  <c r="F345" i="1"/>
  <c r="F156" i="1"/>
  <c r="D380" i="1"/>
  <c r="F291" i="1"/>
  <c r="D258" i="1"/>
  <c r="D170" i="1"/>
  <c r="E49" i="1"/>
  <c r="E364" i="1"/>
  <c r="D191" i="1"/>
  <c r="D251" i="1"/>
  <c r="E204" i="1"/>
  <c r="D295" i="1"/>
  <c r="E236" i="1"/>
  <c r="F29" i="1"/>
  <c r="F138" i="1"/>
  <c r="E156" i="1"/>
  <c r="F284" i="1"/>
  <c r="E318" i="1"/>
  <c r="F245" i="1"/>
  <c r="F31" i="1"/>
  <c r="D351" i="1"/>
  <c r="D276" i="1"/>
  <c r="F130" i="1"/>
  <c r="E330" i="1"/>
  <c r="E82" i="1"/>
  <c r="F169" i="1"/>
  <c r="E184" i="1"/>
  <c r="F295" i="1"/>
  <c r="D203" i="1"/>
  <c r="F16" i="1"/>
  <c r="F265" i="1"/>
  <c r="E301" i="1"/>
  <c r="E285" i="1"/>
  <c r="F303" i="1"/>
  <c r="E44" i="1"/>
  <c r="F243" i="1"/>
  <c r="F45" i="1"/>
  <c r="F337" i="1"/>
  <c r="E313" i="1"/>
  <c r="F152" i="1"/>
  <c r="F172" i="1"/>
  <c r="D381" i="1"/>
  <c r="D220" i="1"/>
  <c r="F21" i="1"/>
  <c r="F379" i="10"/>
  <c r="F347" i="10"/>
  <c r="F315" i="10"/>
  <c r="F283" i="10"/>
  <c r="F251" i="10"/>
  <c r="F219" i="10"/>
  <c r="F187" i="10"/>
  <c r="F155" i="10"/>
  <c r="F123" i="10"/>
  <c r="F91" i="10"/>
  <c r="F59" i="10"/>
  <c r="F386" i="10"/>
  <c r="F354" i="10"/>
  <c r="F322" i="10"/>
  <c r="F290" i="10"/>
  <c r="F258" i="10"/>
  <c r="F373" i="10"/>
  <c r="F341" i="10"/>
  <c r="F309" i="10"/>
  <c r="F277" i="10"/>
  <c r="F245" i="10"/>
  <c r="F213" i="10"/>
  <c r="F181" i="10"/>
  <c r="F149" i="10"/>
  <c r="F117" i="10"/>
  <c r="F272" i="10"/>
  <c r="F192" i="10"/>
  <c r="F128" i="10"/>
  <c r="F81" i="10"/>
  <c r="F38" i="10"/>
  <c r="F300" i="10"/>
  <c r="F206" i="10"/>
  <c r="F142" i="10"/>
  <c r="F90" i="10"/>
  <c r="F48" i="10"/>
  <c r="F186" i="10"/>
  <c r="F104" i="10"/>
  <c r="F45" i="10"/>
  <c r="F296" i="10"/>
  <c r="F204" i="10"/>
  <c r="F140" i="10"/>
  <c r="F89" i="10"/>
  <c r="F46" i="10"/>
  <c r="F308" i="10"/>
  <c r="F146" i="10"/>
  <c r="C5" i="8" l="1"/>
  <c r="C36" i="7"/>
  <c r="C10" i="4"/>
  <c r="C17" i="7"/>
  <c r="C2" i="3"/>
  <c r="C37" i="7"/>
  <c r="N24" i="4"/>
  <c r="N7" i="4"/>
  <c r="N18" i="4"/>
  <c r="N23" i="4"/>
  <c r="N25" i="4"/>
  <c r="N19" i="4"/>
  <c r="N13" i="4"/>
  <c r="N10" i="4"/>
  <c r="N9" i="4"/>
  <c r="N21" i="4"/>
  <c r="H3" i="4"/>
  <c r="N14" i="4"/>
  <c r="N26" i="4"/>
  <c r="N20" i="4"/>
  <c r="N12" i="4"/>
  <c r="N22" i="4"/>
  <c r="N17" i="4"/>
  <c r="N11" i="4"/>
  <c r="N16" i="4"/>
  <c r="N8" i="4"/>
  <c r="N15" i="4"/>
  <c r="G37" i="8"/>
  <c r="L37" i="8"/>
  <c r="D37" i="8"/>
  <c r="S37" i="8"/>
  <c r="V37" i="8"/>
  <c r="R37" i="8"/>
  <c r="P37" i="8"/>
  <c r="T37" i="8"/>
  <c r="O37" i="8"/>
  <c r="M37" i="8"/>
  <c r="Q37" i="8"/>
  <c r="K37" i="8"/>
  <c r="N37" i="8"/>
  <c r="J37" i="8"/>
  <c r="H37" i="8"/>
  <c r="E37" i="8"/>
  <c r="U37" i="8"/>
  <c r="I37" i="8"/>
  <c r="F37" i="8"/>
  <c r="D126" i="3"/>
  <c r="D321" i="3"/>
  <c r="D263" i="3"/>
  <c r="D115" i="3"/>
  <c r="D225" i="3"/>
  <c r="D32" i="3"/>
  <c r="D21" i="3"/>
  <c r="D96" i="3"/>
  <c r="D200" i="3"/>
  <c r="D91" i="3"/>
  <c r="D342" i="3"/>
  <c r="D141" i="3"/>
  <c r="D179" i="3"/>
  <c r="D121" i="3"/>
  <c r="D46" i="3"/>
  <c r="D298" i="3"/>
  <c r="D73" i="3"/>
  <c r="D217" i="3"/>
  <c r="D65" i="3"/>
  <c r="D15" i="3"/>
  <c r="D13" i="3"/>
  <c r="D145" i="3"/>
  <c r="D248" i="3"/>
  <c r="D203" i="3"/>
  <c r="D323" i="3"/>
  <c r="D161" i="3"/>
  <c r="D131" i="3"/>
  <c r="D241" i="3"/>
  <c r="D258" i="3"/>
  <c r="D105" i="3"/>
  <c r="D146" i="3"/>
  <c r="D370" i="3"/>
  <c r="D125" i="3"/>
  <c r="D111" i="3"/>
  <c r="D288" i="3"/>
  <c r="D369" i="3"/>
  <c r="D22" i="3"/>
  <c r="D253" i="3"/>
  <c r="D55" i="3"/>
  <c r="D284" i="3"/>
  <c r="D129" i="3"/>
  <c r="D147" i="3"/>
  <c r="D244" i="3"/>
  <c r="D300" i="3"/>
  <c r="D118" i="3"/>
  <c r="D365" i="3"/>
  <c r="D173" i="3"/>
  <c r="D269" i="3"/>
  <c r="D308" i="3"/>
  <c r="D42" i="3"/>
  <c r="D132" i="3"/>
  <c r="D152" i="3"/>
  <c r="D214" i="3"/>
  <c r="D106" i="3"/>
  <c r="D304" i="3"/>
  <c r="D220" i="3"/>
  <c r="D75" i="3"/>
  <c r="D190" i="3"/>
  <c r="D333" i="3"/>
  <c r="D343" i="3"/>
  <c r="D326" i="3"/>
  <c r="D256" i="3"/>
  <c r="D76" i="3"/>
  <c r="D18" i="3"/>
  <c r="D36" i="3"/>
  <c r="D232" i="3"/>
  <c r="D213" i="3"/>
  <c r="D183" i="3"/>
  <c r="D289" i="3"/>
  <c r="D67" i="3"/>
  <c r="D290" i="3"/>
  <c r="D142" i="3"/>
  <c r="D58" i="3"/>
  <c r="D271" i="3"/>
  <c r="D82" i="3"/>
  <c r="D229" i="3"/>
  <c r="D139" i="3"/>
  <c r="D49" i="3"/>
  <c r="D226" i="3"/>
  <c r="D330" i="3"/>
  <c r="D94" i="3"/>
  <c r="D295" i="3"/>
  <c r="D291" i="3"/>
  <c r="D10" i="3"/>
  <c r="D155" i="3"/>
  <c r="D245" i="3"/>
  <c r="D204" i="3"/>
  <c r="D138" i="3"/>
  <c r="D59" i="3"/>
  <c r="D60" i="3"/>
  <c r="D128" i="3"/>
  <c r="D356" i="3"/>
  <c r="D313" i="3"/>
  <c r="D178" i="3"/>
  <c r="D366" i="3"/>
  <c r="D113" i="3"/>
  <c r="D27" i="3"/>
  <c r="D110" i="3"/>
  <c r="D361" i="3"/>
  <c r="D292" i="3"/>
  <c r="D181" i="3"/>
  <c r="D222" i="3"/>
  <c r="D267" i="3"/>
  <c r="D314" i="3"/>
  <c r="D320" i="3"/>
  <c r="D117" i="3"/>
  <c r="D122" i="3"/>
  <c r="D109" i="3"/>
  <c r="D194" i="3"/>
  <c r="D340" i="3"/>
  <c r="D39" i="3"/>
  <c r="D252" i="3"/>
  <c r="D93" i="3"/>
  <c r="D346" i="3"/>
  <c r="D137" i="3"/>
  <c r="D345" i="3"/>
  <c r="D352" i="3"/>
  <c r="D341" i="3"/>
  <c r="D114" i="3"/>
  <c r="D33" i="3"/>
  <c r="D89" i="3"/>
  <c r="D180" i="3"/>
  <c r="D167" i="3"/>
  <c r="D324" i="3"/>
  <c r="D211" i="3"/>
  <c r="D86" i="3"/>
  <c r="D124" i="3"/>
  <c r="D72" i="3"/>
  <c r="D98" i="3"/>
  <c r="D156" i="3"/>
  <c r="D318" i="3"/>
  <c r="D24" i="3"/>
  <c r="D45" i="3"/>
  <c r="D97" i="3"/>
  <c r="D272" i="3"/>
  <c r="D266" i="3"/>
  <c r="D242" i="3"/>
  <c r="D236" i="3"/>
  <c r="D322" i="3"/>
  <c r="D212" i="3"/>
  <c r="D70" i="3"/>
  <c r="D80" i="3"/>
  <c r="D247" i="3"/>
  <c r="D227" i="3"/>
  <c r="D83" i="3"/>
  <c r="D223" i="3"/>
  <c r="D153" i="3"/>
  <c r="D230" i="3"/>
  <c r="D299" i="3"/>
  <c r="D282" i="3"/>
  <c r="D279" i="3"/>
  <c r="D294" i="3"/>
  <c r="D359" i="3"/>
  <c r="D331" i="3"/>
  <c r="D102" i="3"/>
  <c r="D168" i="3"/>
  <c r="D262" i="3"/>
  <c r="D64" i="3"/>
  <c r="D177" i="3"/>
  <c r="D189" i="3"/>
  <c r="D357" i="3"/>
  <c r="D19" i="3"/>
  <c r="D51" i="3"/>
  <c r="D306" i="3"/>
  <c r="D107" i="3"/>
  <c r="D90" i="3"/>
  <c r="D159" i="3"/>
  <c r="D297" i="3"/>
  <c r="D150" i="3"/>
  <c r="D44" i="3"/>
  <c r="D63" i="3"/>
  <c r="D274" i="3"/>
  <c r="D224" i="3"/>
  <c r="D140" i="3"/>
  <c r="D197" i="3"/>
  <c r="D130" i="3"/>
  <c r="D255" i="3"/>
  <c r="D182" i="3"/>
  <c r="D251" i="3"/>
  <c r="D257" i="3"/>
  <c r="D325" i="3"/>
  <c r="D14" i="3"/>
  <c r="D201" i="3"/>
  <c r="D231" i="3"/>
  <c r="D57" i="3"/>
  <c r="D54" i="3"/>
  <c r="D215" i="3"/>
  <c r="D29" i="3"/>
  <c r="D134" i="3"/>
  <c r="D40" i="3"/>
  <c r="D367" i="3"/>
  <c r="D43" i="3"/>
  <c r="D239" i="3"/>
  <c r="D187" i="3"/>
  <c r="D218" i="3"/>
  <c r="D25" i="3"/>
  <c r="D127" i="3"/>
  <c r="D165" i="3"/>
  <c r="D85" i="3"/>
  <c r="D112" i="3"/>
  <c r="D172" i="3"/>
  <c r="D254" i="3"/>
  <c r="D56" i="3"/>
  <c r="D175" i="3"/>
  <c r="D41" i="3"/>
  <c r="D34" i="3"/>
  <c r="D293" i="3"/>
  <c r="D157" i="3"/>
  <c r="D316" i="3"/>
  <c r="D158" i="3"/>
  <c r="D210" i="3"/>
  <c r="D71" i="3"/>
  <c r="D329" i="3"/>
  <c r="D48" i="3"/>
  <c r="D364" i="3"/>
  <c r="D219" i="3"/>
  <c r="D280" i="3"/>
  <c r="D337" i="3"/>
  <c r="D28" i="3"/>
  <c r="D151" i="3"/>
  <c r="D285" i="3"/>
  <c r="D250" i="3"/>
  <c r="D192" i="3"/>
  <c r="D278" i="3"/>
  <c r="D77" i="3"/>
  <c r="D277" i="3"/>
  <c r="D37" i="3"/>
  <c r="D265" i="3"/>
  <c r="D52" i="3"/>
  <c r="D221" i="3"/>
  <c r="D50" i="3"/>
  <c r="D310" i="3"/>
  <c r="D123" i="3"/>
  <c r="D249" i="3"/>
  <c r="D336" i="3"/>
  <c r="D240" i="3"/>
  <c r="D11" i="3"/>
  <c r="D281" i="3"/>
  <c r="D335" i="3"/>
  <c r="D133" i="3"/>
  <c r="D206" i="3"/>
  <c r="D273" i="3"/>
  <c r="D205" i="3"/>
  <c r="D362" i="3"/>
  <c r="D144" i="3"/>
  <c r="D12" i="3"/>
  <c r="D209" i="3"/>
  <c r="D92" i="3"/>
  <c r="D348" i="3"/>
  <c r="D120" i="3"/>
  <c r="D264" i="3"/>
  <c r="D184" i="3"/>
  <c r="D163" i="3"/>
  <c r="D53" i="3"/>
  <c r="D100" i="3"/>
  <c r="D171" i="3"/>
  <c r="D169" i="3"/>
  <c r="D62" i="3"/>
  <c r="D246" i="3"/>
  <c r="D349" i="3"/>
  <c r="D135" i="3"/>
  <c r="D185" i="3"/>
  <c r="D164" i="3"/>
  <c r="D319" i="3"/>
  <c r="D84" i="3"/>
  <c r="D88" i="3"/>
  <c r="D234" i="3"/>
  <c r="D332" i="3"/>
  <c r="D69" i="3"/>
  <c r="D228" i="3"/>
  <c r="D61" i="3"/>
  <c r="D303" i="3"/>
  <c r="D81" i="3"/>
  <c r="D237" i="3"/>
  <c r="D78" i="3"/>
  <c r="D95" i="3"/>
  <c r="D305" i="3"/>
  <c r="D99" i="3"/>
  <c r="D216" i="3"/>
  <c r="D31" i="3"/>
  <c r="D79" i="3"/>
  <c r="D275" i="3"/>
  <c r="D363" i="3"/>
  <c r="D154" i="3"/>
  <c r="D116" i="3"/>
  <c r="D334" i="3"/>
  <c r="D311" i="3"/>
  <c r="D307" i="3"/>
  <c r="D315" i="3"/>
  <c r="D301" i="3"/>
  <c r="D26" i="3"/>
  <c r="D268" i="3"/>
  <c r="D68" i="3"/>
  <c r="D260" i="3"/>
  <c r="D328" i="3"/>
  <c r="D119" i="3"/>
  <c r="D176" i="3"/>
  <c r="D162" i="3"/>
  <c r="D353" i="3"/>
  <c r="D20" i="3"/>
  <c r="D186" i="3"/>
  <c r="D166" i="3"/>
  <c r="D103" i="3"/>
  <c r="D196" i="3"/>
  <c r="D35" i="3"/>
  <c r="D174" i="3"/>
  <c r="D38" i="3"/>
  <c r="D104" i="3"/>
  <c r="D355" i="3"/>
  <c r="D188" i="3"/>
  <c r="D344" i="3"/>
  <c r="D23" i="3"/>
  <c r="D198" i="3"/>
  <c r="D270" i="3"/>
  <c r="D350" i="3"/>
  <c r="D193" i="3"/>
  <c r="D47" i="3"/>
  <c r="D312" i="3"/>
  <c r="D368" i="3"/>
  <c r="D296" i="3"/>
  <c r="D339" i="3"/>
  <c r="D143" i="3"/>
  <c r="D238" i="3"/>
  <c r="D283" i="3"/>
  <c r="D261" i="3"/>
  <c r="D338" i="3"/>
  <c r="D30" i="3"/>
  <c r="D149" i="3"/>
  <c r="D360" i="3"/>
  <c r="D351" i="3"/>
  <c r="D317" i="3"/>
  <c r="D208" i="3"/>
  <c r="D87" i="3"/>
  <c r="D74" i="3"/>
  <c r="D108" i="3"/>
  <c r="D286" i="3"/>
  <c r="D136" i="3"/>
  <c r="D235" i="3"/>
  <c r="D347" i="3"/>
  <c r="D199" i="3"/>
  <c r="D170" i="3"/>
  <c r="D148" i="3"/>
  <c r="D259" i="3"/>
  <c r="D17" i="3"/>
  <c r="D207" i="3"/>
  <c r="C5" i="3"/>
  <c r="D309" i="3"/>
  <c r="D287" i="3"/>
  <c r="D66" i="3"/>
  <c r="D160" i="3"/>
  <c r="D191" i="3"/>
  <c r="D358" i="3"/>
  <c r="D233" i="3"/>
  <c r="D302" i="3"/>
  <c r="D354" i="3"/>
  <c r="D16" i="3"/>
  <c r="D276" i="3"/>
  <c r="D202" i="3"/>
  <c r="D195" i="3"/>
  <c r="D101" i="3"/>
  <c r="D243" i="3"/>
  <c r="D327" i="3"/>
  <c r="X605" i="5"/>
  <c r="F91" i="3"/>
  <c r="F163" i="3"/>
  <c r="F267" i="3"/>
  <c r="F63" i="3"/>
  <c r="F366" i="3"/>
  <c r="F262" i="3"/>
  <c r="F177" i="3"/>
  <c r="F146" i="3"/>
  <c r="F259" i="3"/>
  <c r="F45" i="3"/>
  <c r="F195" i="3"/>
  <c r="F209" i="3"/>
  <c r="F167" i="3"/>
  <c r="F342" i="3"/>
  <c r="F370" i="3"/>
  <c r="F137" i="3"/>
  <c r="F154" i="3"/>
  <c r="F274" i="3"/>
  <c r="F266" i="3"/>
  <c r="F279" i="3"/>
  <c r="F140" i="3"/>
  <c r="F110" i="3"/>
  <c r="F186" i="3"/>
  <c r="F283" i="3"/>
  <c r="F136" i="3"/>
  <c r="F310" i="3"/>
  <c r="F78" i="3"/>
  <c r="F271" i="3"/>
  <c r="F326" i="3"/>
  <c r="F174" i="3"/>
  <c r="F169" i="3"/>
  <c r="F15" i="3"/>
  <c r="F275" i="3"/>
  <c r="F107" i="3"/>
  <c r="F38" i="3"/>
  <c r="F141" i="3"/>
  <c r="F135" i="3"/>
  <c r="F27" i="3"/>
  <c r="F325" i="3"/>
  <c r="F364" i="3"/>
  <c r="F176" i="3"/>
  <c r="F240" i="3"/>
  <c r="F57" i="3"/>
  <c r="F309" i="3"/>
  <c r="F178" i="3"/>
  <c r="F311" i="3"/>
  <c r="F25" i="3"/>
  <c r="F124" i="3"/>
  <c r="F245" i="3"/>
  <c r="F365" i="3"/>
  <c r="F130" i="3"/>
  <c r="F89" i="3"/>
  <c r="F129" i="3"/>
  <c r="F269" i="3"/>
  <c r="F318" i="3"/>
  <c r="F162" i="3"/>
  <c r="F20" i="3"/>
  <c r="F284" i="3"/>
  <c r="F219" i="3"/>
  <c r="F113" i="3"/>
  <c r="F95" i="3"/>
  <c r="F185" i="3"/>
  <c r="F36" i="3"/>
  <c r="F175" i="3"/>
  <c r="F332" i="3"/>
  <c r="F308" i="3"/>
  <c r="F81" i="3"/>
  <c r="F71" i="3"/>
  <c r="F346" i="3"/>
  <c r="F134" i="3"/>
  <c r="F252" i="3"/>
  <c r="F69" i="3"/>
  <c r="F109" i="3"/>
  <c r="F323" i="3"/>
  <c r="F90" i="3"/>
  <c r="F354" i="3"/>
  <c r="F214" i="3"/>
  <c r="F168" i="3"/>
  <c r="F53" i="3"/>
  <c r="F340" i="3"/>
  <c r="F312" i="3"/>
  <c r="F317" i="3"/>
  <c r="F316" i="3"/>
  <c r="F147" i="3"/>
  <c r="F142" i="3"/>
  <c r="F26" i="3"/>
  <c r="F157" i="3"/>
  <c r="F300" i="3"/>
  <c r="F227" i="3"/>
  <c r="F103" i="3"/>
  <c r="F362" i="3"/>
  <c r="F255" i="3"/>
  <c r="F217" i="3"/>
  <c r="F34" i="3"/>
  <c r="F321" i="3"/>
  <c r="F197" i="3"/>
  <c r="F231" i="3"/>
  <c r="F296" i="3"/>
  <c r="F156" i="3"/>
  <c r="F144" i="3"/>
  <c r="F152" i="3"/>
  <c r="F102" i="3"/>
  <c r="F289" i="3"/>
  <c r="F14" i="3"/>
  <c r="F248" i="3"/>
  <c r="F223" i="3"/>
  <c r="F68" i="3"/>
  <c r="F170" i="3"/>
  <c r="F189" i="3"/>
  <c r="F37" i="3"/>
  <c r="F74" i="3"/>
  <c r="F359" i="3"/>
  <c r="F260" i="3"/>
  <c r="F98" i="3"/>
  <c r="F288" i="3"/>
  <c r="F65" i="3"/>
  <c r="F67" i="3"/>
  <c r="F70" i="3"/>
  <c r="F153" i="3"/>
  <c r="F358" i="3"/>
  <c r="F160" i="3"/>
  <c r="F62" i="3"/>
  <c r="F92" i="3"/>
  <c r="F182" i="3"/>
  <c r="F198" i="3"/>
  <c r="F299" i="3"/>
  <c r="F290" i="3"/>
  <c r="F338" i="3"/>
  <c r="F31" i="3"/>
  <c r="F230" i="3"/>
  <c r="F131" i="3"/>
  <c r="F16" i="3"/>
  <c r="F121" i="3"/>
  <c r="F184" i="3"/>
  <c r="F304" i="3"/>
  <c r="F254" i="3"/>
  <c r="F285" i="3"/>
  <c r="F18" i="3"/>
  <c r="F341" i="3"/>
  <c r="F295" i="3"/>
  <c r="F191" i="3"/>
  <c r="F76" i="3"/>
  <c r="F79" i="3"/>
  <c r="F258" i="3"/>
  <c r="F108" i="3"/>
  <c r="F30" i="3"/>
  <c r="F84" i="3"/>
  <c r="F307" i="3"/>
  <c r="F200" i="3"/>
  <c r="F306" i="3"/>
  <c r="F24" i="3"/>
  <c r="F32" i="3"/>
  <c r="F216" i="3"/>
  <c r="F328" i="3"/>
  <c r="F270" i="3"/>
  <c r="F28" i="3"/>
  <c r="F215" i="3"/>
  <c r="F244" i="3"/>
  <c r="F324" i="3"/>
  <c r="F100" i="3"/>
  <c r="F330" i="3"/>
  <c r="F292" i="3"/>
  <c r="F35" i="3"/>
  <c r="F207" i="3"/>
  <c r="F96" i="3"/>
  <c r="F77" i="3"/>
  <c r="F337" i="3"/>
  <c r="F119" i="3"/>
  <c r="F51" i="3"/>
  <c r="F298" i="3"/>
  <c r="F351" i="3"/>
  <c r="F87" i="3"/>
  <c r="F72" i="3"/>
  <c r="F148" i="3"/>
  <c r="F181" i="3"/>
  <c r="F347" i="3"/>
  <c r="F122" i="3"/>
  <c r="F319" i="3"/>
  <c r="F249" i="3"/>
  <c r="F204" i="3"/>
  <c r="F241" i="3"/>
  <c r="F11" i="3"/>
  <c r="F315" i="3"/>
  <c r="F19" i="3"/>
  <c r="F13" i="3"/>
  <c r="F55" i="3"/>
  <c r="F236" i="3"/>
  <c r="F293" i="3"/>
  <c r="F40" i="3"/>
  <c r="F202" i="3"/>
  <c r="F232" i="3"/>
  <c r="F171" i="3"/>
  <c r="F229" i="3"/>
  <c r="F12" i="3"/>
  <c r="F75" i="3"/>
  <c r="F80" i="3"/>
  <c r="F173" i="3"/>
  <c r="F188" i="3"/>
  <c r="F42" i="3"/>
  <c r="F47" i="3"/>
  <c r="F280" i="3"/>
  <c r="F125" i="3"/>
  <c r="F104" i="3"/>
  <c r="F224" i="3"/>
  <c r="F86" i="3"/>
  <c r="F235" i="3"/>
  <c r="F327" i="3"/>
  <c r="F106" i="3"/>
  <c r="F117" i="3"/>
  <c r="F314" i="3"/>
  <c r="F335" i="3"/>
  <c r="F133" i="3"/>
  <c r="F105" i="3"/>
  <c r="F220" i="3"/>
  <c r="F257" i="3"/>
  <c r="F329" i="3"/>
  <c r="F158" i="3"/>
  <c r="F44" i="3"/>
  <c r="F101" i="3"/>
  <c r="F281" i="3"/>
  <c r="F344" i="3"/>
  <c r="F222" i="3"/>
  <c r="F190" i="3"/>
  <c r="F305" i="3"/>
  <c r="F150" i="3"/>
  <c r="F180" i="3"/>
  <c r="F253" i="3"/>
  <c r="F165" i="3"/>
  <c r="F112" i="3"/>
  <c r="F41" i="3"/>
  <c r="F54" i="3"/>
  <c r="F196" i="3"/>
  <c r="F352" i="3"/>
  <c r="F193" i="3"/>
  <c r="F85" i="3"/>
  <c r="F211" i="3"/>
  <c r="F368" i="3"/>
  <c r="F213" i="3"/>
  <c r="F23" i="3"/>
  <c r="F116" i="3"/>
  <c r="F228" i="3"/>
  <c r="F97" i="3"/>
  <c r="F367" i="3"/>
  <c r="F83" i="3"/>
  <c r="F369" i="3"/>
  <c r="F128" i="3"/>
  <c r="F161" i="3"/>
  <c r="F149" i="3"/>
  <c r="F58" i="3"/>
  <c r="F56" i="3"/>
  <c r="F313" i="3"/>
  <c r="F210" i="3"/>
  <c r="F251" i="3"/>
  <c r="F331" i="3"/>
  <c r="F127" i="3"/>
  <c r="F199" i="3"/>
  <c r="F52" i="3"/>
  <c r="F264" i="3"/>
  <c r="F145" i="3"/>
  <c r="F166" i="3"/>
  <c r="F64" i="3"/>
  <c r="F164" i="3"/>
  <c r="F265" i="3"/>
  <c r="F118" i="3"/>
  <c r="F39" i="3"/>
  <c r="F277" i="3"/>
  <c r="F208" i="3"/>
  <c r="F73" i="3"/>
  <c r="F353" i="3"/>
  <c r="F172" i="3"/>
  <c r="F272" i="3"/>
  <c r="F151" i="3"/>
  <c r="F111" i="3"/>
  <c r="F268" i="3"/>
  <c r="F10" i="3"/>
  <c r="F93" i="3"/>
  <c r="F234" i="3"/>
  <c r="F143" i="3"/>
  <c r="F356" i="3"/>
  <c r="F123" i="3"/>
  <c r="F17" i="3"/>
  <c r="F334" i="3"/>
  <c r="F205" i="3"/>
  <c r="F94" i="3"/>
  <c r="F183" i="3"/>
  <c r="F139" i="3"/>
  <c r="F339" i="3"/>
  <c r="F345" i="3"/>
  <c r="F302" i="3"/>
  <c r="F49" i="3"/>
  <c r="F59" i="3"/>
  <c r="F99" i="3"/>
  <c r="F276" i="3"/>
  <c r="F322" i="3"/>
  <c r="F363" i="3"/>
  <c r="F343" i="3"/>
  <c r="F221" i="3"/>
  <c r="F48" i="3"/>
  <c r="F243" i="3"/>
  <c r="F61" i="3"/>
  <c r="F273" i="3"/>
  <c r="F333" i="3"/>
  <c r="F247" i="3"/>
  <c r="F50" i="3"/>
  <c r="F238" i="3"/>
  <c r="F246" i="3"/>
  <c r="F336" i="3"/>
  <c r="F355" i="3"/>
  <c r="F348" i="3"/>
  <c r="F349" i="3"/>
  <c r="F206" i="3"/>
  <c r="F33" i="3"/>
  <c r="F225" i="3"/>
  <c r="F242" i="3"/>
  <c r="F29" i="3"/>
  <c r="F21" i="3"/>
  <c r="F212" i="3"/>
  <c r="F239" i="3"/>
  <c r="F179" i="3"/>
  <c r="F263" i="3"/>
  <c r="F287" i="3"/>
  <c r="F218" i="3"/>
  <c r="F115" i="3"/>
  <c r="F46" i="3"/>
  <c r="F301" i="3"/>
  <c r="F261" i="3"/>
  <c r="F278" i="3"/>
  <c r="F233" i="3"/>
  <c r="F294" i="3"/>
  <c r="F194" i="3"/>
  <c r="F187" i="3"/>
  <c r="F88" i="3"/>
  <c r="F126" i="3"/>
  <c r="F357" i="3"/>
  <c r="F203" i="3"/>
  <c r="F132" i="3"/>
  <c r="F286" i="3"/>
  <c r="F120" i="3"/>
  <c r="F43" i="3"/>
  <c r="F192" i="3"/>
  <c r="F138" i="3"/>
  <c r="F297" i="3"/>
  <c r="F282" i="3"/>
  <c r="F114" i="3"/>
  <c r="F60" i="3"/>
  <c r="F155" i="3"/>
  <c r="F350" i="3"/>
  <c r="F360" i="3"/>
  <c r="F291" i="3"/>
  <c r="F22" i="3"/>
  <c r="F82" i="3"/>
  <c r="F201" i="3"/>
  <c r="F303" i="3"/>
  <c r="F320" i="3"/>
  <c r="F256" i="3"/>
  <c r="F361" i="3"/>
  <c r="F226" i="3"/>
  <c r="F250" i="3"/>
  <c r="F66" i="3"/>
  <c r="F159" i="3"/>
  <c r="F237" i="3"/>
  <c r="C9" i="7" l="1"/>
  <c r="C6" i="8"/>
  <c r="O15" i="4"/>
  <c r="O8" i="4"/>
  <c r="O16" i="4"/>
  <c r="O11" i="4"/>
  <c r="O17" i="4"/>
  <c r="O22" i="4"/>
  <c r="O12" i="4"/>
  <c r="O20" i="4"/>
  <c r="O26" i="4"/>
  <c r="O14" i="4"/>
  <c r="O21" i="4"/>
  <c r="O9" i="4"/>
  <c r="O10" i="4"/>
  <c r="O13" i="4"/>
  <c r="O19" i="4"/>
  <c r="O25" i="4"/>
  <c r="O23" i="4"/>
  <c r="O18" i="4"/>
  <c r="O7" i="4"/>
  <c r="O24" i="4"/>
  <c r="C10" i="7"/>
  <c r="C7" i="8"/>
  <c r="C15" i="7"/>
  <c r="C39" i="7"/>
  <c r="E2" i="7" a="1"/>
  <c r="C18" i="7"/>
  <c r="C40" i="7"/>
  <c r="C41" i="7"/>
  <c r="C42" i="7"/>
  <c r="P5" i="7" l="1"/>
  <c r="H7" i="7"/>
  <c r="S33" i="7"/>
  <c r="E10" i="7"/>
  <c r="M4" i="7"/>
  <c r="M28" i="7"/>
  <c r="F21" i="7"/>
  <c r="Q23" i="7"/>
  <c r="J37" i="7"/>
  <c r="R39" i="7"/>
  <c r="G21" i="7"/>
  <c r="P7" i="7"/>
  <c r="J42" i="7"/>
  <c r="N22" i="7"/>
  <c r="R17" i="7"/>
  <c r="L42" i="7"/>
  <c r="O34" i="7"/>
  <c r="S28" i="7"/>
  <c r="M29" i="7"/>
  <c r="J31" i="7"/>
  <c r="O27" i="7"/>
  <c r="E20" i="7"/>
  <c r="F25" i="7"/>
  <c r="N11" i="7"/>
  <c r="F27" i="7"/>
  <c r="H22" i="7"/>
  <c r="M6" i="7"/>
  <c r="K13" i="7"/>
  <c r="H3" i="7"/>
  <c r="L16" i="7"/>
  <c r="J38" i="7"/>
  <c r="J34" i="7"/>
  <c r="E34" i="7"/>
  <c r="M9" i="7"/>
  <c r="M23" i="7"/>
  <c r="K19" i="7"/>
  <c r="O28" i="7"/>
  <c r="J2" i="7"/>
  <c r="L24" i="7"/>
  <c r="S40" i="7"/>
  <c r="E41" i="7"/>
  <c r="P32" i="7"/>
  <c r="L7" i="7"/>
  <c r="F37" i="7"/>
  <c r="P42" i="7"/>
  <c r="H21" i="7"/>
  <c r="R21" i="7"/>
  <c r="O14" i="7"/>
  <c r="S41" i="7"/>
  <c r="G34" i="7"/>
  <c r="I3" i="7"/>
  <c r="G26" i="7"/>
  <c r="R15" i="7"/>
  <c r="P30" i="7"/>
  <c r="L8" i="7"/>
  <c r="N10" i="7"/>
  <c r="N6" i="7"/>
  <c r="H14" i="7"/>
  <c r="J26" i="7"/>
  <c r="F31" i="7"/>
  <c r="N35" i="7"/>
  <c r="L17" i="7"/>
  <c r="M2" i="7"/>
  <c r="G31" i="7"/>
  <c r="S8" i="7"/>
  <c r="P27" i="7"/>
  <c r="S12" i="7"/>
  <c r="H33" i="7"/>
  <c r="E29" i="7"/>
  <c r="Q31" i="7"/>
  <c r="K16" i="7"/>
  <c r="M31" i="7"/>
  <c r="G43" i="7"/>
  <c r="M25" i="7"/>
  <c r="E42" i="7"/>
  <c r="J20" i="7"/>
  <c r="N4" i="7"/>
  <c r="Q28" i="7"/>
  <c r="E27" i="7"/>
  <c r="H10" i="7"/>
  <c r="S21" i="7"/>
  <c r="S2" i="7"/>
  <c r="Q18" i="7"/>
  <c r="H34" i="7"/>
  <c r="K36" i="7"/>
  <c r="O42" i="7"/>
  <c r="G22" i="7"/>
  <c r="Q40" i="7"/>
  <c r="E5" i="7"/>
  <c r="P12" i="7"/>
  <c r="R19" i="7"/>
  <c r="L4" i="7"/>
  <c r="N26" i="7"/>
  <c r="G36" i="7"/>
  <c r="R35" i="7"/>
  <c r="I22" i="7"/>
  <c r="J25" i="7"/>
  <c r="R37" i="7"/>
  <c r="N8" i="7"/>
  <c r="Q4" i="7"/>
  <c r="P10" i="7"/>
  <c r="G38" i="7"/>
  <c r="M20" i="7"/>
  <c r="M17" i="7"/>
  <c r="J5" i="7"/>
  <c r="F17" i="7"/>
  <c r="K32" i="7"/>
  <c r="M13" i="7"/>
  <c r="K21" i="7"/>
  <c r="H24" i="7"/>
  <c r="F2" i="7"/>
  <c r="Q5" i="7"/>
  <c r="I17" i="7"/>
  <c r="N38" i="7"/>
  <c r="P19" i="7"/>
  <c r="S19" i="7"/>
  <c r="G37" i="7"/>
  <c r="J24" i="7"/>
  <c r="E24" i="7"/>
  <c r="L36" i="7"/>
  <c r="P21" i="7"/>
  <c r="R32" i="7"/>
  <c r="F6" i="7"/>
  <c r="Q11" i="7"/>
  <c r="E22" i="7"/>
  <c r="J12" i="7"/>
  <c r="J10" i="7"/>
  <c r="R43" i="7"/>
  <c r="S37" i="7"/>
  <c r="F19" i="7"/>
  <c r="Q41" i="7"/>
  <c r="R12" i="7"/>
  <c r="K22" i="7"/>
  <c r="J15" i="7"/>
  <c r="I15" i="7"/>
  <c r="R14" i="7"/>
  <c r="R11" i="7"/>
  <c r="M43" i="7"/>
  <c r="M32" i="7"/>
  <c r="O39" i="7"/>
  <c r="I19" i="7"/>
  <c r="K25" i="7"/>
  <c r="F14" i="7"/>
  <c r="R23" i="7"/>
  <c r="H6" i="7"/>
  <c r="H36" i="7"/>
  <c r="G11" i="7"/>
  <c r="E9" i="7"/>
  <c r="N36" i="7"/>
  <c r="N28" i="7"/>
  <c r="I34" i="7"/>
  <c r="E15" i="7"/>
  <c r="N41" i="7"/>
  <c r="G28" i="7"/>
  <c r="P17" i="7"/>
  <c r="Q38" i="7"/>
  <c r="F16" i="7"/>
  <c r="F15" i="7"/>
  <c r="Q20" i="7"/>
  <c r="J35" i="7"/>
  <c r="P36" i="7"/>
  <c r="R28" i="7"/>
  <c r="N7" i="7"/>
  <c r="G2" i="7"/>
  <c r="G5" i="7"/>
  <c r="E33" i="7"/>
  <c r="P29" i="7"/>
  <c r="P8" i="7"/>
  <c r="F38" i="7"/>
  <c r="J19" i="7"/>
  <c r="I9" i="7"/>
  <c r="S4" i="7"/>
  <c r="H2" i="7"/>
  <c r="K15" i="7"/>
  <c r="E11" i="7"/>
  <c r="O33" i="7"/>
  <c r="H15" i="7"/>
  <c r="M16" i="7"/>
  <c r="Q14" i="7"/>
  <c r="P13" i="7"/>
  <c r="O9" i="7"/>
  <c r="J11" i="7"/>
  <c r="G39" i="7"/>
  <c r="G41" i="7"/>
  <c r="K28" i="7"/>
  <c r="G8" i="7"/>
  <c r="R34" i="7"/>
  <c r="K34" i="7"/>
  <c r="M11" i="7"/>
  <c r="N13" i="7"/>
  <c r="N43" i="7"/>
  <c r="F29" i="7"/>
  <c r="P16" i="7"/>
  <c r="S22" i="7"/>
  <c r="Q2" i="7"/>
  <c r="S20" i="7"/>
  <c r="L5" i="7"/>
  <c r="G12" i="7"/>
  <c r="E26" i="7"/>
  <c r="G15" i="7"/>
  <c r="G40" i="7"/>
  <c r="I21" i="7"/>
  <c r="J16" i="7"/>
  <c r="G23" i="7"/>
  <c r="J13" i="7"/>
  <c r="K43" i="7"/>
  <c r="G27" i="7"/>
  <c r="S10" i="7"/>
  <c r="E38" i="7"/>
  <c r="H9" i="7"/>
  <c r="K35" i="7"/>
  <c r="L2" i="7"/>
  <c r="P43" i="7"/>
  <c r="I38" i="7"/>
  <c r="H23" i="7"/>
  <c r="E19" i="7"/>
  <c r="F32" i="7"/>
  <c r="L40" i="7"/>
  <c r="G20" i="7"/>
  <c r="N18" i="7"/>
  <c r="L31" i="7"/>
  <c r="L13" i="7"/>
  <c r="H37" i="7"/>
  <c r="F11" i="7"/>
  <c r="L3" i="7"/>
  <c r="M26" i="7"/>
  <c r="L32" i="7"/>
  <c r="H31" i="7"/>
  <c r="J6" i="7"/>
  <c r="E21" i="7"/>
  <c r="L25" i="7"/>
  <c r="S29" i="7"/>
  <c r="N42" i="7"/>
  <c r="N16" i="7"/>
  <c r="J3" i="7"/>
  <c r="N23" i="7"/>
  <c r="G10" i="7"/>
  <c r="G19" i="7"/>
  <c r="O6" i="7"/>
  <c r="O37" i="7"/>
  <c r="I2" i="7"/>
  <c r="P38" i="7"/>
  <c r="F8" i="7"/>
  <c r="F13" i="7"/>
  <c r="J23" i="7"/>
  <c r="E18" i="7"/>
  <c r="O22" i="7"/>
  <c r="R18" i="7"/>
  <c r="E13" i="7"/>
  <c r="J43" i="7"/>
  <c r="H25" i="7"/>
  <c r="I5" i="7"/>
  <c r="F4" i="7"/>
  <c r="N30" i="7"/>
  <c r="K18" i="7"/>
  <c r="F9" i="7"/>
  <c r="S30" i="7"/>
  <c r="E31" i="7"/>
  <c r="H35" i="7"/>
  <c r="M36" i="7"/>
  <c r="R20" i="7"/>
  <c r="S17" i="7"/>
  <c r="P37" i="7"/>
  <c r="K42" i="7"/>
  <c r="O7" i="7"/>
  <c r="Q27" i="7"/>
  <c r="G4" i="7"/>
  <c r="M35" i="7"/>
  <c r="Q33" i="7"/>
  <c r="O12" i="7"/>
  <c r="O16" i="7"/>
  <c r="O5" i="7"/>
  <c r="Q24" i="7"/>
  <c r="E17" i="7"/>
  <c r="I16" i="7"/>
  <c r="E25" i="7"/>
  <c r="J32" i="7"/>
  <c r="J29" i="7"/>
  <c r="J40" i="7"/>
  <c r="N24" i="7"/>
  <c r="L15" i="7"/>
  <c r="I33" i="7"/>
  <c r="E7" i="7"/>
  <c r="S5" i="7"/>
  <c r="I27" i="7"/>
  <c r="L19" i="7"/>
  <c r="E35" i="7"/>
  <c r="P24" i="7"/>
  <c r="J36" i="7"/>
  <c r="J22" i="7"/>
  <c r="E39" i="7"/>
  <c r="I18" i="7"/>
  <c r="L39" i="7"/>
  <c r="Q32" i="7"/>
  <c r="Q9" i="7"/>
  <c r="M3" i="7"/>
  <c r="S42" i="7"/>
  <c r="G18" i="7"/>
  <c r="K30" i="7"/>
  <c r="E37" i="7"/>
  <c r="I29" i="7"/>
  <c r="O36" i="7"/>
  <c r="N21" i="7"/>
  <c r="R27" i="7"/>
  <c r="O18" i="7"/>
  <c r="K3" i="7"/>
  <c r="H29" i="7"/>
  <c r="N17" i="7"/>
  <c r="O31" i="7"/>
  <c r="K33" i="7"/>
  <c r="O43" i="7"/>
  <c r="Q12" i="7"/>
  <c r="K10" i="7"/>
  <c r="G42" i="7"/>
  <c r="H43" i="7"/>
  <c r="S18" i="7"/>
  <c r="E14" i="7"/>
  <c r="F39" i="7"/>
  <c r="H16" i="7"/>
  <c r="O38" i="7"/>
  <c r="M21" i="7"/>
  <c r="L6" i="7"/>
  <c r="L12" i="7"/>
  <c r="P3" i="7"/>
  <c r="M22" i="7"/>
  <c r="S32" i="7"/>
  <c r="I43" i="7"/>
  <c r="S26" i="7"/>
  <c r="L30" i="7"/>
  <c r="O2" i="7"/>
  <c r="H18" i="7"/>
  <c r="H41" i="7"/>
  <c r="K40" i="7"/>
  <c r="P4" i="7"/>
  <c r="G30" i="7"/>
  <c r="I41" i="7"/>
  <c r="R38" i="7"/>
  <c r="O11" i="7"/>
  <c r="Q10" i="7"/>
  <c r="R8" i="7"/>
  <c r="R31" i="7"/>
  <c r="M24" i="7"/>
  <c r="S27" i="7"/>
  <c r="J41" i="7"/>
  <c r="Q22" i="7"/>
  <c r="G7" i="7"/>
  <c r="K12" i="7"/>
  <c r="P6" i="7"/>
  <c r="I11" i="7"/>
  <c r="R42" i="7"/>
  <c r="L41" i="7"/>
  <c r="L26" i="7"/>
  <c r="I20" i="7"/>
  <c r="N5" i="7"/>
  <c r="Q35" i="7"/>
  <c r="R24" i="7"/>
  <c r="O35" i="7"/>
  <c r="Q21" i="7"/>
  <c r="E23" i="7"/>
  <c r="E28" i="7"/>
  <c r="O15" i="7"/>
  <c r="G16" i="7"/>
  <c r="L18" i="7"/>
  <c r="P35" i="7"/>
  <c r="R40" i="7"/>
  <c r="S35" i="7"/>
  <c r="E30" i="7"/>
  <c r="I36" i="7"/>
  <c r="K23" i="7"/>
  <c r="M37" i="7"/>
  <c r="F33" i="7"/>
  <c r="P18" i="7"/>
  <c r="L38" i="7"/>
  <c r="Q19" i="7"/>
  <c r="I10" i="7"/>
  <c r="I26" i="7"/>
  <c r="P23" i="7"/>
  <c r="J28" i="7"/>
  <c r="G35" i="7"/>
  <c r="N31" i="7"/>
  <c r="H13" i="7"/>
  <c r="K39" i="7"/>
  <c r="G14" i="7"/>
  <c r="G9" i="7"/>
  <c r="H26" i="7"/>
  <c r="E3" i="7"/>
  <c r="H42" i="7"/>
  <c r="F41" i="7"/>
  <c r="I30" i="7"/>
  <c r="E16" i="7"/>
  <c r="K29" i="7"/>
  <c r="K8" i="7"/>
  <c r="M27" i="7"/>
  <c r="S34" i="7"/>
  <c r="L21" i="7"/>
  <c r="R6" i="7"/>
  <c r="O41" i="7"/>
  <c r="I8" i="7"/>
  <c r="M30" i="7"/>
  <c r="K24" i="7"/>
  <c r="H27" i="7"/>
  <c r="S6" i="7"/>
  <c r="F40" i="7"/>
  <c r="G3" i="7"/>
  <c r="R10" i="7"/>
  <c r="S25" i="7"/>
  <c r="G32" i="7"/>
  <c r="R22" i="7"/>
  <c r="E40" i="7"/>
  <c r="R41" i="7"/>
  <c r="O26" i="7"/>
  <c r="L33" i="7"/>
  <c r="S14" i="7"/>
  <c r="K7" i="7"/>
  <c r="N14" i="7"/>
  <c r="M38" i="7"/>
  <c r="P11" i="7"/>
  <c r="P33" i="7"/>
  <c r="Q30" i="7"/>
  <c r="R2" i="7"/>
  <c r="G17" i="7"/>
  <c r="R3" i="7"/>
  <c r="S3" i="7"/>
  <c r="Q16" i="7"/>
  <c r="N32" i="7"/>
  <c r="J18" i="7"/>
  <c r="H38" i="7"/>
  <c r="R9" i="7"/>
  <c r="R7" i="7"/>
  <c r="S36" i="7"/>
  <c r="S23" i="7"/>
  <c r="F42" i="7"/>
  <c r="J7" i="7"/>
  <c r="K11" i="7"/>
  <c r="F23" i="7"/>
  <c r="E6" i="7"/>
  <c r="N3" i="7"/>
  <c r="K14" i="7"/>
  <c r="R13" i="7"/>
  <c r="I24" i="7"/>
  <c r="L27" i="7"/>
  <c r="K6" i="7"/>
  <c r="S24" i="7"/>
  <c r="M14" i="7"/>
  <c r="N2" i="7"/>
  <c r="I31" i="7"/>
  <c r="P15" i="7"/>
  <c r="F24" i="7"/>
  <c r="O3" i="7"/>
  <c r="S16" i="7"/>
  <c r="H8" i="7"/>
  <c r="O4" i="7"/>
  <c r="L9" i="7"/>
  <c r="J33" i="7"/>
  <c r="S38" i="7"/>
  <c r="H4" i="7"/>
  <c r="L29" i="7"/>
  <c r="P20" i="7"/>
  <c r="O30" i="7"/>
  <c r="O40" i="7"/>
  <c r="M10" i="7"/>
  <c r="Q17" i="7"/>
  <c r="O17" i="7"/>
  <c r="M12" i="7"/>
  <c r="N39" i="7"/>
  <c r="H19" i="7"/>
  <c r="P40" i="7"/>
  <c r="Q15" i="7"/>
  <c r="F35" i="7"/>
  <c r="E36" i="7"/>
  <c r="N27" i="7"/>
  <c r="J30" i="7"/>
  <c r="R25" i="7"/>
  <c r="J4" i="7"/>
  <c r="O19" i="7"/>
  <c r="F22" i="7"/>
  <c r="J27" i="7"/>
  <c r="F18" i="7"/>
  <c r="K31" i="7"/>
  <c r="I7" i="7"/>
  <c r="E32" i="7"/>
  <c r="G33" i="7"/>
  <c r="E2" i="7"/>
  <c r="K26" i="7"/>
  <c r="L11" i="7"/>
  <c r="L22" i="7"/>
  <c r="P41" i="7"/>
  <c r="N19" i="7"/>
  <c r="I39" i="7"/>
  <c r="R16" i="7"/>
  <c r="Q36" i="7"/>
  <c r="N29" i="7"/>
  <c r="N20" i="7"/>
  <c r="R36" i="7"/>
  <c r="O21" i="7"/>
  <c r="R29" i="7"/>
  <c r="M5" i="7"/>
  <c r="K4" i="7"/>
  <c r="H30" i="7"/>
  <c r="M33" i="7"/>
  <c r="J39" i="7"/>
  <c r="N37" i="7"/>
  <c r="K9" i="7"/>
  <c r="R33" i="7"/>
  <c r="L14" i="7"/>
  <c r="H12" i="7"/>
  <c r="O13" i="7"/>
  <c r="L28" i="7"/>
  <c r="S39" i="7"/>
  <c r="E43" i="7"/>
  <c r="P25" i="7"/>
  <c r="P34" i="7"/>
  <c r="M15" i="7"/>
  <c r="L34" i="7"/>
  <c r="M19" i="7"/>
  <c r="M39" i="7"/>
  <c r="L43" i="7"/>
  <c r="N12" i="7"/>
  <c r="J21" i="7"/>
  <c r="F12" i="7"/>
  <c r="H40" i="7"/>
  <c r="P9" i="7"/>
  <c r="N33" i="7"/>
  <c r="K5" i="7"/>
  <c r="F30" i="7"/>
  <c r="M18" i="7"/>
  <c r="P22" i="7"/>
  <c r="N34" i="7"/>
  <c r="F28" i="7"/>
  <c r="G6" i="7"/>
  <c r="F20" i="7"/>
  <c r="M40" i="7"/>
  <c r="F3" i="7"/>
  <c r="P2" i="7"/>
  <c r="I32" i="7"/>
  <c r="I6" i="7"/>
  <c r="H11" i="7"/>
  <c r="G24" i="7"/>
  <c r="L37" i="7"/>
  <c r="N9" i="7"/>
  <c r="H20" i="7"/>
  <c r="Q43" i="7"/>
  <c r="R5" i="7"/>
  <c r="P39" i="7"/>
  <c r="E12" i="7"/>
  <c r="S13" i="7"/>
  <c r="Q29" i="7"/>
  <c r="I37" i="7"/>
  <c r="Q37" i="7"/>
  <c r="M8" i="7"/>
  <c r="M41" i="7"/>
  <c r="K41" i="7"/>
  <c r="Q13" i="7"/>
  <c r="S15" i="7"/>
  <c r="R30" i="7"/>
  <c r="K20" i="7"/>
  <c r="K27" i="7"/>
  <c r="H17" i="7"/>
  <c r="P26" i="7"/>
  <c r="Q3" i="7"/>
  <c r="J8" i="7"/>
  <c r="L35" i="7"/>
  <c r="M34" i="7"/>
  <c r="H32" i="7"/>
  <c r="Q34" i="7"/>
  <c r="N15" i="7"/>
  <c r="P14" i="7"/>
  <c r="S31" i="7"/>
  <c r="O23" i="7"/>
  <c r="R26" i="7"/>
  <c r="H28" i="7"/>
  <c r="F10" i="7"/>
  <c r="O20" i="7"/>
  <c r="M7" i="7"/>
  <c r="Q26" i="7"/>
  <c r="K38" i="7"/>
  <c r="F5" i="7"/>
  <c r="I40" i="7"/>
  <c r="Q25" i="7"/>
  <c r="H5" i="7"/>
  <c r="O29" i="7"/>
  <c r="G29" i="7"/>
  <c r="J9" i="7"/>
  <c r="H39" i="7"/>
  <c r="I25" i="7"/>
  <c r="I35" i="7"/>
  <c r="S7" i="7"/>
  <c r="F43" i="7"/>
  <c r="P28" i="7"/>
  <c r="Q42" i="7"/>
  <c r="F36" i="7"/>
  <c r="F26" i="7"/>
  <c r="I28" i="7"/>
  <c r="I23" i="7"/>
  <c r="I42" i="7"/>
  <c r="Q6" i="7"/>
  <c r="G25" i="7"/>
  <c r="R4" i="7"/>
  <c r="N40" i="7"/>
  <c r="O8" i="7"/>
  <c r="J14" i="7"/>
  <c r="O10" i="7"/>
  <c r="F7" i="7"/>
  <c r="E4" i="7"/>
  <c r="G13" i="7"/>
  <c r="S11" i="7"/>
  <c r="I4" i="7"/>
  <c r="O32" i="7"/>
  <c r="I14" i="7"/>
  <c r="K37" i="7"/>
  <c r="N25" i="7"/>
  <c r="P31" i="7"/>
  <c r="S9" i="7"/>
  <c r="L23" i="7"/>
  <c r="J17" i="7"/>
  <c r="Q39" i="7"/>
  <c r="S43" i="7"/>
  <c r="F34" i="7"/>
  <c r="O25" i="7"/>
  <c r="K2" i="7"/>
  <c r="I13" i="7"/>
  <c r="K17" i="7"/>
  <c r="O24" i="7"/>
  <c r="Q7" i="7"/>
  <c r="I12" i="7"/>
  <c r="L20" i="7"/>
  <c r="M42" i="7"/>
  <c r="L10" i="7"/>
  <c r="Q8" i="7"/>
  <c r="E8" i="7"/>
  <c r="V29" i="8"/>
  <c r="R29" i="8"/>
  <c r="I29" i="8"/>
  <c r="D29" i="8"/>
  <c r="Q29" i="8"/>
  <c r="P29" i="8"/>
  <c r="G29" i="8"/>
  <c r="F29" i="8"/>
  <c r="K29" i="8"/>
  <c r="M29" i="8"/>
  <c r="S29" i="8"/>
  <c r="N29" i="8"/>
  <c r="U29" i="8"/>
  <c r="O29" i="8"/>
  <c r="T29" i="8"/>
  <c r="E29" i="8"/>
  <c r="L29" i="8"/>
  <c r="J29" i="8"/>
  <c r="H29" i="8"/>
  <c r="O3" i="4"/>
  <c r="T36" i="8"/>
  <c r="Q36" i="8"/>
  <c r="P36" i="8"/>
  <c r="G36" i="8"/>
  <c r="F36" i="8"/>
  <c r="V36" i="8"/>
  <c r="K36" i="8"/>
  <c r="L36" i="8"/>
  <c r="S36" i="8"/>
  <c r="H36" i="8"/>
  <c r="N36" i="8"/>
  <c r="U36" i="8"/>
  <c r="O36" i="8"/>
  <c r="R36" i="8"/>
  <c r="M36" i="8"/>
  <c r="J36" i="8"/>
  <c r="I36" i="8"/>
  <c r="D36" i="8"/>
  <c r="E36" i="8"/>
  <c r="T58" i="8"/>
  <c r="T38" i="8"/>
  <c r="Q38" i="8"/>
  <c r="Q58" i="8"/>
  <c r="P58" i="8"/>
  <c r="P38" i="8"/>
  <c r="G38" i="8"/>
  <c r="G40" i="8"/>
  <c r="G41" i="8"/>
  <c r="G58" i="8"/>
  <c r="G39" i="8"/>
  <c r="F58" i="8"/>
  <c r="F38" i="8"/>
  <c r="V58" i="8"/>
  <c r="V38" i="8"/>
  <c r="K38" i="8"/>
  <c r="K58" i="8"/>
  <c r="L38" i="8"/>
  <c r="L39" i="8" s="1"/>
  <c r="L40" i="8"/>
  <c r="L41" i="8"/>
  <c r="L58" i="8"/>
  <c r="S38" i="8"/>
  <c r="S58" i="8"/>
  <c r="H38" i="8"/>
  <c r="H41" i="8" s="1"/>
  <c r="H40" i="8"/>
  <c r="H39" i="8"/>
  <c r="H58" i="8"/>
  <c r="N38" i="8"/>
  <c r="N58" i="8"/>
  <c r="N39" i="8"/>
  <c r="U38" i="8"/>
  <c r="U58" i="8"/>
  <c r="O58" i="8"/>
  <c r="O38" i="8"/>
  <c r="R38" i="8"/>
  <c r="R40" i="8"/>
  <c r="R39" i="8"/>
  <c r="R58" i="8"/>
  <c r="R41" i="8"/>
  <c r="M58" i="8"/>
  <c r="M38" i="8"/>
  <c r="J58" i="8"/>
  <c r="J38" i="8"/>
  <c r="I58" i="8"/>
  <c r="I38" i="8"/>
  <c r="D58" i="8"/>
  <c r="D38" i="8"/>
  <c r="D39" i="8"/>
  <c r="E58" i="8"/>
  <c r="E38" i="8"/>
  <c r="T40" i="8"/>
  <c r="T39" i="8"/>
  <c r="T41" i="8"/>
  <c r="Q41" i="8"/>
  <c r="Q39" i="8"/>
  <c r="Q40" i="8"/>
  <c r="P41" i="8"/>
  <c r="P40" i="8"/>
  <c r="P39" i="8"/>
  <c r="F41" i="8"/>
  <c r="F39" i="8"/>
  <c r="F40" i="8"/>
  <c r="V40" i="8"/>
  <c r="V41" i="8"/>
  <c r="V39" i="8"/>
  <c r="K39" i="8"/>
  <c r="K40" i="8"/>
  <c r="K41" i="8"/>
  <c r="S41" i="8"/>
  <c r="S39" i="8"/>
  <c r="S40" i="8"/>
  <c r="N41" i="8"/>
  <c r="N40" i="8"/>
  <c r="U41" i="8"/>
  <c r="U40" i="8"/>
  <c r="U39" i="8"/>
  <c r="O39" i="8"/>
  <c r="O40" i="8"/>
  <c r="O41" i="8"/>
  <c r="M41" i="8"/>
  <c r="M40" i="8"/>
  <c r="M39" i="8"/>
  <c r="J41" i="8"/>
  <c r="J40" i="8"/>
  <c r="J39" i="8"/>
  <c r="I39" i="8"/>
  <c r="I41" i="8"/>
  <c r="I40" i="8"/>
  <c r="D40" i="8"/>
  <c r="D41" i="8"/>
  <c r="E41" i="8"/>
  <c r="E39" i="8"/>
  <c r="E40" i="8"/>
  <c r="E42" i="8" l="1"/>
  <c r="E43" i="8" s="1"/>
  <c r="D42" i="8"/>
  <c r="I42" i="8"/>
  <c r="I43" i="8" s="1"/>
  <c r="J42" i="8"/>
  <c r="J43" i="8" s="1"/>
  <c r="M42" i="8"/>
  <c r="O42" i="8"/>
  <c r="U42" i="8"/>
  <c r="N42" i="8"/>
  <c r="N43" i="8"/>
  <c r="S42" i="8"/>
  <c r="S43" i="8" s="1"/>
  <c r="K42" i="8"/>
  <c r="K43" i="8" s="1"/>
  <c r="V42" i="8"/>
  <c r="F42" i="8"/>
  <c r="F43" i="8" s="1"/>
  <c r="P42" i="8"/>
  <c r="P43" i="8" s="1"/>
  <c r="Q42" i="8"/>
  <c r="Q43" i="8" s="1"/>
  <c r="T42" i="8"/>
  <c r="R42" i="8"/>
  <c r="H42" i="8"/>
  <c r="H43" i="8" s="1"/>
  <c r="L42" i="8"/>
  <c r="L43" i="8" s="1"/>
  <c r="G42" i="8"/>
  <c r="J46" i="8" l="1"/>
  <c r="E46" i="8"/>
  <c r="Q46" i="8"/>
  <c r="S46" i="8"/>
  <c r="H46" i="8"/>
  <c r="I46" i="8"/>
  <c r="P46" i="8"/>
  <c r="F46" i="8"/>
  <c r="N46" i="8"/>
  <c r="R43" i="8"/>
  <c r="U43" i="8"/>
  <c r="G43" i="8"/>
  <c r="T43" i="8"/>
  <c r="V43" i="8"/>
  <c r="D43" i="8"/>
  <c r="O43" i="8"/>
  <c r="L46" i="8"/>
  <c r="K46" i="8"/>
  <c r="M43" i="8"/>
  <c r="F51" i="8"/>
  <c r="H51" i="8"/>
  <c r="Q51" i="8"/>
  <c r="S51" i="8"/>
  <c r="N51" i="8"/>
  <c r="J51" i="8"/>
  <c r="E51" i="8"/>
  <c r="L51" i="8"/>
  <c r="I51" i="8"/>
  <c r="K51" i="8"/>
  <c r="P51" i="8"/>
  <c r="F63" i="8"/>
  <c r="F52" i="8"/>
  <c r="F59" i="8" s="1"/>
  <c r="F60" i="8" s="1"/>
  <c r="F61" i="8" s="1"/>
  <c r="H63" i="8"/>
  <c r="H52" i="8"/>
  <c r="H59" i="8" s="1"/>
  <c r="H60" i="8" s="1"/>
  <c r="H61" i="8" s="1"/>
  <c r="Q63" i="8"/>
  <c r="Q52" i="8"/>
  <c r="Q59" i="8" s="1"/>
  <c r="Q60" i="8" s="1"/>
  <c r="Q61" i="8" s="1"/>
  <c r="S63" i="8"/>
  <c r="S52" i="8"/>
  <c r="S59" i="8" s="1"/>
  <c r="S60" i="8" s="1"/>
  <c r="S61" i="8" s="1"/>
  <c r="N63" i="8"/>
  <c r="N52" i="8"/>
  <c r="N59" i="8" s="1"/>
  <c r="N60" i="8" s="1"/>
  <c r="N61" i="8" s="1"/>
  <c r="J63" i="8"/>
  <c r="J52" i="8"/>
  <c r="J59" i="8" s="1"/>
  <c r="J60" i="8" s="1"/>
  <c r="J61" i="8" s="1"/>
  <c r="E63" i="8"/>
  <c r="E52" i="8"/>
  <c r="E59" i="8" s="1"/>
  <c r="E60" i="8" s="1"/>
  <c r="E61" i="8" s="1"/>
  <c r="L63" i="8"/>
  <c r="L52" i="8"/>
  <c r="L59" i="8" s="1"/>
  <c r="L60" i="8" s="1"/>
  <c r="L61" i="8" s="1"/>
  <c r="I63" i="8"/>
  <c r="I52" i="8"/>
  <c r="I59" i="8" s="1"/>
  <c r="I60" i="8" s="1"/>
  <c r="I61" i="8" s="1"/>
  <c r="K63" i="8"/>
  <c r="K52" i="8"/>
  <c r="K59" i="8" s="1"/>
  <c r="K60" i="8" s="1"/>
  <c r="K61" i="8" s="1"/>
  <c r="P63" i="8"/>
  <c r="P52" i="8"/>
  <c r="P59" i="8" s="1"/>
  <c r="P60" i="8" s="1"/>
  <c r="P61" i="8" s="1"/>
  <c r="P64" i="8" l="1"/>
  <c r="P65" i="8" s="1"/>
  <c r="K64" i="8"/>
  <c r="K65" i="8" s="1"/>
  <c r="I64" i="8"/>
  <c r="I65" i="8" s="1"/>
  <c r="L64" i="8"/>
  <c r="L65" i="8" s="1"/>
  <c r="E64" i="8"/>
  <c r="E65" i="8" s="1"/>
  <c r="J64" i="8"/>
  <c r="J65" i="8" s="1"/>
  <c r="N64" i="8"/>
  <c r="N65" i="8" s="1"/>
  <c r="S64" i="8"/>
  <c r="S65" i="8" s="1"/>
  <c r="Q64" i="8"/>
  <c r="Q65" i="8" s="1"/>
  <c r="H64" i="8"/>
  <c r="H65" i="8" s="1"/>
  <c r="F64" i="8"/>
  <c r="F65" i="8" s="1"/>
  <c r="D46" i="8"/>
  <c r="V46" i="8"/>
  <c r="R46" i="8"/>
  <c r="U46" i="8"/>
  <c r="M46" i="8"/>
  <c r="T46" i="8"/>
  <c r="O46" i="8"/>
  <c r="G46" i="8"/>
  <c r="U51" i="8"/>
  <c r="O51" i="8"/>
  <c r="G51" i="8"/>
  <c r="D51" i="8"/>
  <c r="V51" i="8"/>
  <c r="M51" i="8"/>
  <c r="T51" i="8"/>
  <c r="R51" i="8"/>
  <c r="U63" i="8"/>
  <c r="U52" i="8"/>
  <c r="U59" i="8" s="1"/>
  <c r="U60" i="8" s="1"/>
  <c r="U61" i="8" s="1"/>
  <c r="O63" i="8"/>
  <c r="O52" i="8"/>
  <c r="O59" i="8" s="1"/>
  <c r="O60" i="8" s="1"/>
  <c r="O61" i="8" s="1"/>
  <c r="G63" i="8"/>
  <c r="G52" i="8"/>
  <c r="G59" i="8" s="1"/>
  <c r="G60" i="8" s="1"/>
  <c r="G61" i="8" s="1"/>
  <c r="D63" i="8"/>
  <c r="D52" i="8"/>
  <c r="D59" i="8" s="1"/>
  <c r="D60" i="8" s="1"/>
  <c r="D61" i="8" s="1"/>
  <c r="V63" i="8"/>
  <c r="V52" i="8"/>
  <c r="V59" i="8" s="1"/>
  <c r="V60" i="8" s="1"/>
  <c r="V61" i="8" s="1"/>
  <c r="M63" i="8"/>
  <c r="M52" i="8"/>
  <c r="M59" i="8" s="1"/>
  <c r="M60" i="8" s="1"/>
  <c r="M61" i="8" s="1"/>
  <c r="T63" i="8"/>
  <c r="T52" i="8"/>
  <c r="T59" i="8" s="1"/>
  <c r="T60" i="8" s="1"/>
  <c r="T61" i="8" s="1"/>
  <c r="R63" i="8"/>
  <c r="R52" i="8"/>
  <c r="R59" i="8" s="1"/>
  <c r="R60" i="8" s="1"/>
  <c r="R61" i="8" s="1"/>
  <c r="R64" i="8" l="1"/>
  <c r="R65" i="8" s="1"/>
  <c r="T64" i="8"/>
  <c r="T65" i="8" s="1"/>
  <c r="M64" i="8"/>
  <c r="M65" i="8" s="1"/>
  <c r="V64" i="8"/>
  <c r="V65" i="8" s="1"/>
  <c r="D64" i="8"/>
  <c r="D65" i="8" s="1"/>
  <c r="G64" i="8"/>
  <c r="G65" i="8" s="1"/>
  <c r="O64" i="8"/>
  <c r="O65" i="8" s="1"/>
  <c r="U64" i="8"/>
  <c r="U65" i="8" s="1"/>
  <c r="C3" i="10"/>
  <c r="C3" i="9"/>
  <c r="C4" i="9"/>
  <c r="G80" i="9"/>
  <c r="G323" i="9"/>
  <c r="G167" i="9"/>
  <c r="G375" i="9"/>
  <c r="G107" i="9"/>
  <c r="G235" i="9"/>
  <c r="G363" i="9"/>
  <c r="G147" i="9"/>
  <c r="G27" i="9"/>
  <c r="G215" i="9"/>
  <c r="G47" i="9"/>
  <c r="G127" i="9"/>
  <c r="G255" i="9"/>
  <c r="G383" i="9"/>
  <c r="G152" i="9"/>
  <c r="G220" i="9"/>
  <c r="G284" i="9"/>
  <c r="G352" i="9"/>
  <c r="G41" i="9"/>
  <c r="G73" i="9"/>
  <c r="G105" i="9"/>
  <c r="G137" i="9"/>
  <c r="G169" i="9"/>
  <c r="G201" i="9"/>
  <c r="G233" i="9"/>
  <c r="G265" i="9"/>
  <c r="G297" i="9"/>
  <c r="G329" i="9"/>
  <c r="G361" i="9"/>
  <c r="G108" i="9"/>
  <c r="G172" i="9"/>
  <c r="G232" i="9"/>
  <c r="G296" i="9"/>
  <c r="G356" i="9"/>
  <c r="G46" i="9"/>
  <c r="G78" i="9"/>
  <c r="G110" i="9"/>
  <c r="G142" i="9"/>
  <c r="G174" i="9"/>
  <c r="G206" i="9"/>
  <c r="G238" i="9"/>
  <c r="G270" i="9"/>
  <c r="G302" i="9"/>
  <c r="G334" i="9"/>
  <c r="G366" i="9"/>
  <c r="H55" i="9"/>
  <c r="H211" i="9"/>
  <c r="H32" i="9"/>
  <c r="H96" i="9"/>
  <c r="H167" i="9"/>
  <c r="H295" i="9"/>
  <c r="H43" i="9"/>
  <c r="H107" i="9"/>
  <c r="H187" i="9"/>
  <c r="H315" i="9"/>
  <c r="H79" i="9"/>
  <c r="H259" i="9"/>
  <c r="H76" i="9"/>
  <c r="H140" i="9"/>
  <c r="H255" i="9"/>
  <c r="H383" i="9"/>
  <c r="H216" i="9"/>
  <c r="H276" i="9"/>
  <c r="H328" i="9"/>
  <c r="H364" i="9"/>
  <c r="H37" i="9"/>
  <c r="H69" i="9"/>
  <c r="H101" i="9"/>
  <c r="H133" i="9"/>
  <c r="H165" i="9"/>
  <c r="H197" i="9"/>
  <c r="H229" i="9"/>
  <c r="H261" i="9"/>
  <c r="H293" i="9"/>
  <c r="H325" i="9"/>
  <c r="H357" i="9"/>
  <c r="H156" i="9"/>
  <c r="H220" i="9"/>
  <c r="H288" i="9"/>
  <c r="H42" i="9"/>
  <c r="H74" i="9"/>
  <c r="H106" i="9"/>
  <c r="H138" i="9"/>
  <c r="H170" i="9"/>
  <c r="H202" i="9"/>
  <c r="H234" i="9"/>
  <c r="H266" i="9"/>
  <c r="H298" i="9"/>
  <c r="H330" i="9"/>
  <c r="H362" i="9"/>
  <c r="G99" i="9"/>
  <c r="G371" i="9"/>
  <c r="G199" i="9"/>
  <c r="G36" i="9"/>
  <c r="G123" i="9"/>
  <c r="G251" i="9"/>
  <c r="G379" i="9"/>
  <c r="G179" i="9"/>
  <c r="G43" i="9"/>
  <c r="G247" i="9"/>
  <c r="G55" i="9"/>
  <c r="G143" i="9"/>
  <c r="G271" i="9"/>
  <c r="G96" i="9"/>
  <c r="G160" i="9"/>
  <c r="G228" i="9"/>
  <c r="G292" i="9"/>
  <c r="G360" i="9"/>
  <c r="G45" i="9"/>
  <c r="G77" i="9"/>
  <c r="G109" i="9"/>
  <c r="G141" i="9"/>
  <c r="G173" i="9"/>
  <c r="G205" i="9"/>
  <c r="G237" i="9"/>
  <c r="G269" i="9"/>
  <c r="G301" i="9"/>
  <c r="G333" i="9"/>
  <c r="G365" i="9"/>
  <c r="G116" i="9"/>
  <c r="G180" i="9"/>
  <c r="G240" i="9"/>
  <c r="G304" i="9"/>
  <c r="G364" i="9"/>
  <c r="G50" i="9"/>
  <c r="G82" i="9"/>
  <c r="G114" i="9"/>
  <c r="G146" i="9"/>
  <c r="G178" i="9"/>
  <c r="G210" i="9"/>
  <c r="G242" i="9"/>
  <c r="G274" i="9"/>
  <c r="G306" i="9"/>
  <c r="G338" i="9"/>
  <c r="G370" i="9"/>
  <c r="H71" i="9"/>
  <c r="H243" i="9"/>
  <c r="H40" i="9"/>
  <c r="H104" i="9"/>
  <c r="H183" i="9"/>
  <c r="H311" i="9"/>
  <c r="H51" i="9"/>
  <c r="H115" i="9"/>
  <c r="H203" i="9"/>
  <c r="H331" i="9"/>
  <c r="H95" i="9"/>
  <c r="H323" i="9"/>
  <c r="H84" i="9"/>
  <c r="H148" i="9"/>
  <c r="H271" i="9"/>
  <c r="H160" i="9"/>
  <c r="H224" i="9"/>
  <c r="H284" i="9"/>
  <c r="H332" i="9"/>
  <c r="H368" i="9"/>
  <c r="H41" i="9"/>
  <c r="H73" i="9"/>
  <c r="H105" i="9"/>
  <c r="H137" i="9"/>
  <c r="H169" i="9"/>
  <c r="H201" i="9"/>
  <c r="H233" i="9"/>
  <c r="H265" i="9"/>
  <c r="H297" i="9"/>
  <c r="H329" i="9"/>
  <c r="H361" i="9"/>
  <c r="H164" i="9"/>
  <c r="H228" i="9"/>
  <c r="H296" i="9"/>
  <c r="H46" i="9"/>
  <c r="H78" i="9"/>
  <c r="H110" i="9"/>
  <c r="H142" i="9"/>
  <c r="H174" i="9"/>
  <c r="H206" i="9"/>
  <c r="H238" i="9"/>
  <c r="H270" i="9"/>
  <c r="H302" i="9"/>
  <c r="H334" i="9"/>
  <c r="H366" i="9"/>
  <c r="G131" i="9"/>
  <c r="G35" i="9"/>
  <c r="G231" i="9"/>
  <c r="G52" i="9"/>
  <c r="G139" i="9"/>
  <c r="G267" i="9"/>
  <c r="G32" i="9"/>
  <c r="G211" i="9"/>
  <c r="G59" i="9"/>
  <c r="G279" i="9"/>
  <c r="G63" i="9"/>
  <c r="G159" i="9"/>
  <c r="G287" i="9"/>
  <c r="G104" i="9"/>
  <c r="G168" i="9"/>
  <c r="G236" i="9"/>
  <c r="G300" i="9"/>
  <c r="G368" i="9"/>
  <c r="G49" i="9"/>
  <c r="G81" i="9"/>
  <c r="G113" i="9"/>
  <c r="G145" i="9"/>
  <c r="G177" i="9"/>
  <c r="G209" i="9"/>
  <c r="G241" i="9"/>
  <c r="G273" i="9"/>
  <c r="G305" i="9"/>
  <c r="G337" i="9"/>
  <c r="G369" i="9"/>
  <c r="G124" i="9"/>
  <c r="G188" i="9"/>
  <c r="G248" i="9"/>
  <c r="G308" i="9"/>
  <c r="G372" i="9"/>
  <c r="G54" i="9"/>
  <c r="G86" i="9"/>
  <c r="G118" i="9"/>
  <c r="G150" i="9"/>
  <c r="G182" i="9"/>
  <c r="G214" i="9"/>
  <c r="G246" i="9"/>
  <c r="G278" i="9"/>
  <c r="G310" i="9"/>
  <c r="G342" i="9"/>
  <c r="G374" i="9"/>
  <c r="H87" i="9"/>
  <c r="H275" i="9"/>
  <c r="H48" i="9"/>
  <c r="H112" i="9"/>
  <c r="H199" i="9"/>
  <c r="H327" i="9"/>
  <c r="H59" i="9"/>
  <c r="H123" i="9"/>
  <c r="H219" i="9"/>
  <c r="H347" i="9"/>
  <c r="H111" i="9"/>
  <c r="H28" i="9"/>
  <c r="H92" i="9"/>
  <c r="H159" i="9"/>
  <c r="H287" i="9"/>
  <c r="H168" i="9"/>
  <c r="H232" i="9"/>
  <c r="H292" i="9"/>
  <c r="H340" i="9"/>
  <c r="H372" i="9"/>
  <c r="H45" i="9"/>
  <c r="H77" i="9"/>
  <c r="H109" i="9"/>
  <c r="H141" i="9"/>
  <c r="H173" i="9"/>
  <c r="H205" i="9"/>
  <c r="H237" i="9"/>
  <c r="H269" i="9"/>
  <c r="H301" i="9"/>
  <c r="H333" i="9"/>
  <c r="H365" i="9"/>
  <c r="H172" i="9"/>
  <c r="H236" i="9"/>
  <c r="H304" i="9"/>
  <c r="H50" i="9"/>
  <c r="H82" i="9"/>
  <c r="H114" i="9"/>
  <c r="H146" i="9"/>
  <c r="H178" i="9"/>
  <c r="H210" i="9"/>
  <c r="H242" i="9"/>
  <c r="H274" i="9"/>
  <c r="H306" i="9"/>
  <c r="H338" i="9"/>
  <c r="H370" i="9"/>
  <c r="G163" i="9"/>
  <c r="G51" i="9"/>
  <c r="G263" i="9"/>
  <c r="G60" i="9"/>
  <c r="G155" i="9"/>
  <c r="G283" i="9"/>
  <c r="G48" i="9"/>
  <c r="G243" i="9"/>
  <c r="G75" i="9"/>
  <c r="G359" i="9"/>
  <c r="G71" i="9"/>
  <c r="G175" i="9"/>
  <c r="G303" i="9"/>
  <c r="G112" i="9"/>
  <c r="G176" i="9"/>
  <c r="G244" i="9"/>
  <c r="G312" i="9"/>
  <c r="G376" i="9"/>
  <c r="G53" i="9"/>
  <c r="G85" i="9"/>
  <c r="G117" i="9"/>
  <c r="G149" i="9"/>
  <c r="G181" i="9"/>
  <c r="G213" i="9"/>
  <c r="G245" i="9"/>
  <c r="G277" i="9"/>
  <c r="G309" i="9"/>
  <c r="G341" i="9"/>
  <c r="G373" i="9"/>
  <c r="G132" i="9"/>
  <c r="G196" i="9"/>
  <c r="G256" i="9"/>
  <c r="G316" i="9"/>
  <c r="G380" i="9"/>
  <c r="G58" i="9"/>
  <c r="G90" i="9"/>
  <c r="G122" i="9"/>
  <c r="G154" i="9"/>
  <c r="G186" i="9"/>
  <c r="G218" i="9"/>
  <c r="G250" i="9"/>
  <c r="G282" i="9"/>
  <c r="G314" i="9"/>
  <c r="G346" i="9"/>
  <c r="G378" i="9"/>
  <c r="H103" i="9"/>
  <c r="H291" i="9"/>
  <c r="H56" i="9"/>
  <c r="H120" i="9"/>
  <c r="H215" i="9"/>
  <c r="H343" i="9"/>
  <c r="H67" i="9"/>
  <c r="H131" i="9"/>
  <c r="H235" i="9"/>
  <c r="H363" i="9"/>
  <c r="H127" i="9"/>
  <c r="H36" i="9"/>
  <c r="H100" i="9"/>
  <c r="H175" i="9"/>
  <c r="H303" i="9"/>
  <c r="H176" i="9"/>
  <c r="H240" i="9"/>
  <c r="H300" i="9"/>
  <c r="H344" i="9"/>
  <c r="H376" i="9"/>
  <c r="H49" i="9"/>
  <c r="H81" i="9"/>
  <c r="H113" i="9"/>
  <c r="H145" i="9"/>
  <c r="H177" i="9"/>
  <c r="H209" i="9"/>
  <c r="H241" i="9"/>
  <c r="H273" i="9"/>
  <c r="H305" i="9"/>
  <c r="H337" i="9"/>
  <c r="H369" i="9"/>
  <c r="H180" i="9"/>
  <c r="H244" i="9"/>
  <c r="H316" i="9"/>
  <c r="H54" i="9"/>
  <c r="H86" i="9"/>
  <c r="H118" i="9"/>
  <c r="H150" i="9"/>
  <c r="H182" i="9"/>
  <c r="H214" i="9"/>
  <c r="H246" i="9"/>
  <c r="H278" i="9"/>
  <c r="H310" i="9"/>
  <c r="H342" i="9"/>
  <c r="H374" i="9"/>
  <c r="G195" i="9"/>
  <c r="G67" i="9"/>
  <c r="G295" i="9"/>
  <c r="G68" i="9"/>
  <c r="G171" i="9"/>
  <c r="G299" i="9"/>
  <c r="G56" i="9"/>
  <c r="G275" i="9"/>
  <c r="G91" i="9"/>
  <c r="G28" i="9"/>
  <c r="G79" i="9"/>
  <c r="G191" i="9"/>
  <c r="G319" i="9"/>
  <c r="G120" i="9"/>
  <c r="G184" i="9"/>
  <c r="G252" i="9"/>
  <c r="G320" i="9"/>
  <c r="G384" i="9"/>
  <c r="G57" i="9"/>
  <c r="G89" i="9"/>
  <c r="G121" i="9"/>
  <c r="G153" i="9"/>
  <c r="G185" i="9"/>
  <c r="G217" i="9"/>
  <c r="G249" i="9"/>
  <c r="G281" i="9"/>
  <c r="G313" i="9"/>
  <c r="G345" i="9"/>
  <c r="G377" i="9"/>
  <c r="G140" i="9"/>
  <c r="G204" i="9"/>
  <c r="G264" i="9"/>
  <c r="G324" i="9"/>
  <c r="G30" i="9"/>
  <c r="G62" i="9"/>
  <c r="G94" i="9"/>
  <c r="G126" i="9"/>
  <c r="G158" i="9"/>
  <c r="G190" i="9"/>
  <c r="G222" i="9"/>
  <c r="G254" i="9"/>
  <c r="G286" i="9"/>
  <c r="G318" i="9"/>
  <c r="G350" i="9"/>
  <c r="G382" i="9"/>
  <c r="H119" i="9"/>
  <c r="H307" i="9"/>
  <c r="H64" i="9"/>
  <c r="H128" i="9"/>
  <c r="H231" i="9"/>
  <c r="H359" i="9"/>
  <c r="H75" i="9"/>
  <c r="H139" i="9"/>
  <c r="H251" i="9"/>
  <c r="H379" i="9"/>
  <c r="H143" i="9"/>
  <c r="H44" i="9"/>
  <c r="H108" i="9"/>
  <c r="H191" i="9"/>
  <c r="H319" i="9"/>
  <c r="H184" i="9"/>
  <c r="H248" i="9"/>
  <c r="H308" i="9"/>
  <c r="H348" i="9"/>
  <c r="H380" i="9"/>
  <c r="H53" i="9"/>
  <c r="H85" i="9"/>
  <c r="H117" i="9"/>
  <c r="H149" i="9"/>
  <c r="H181" i="9"/>
  <c r="H213" i="9"/>
  <c r="H245" i="9"/>
  <c r="H277" i="9"/>
  <c r="H309" i="9"/>
  <c r="H341" i="9"/>
  <c r="H373" i="9"/>
  <c r="H188" i="9"/>
  <c r="H252" i="9"/>
  <c r="H336" i="9"/>
  <c r="H58" i="9"/>
  <c r="H90" i="9"/>
  <c r="H122" i="9"/>
  <c r="H154" i="9"/>
  <c r="H186" i="9"/>
  <c r="H218" i="9"/>
  <c r="H250" i="9"/>
  <c r="H282" i="9"/>
  <c r="H314" i="9"/>
  <c r="H346" i="9"/>
  <c r="H378" i="9"/>
  <c r="G26" i="9"/>
  <c r="G227" i="9"/>
  <c r="G83" i="9"/>
  <c r="G311" i="9"/>
  <c r="G76" i="9"/>
  <c r="G187" i="9"/>
  <c r="G315" i="9"/>
  <c r="G72" i="9"/>
  <c r="G307" i="9"/>
  <c r="G119" i="9"/>
  <c r="G44" i="9"/>
  <c r="G87" i="9"/>
  <c r="G207" i="9"/>
  <c r="G335" i="9"/>
  <c r="G128" i="9"/>
  <c r="G192" i="9"/>
  <c r="G260" i="9"/>
  <c r="G328" i="9"/>
  <c r="G29" i="9"/>
  <c r="G61" i="9"/>
  <c r="G93" i="9"/>
  <c r="G125" i="9"/>
  <c r="G157" i="9"/>
  <c r="G189" i="9"/>
  <c r="G221" i="9"/>
  <c r="G253" i="9"/>
  <c r="G285" i="9"/>
  <c r="G317" i="9"/>
  <c r="G349" i="9"/>
  <c r="G381" i="9"/>
  <c r="G148" i="9"/>
  <c r="G212" i="9"/>
  <c r="G272" i="9"/>
  <c r="G332" i="9"/>
  <c r="G34" i="9"/>
  <c r="G66" i="9"/>
  <c r="G98" i="9"/>
  <c r="G130" i="9"/>
  <c r="G162" i="9"/>
  <c r="G194" i="9"/>
  <c r="G226" i="9"/>
  <c r="G258" i="9"/>
  <c r="G290" i="9"/>
  <c r="G322" i="9"/>
  <c r="G354" i="9"/>
  <c r="G386" i="9"/>
  <c r="H135" i="9"/>
  <c r="H339" i="9"/>
  <c r="H72" i="9"/>
  <c r="H136" i="9"/>
  <c r="H247" i="9"/>
  <c r="H375" i="9"/>
  <c r="H83" i="9"/>
  <c r="H147" i="9"/>
  <c r="H267" i="9"/>
  <c r="H31" i="9"/>
  <c r="H163" i="9"/>
  <c r="H52" i="9"/>
  <c r="H116" i="9"/>
  <c r="H207" i="9"/>
  <c r="H335" i="9"/>
  <c r="H192" i="9"/>
  <c r="H256" i="9"/>
  <c r="H312" i="9"/>
  <c r="H352" i="9"/>
  <c r="H384" i="9"/>
  <c r="H57" i="9"/>
  <c r="H89" i="9"/>
  <c r="H121" i="9"/>
  <c r="H153" i="9"/>
  <c r="H185" i="9"/>
  <c r="H217" i="9"/>
  <c r="H249" i="9"/>
  <c r="H281" i="9"/>
  <c r="H313" i="9"/>
  <c r="H345" i="9"/>
  <c r="H377" i="9"/>
  <c r="H196" i="9"/>
  <c r="H260" i="9"/>
  <c r="H30" i="9"/>
  <c r="H62" i="9"/>
  <c r="H94" i="9"/>
  <c r="H126" i="9"/>
  <c r="H158" i="9"/>
  <c r="H190" i="9"/>
  <c r="H222" i="9"/>
  <c r="H254" i="9"/>
  <c r="H286" i="9"/>
  <c r="H318" i="9"/>
  <c r="H350" i="9"/>
  <c r="H382" i="9"/>
  <c r="G64" i="9"/>
  <c r="G291" i="9"/>
  <c r="G135" i="9"/>
  <c r="G343" i="9"/>
  <c r="G92" i="9"/>
  <c r="G219" i="9"/>
  <c r="G347" i="9"/>
  <c r="G115" i="9"/>
  <c r="G355" i="9"/>
  <c r="G183" i="9"/>
  <c r="G39" i="9"/>
  <c r="G111" i="9"/>
  <c r="G239" i="9"/>
  <c r="G367" i="9"/>
  <c r="G144" i="9"/>
  <c r="G208" i="9"/>
  <c r="G276" i="9"/>
  <c r="G344" i="9"/>
  <c r="G37" i="9"/>
  <c r="G69" i="9"/>
  <c r="G101" i="9"/>
  <c r="G133" i="9"/>
  <c r="G165" i="9"/>
  <c r="G197" i="9"/>
  <c r="G229" i="9"/>
  <c r="G261" i="9"/>
  <c r="G293" i="9"/>
  <c r="G325" i="9"/>
  <c r="G357" i="9"/>
  <c r="G100" i="9"/>
  <c r="G164" i="9"/>
  <c r="G224" i="9"/>
  <c r="G288" i="9"/>
  <c r="G348" i="9"/>
  <c r="G42" i="9"/>
  <c r="G74" i="9"/>
  <c r="G106" i="9"/>
  <c r="G138" i="9"/>
  <c r="G170" i="9"/>
  <c r="G202" i="9"/>
  <c r="G234" i="9"/>
  <c r="G266" i="9"/>
  <c r="G298" i="9"/>
  <c r="G330" i="9"/>
  <c r="G362" i="9"/>
  <c r="H39" i="9"/>
  <c r="H179" i="9"/>
  <c r="H371" i="9"/>
  <c r="H88" i="9"/>
  <c r="H152" i="9"/>
  <c r="H279" i="9"/>
  <c r="H35" i="9"/>
  <c r="H99" i="9"/>
  <c r="H171" i="9"/>
  <c r="H299" i="9"/>
  <c r="H63" i="9"/>
  <c r="H227" i="9"/>
  <c r="H68" i="9"/>
  <c r="H132" i="9"/>
  <c r="H239" i="9"/>
  <c r="H367" i="9"/>
  <c r="H208" i="9"/>
  <c r="H272" i="9"/>
  <c r="H324" i="9"/>
  <c r="H360" i="9"/>
  <c r="H33" i="9"/>
  <c r="H65" i="9"/>
  <c r="H97" i="9"/>
  <c r="H129" i="9"/>
  <c r="H161" i="9"/>
  <c r="H193" i="9"/>
  <c r="H225" i="9"/>
  <c r="H257" i="9"/>
  <c r="H289" i="9"/>
  <c r="H321" i="9"/>
  <c r="H353" i="9"/>
  <c r="H385" i="9"/>
  <c r="H212" i="9"/>
  <c r="H280" i="9"/>
  <c r="H38" i="9"/>
  <c r="H70" i="9"/>
  <c r="H102" i="9"/>
  <c r="H134" i="9"/>
  <c r="H166" i="9"/>
  <c r="H198" i="9"/>
  <c r="H230" i="9"/>
  <c r="H262" i="9"/>
  <c r="H294" i="9"/>
  <c r="H326" i="9"/>
  <c r="H358" i="9"/>
  <c r="G103" i="9"/>
  <c r="G31" i="9"/>
  <c r="G33" i="9"/>
  <c r="G289" i="9"/>
  <c r="G38" i="9"/>
  <c r="G294" i="9"/>
  <c r="H263" i="9"/>
  <c r="H124" i="9"/>
  <c r="H61" i="9"/>
  <c r="H317" i="9"/>
  <c r="H130" i="9"/>
  <c r="H386" i="9"/>
  <c r="G88" i="9"/>
  <c r="H290" i="9"/>
  <c r="G339" i="9"/>
  <c r="H195" i="9"/>
  <c r="G327" i="9"/>
  <c r="G95" i="9"/>
  <c r="G65" i="9"/>
  <c r="G321" i="9"/>
  <c r="G70" i="9"/>
  <c r="G326" i="9"/>
  <c r="H27" i="9"/>
  <c r="H223" i="9"/>
  <c r="H93" i="9"/>
  <c r="H349" i="9"/>
  <c r="H162" i="9"/>
  <c r="G198" i="9"/>
  <c r="H47" i="9"/>
  <c r="H34" i="9"/>
  <c r="G40" i="9"/>
  <c r="H80" i="9"/>
  <c r="G84" i="9"/>
  <c r="G223" i="9"/>
  <c r="G97" i="9"/>
  <c r="G353" i="9"/>
  <c r="G102" i="9"/>
  <c r="G358" i="9"/>
  <c r="H91" i="9"/>
  <c r="H351" i="9"/>
  <c r="H125" i="9"/>
  <c r="H381" i="9"/>
  <c r="H194" i="9"/>
  <c r="G193" i="9"/>
  <c r="H320" i="9"/>
  <c r="G268" i="9"/>
  <c r="H356" i="9"/>
  <c r="G203" i="9"/>
  <c r="G351" i="9"/>
  <c r="G129" i="9"/>
  <c r="G385" i="9"/>
  <c r="G134" i="9"/>
  <c r="H26" i="9"/>
  <c r="H155" i="9"/>
  <c r="H200" i="9"/>
  <c r="H157" i="9"/>
  <c r="H204" i="9"/>
  <c r="H226" i="9"/>
  <c r="G216" i="9"/>
  <c r="G225" i="9"/>
  <c r="H253" i="9"/>
  <c r="G331" i="9"/>
  <c r="G136" i="9"/>
  <c r="G161" i="9"/>
  <c r="G156" i="9"/>
  <c r="G166" i="9"/>
  <c r="H151" i="9"/>
  <c r="H283" i="9"/>
  <c r="H264" i="9"/>
  <c r="H189" i="9"/>
  <c r="H268" i="9"/>
  <c r="H258" i="9"/>
  <c r="G200" i="9"/>
  <c r="H355" i="9"/>
  <c r="H221" i="9"/>
  <c r="G230" i="9"/>
  <c r="H322" i="9"/>
  <c r="G259" i="9"/>
  <c r="G151" i="9"/>
  <c r="G336" i="9"/>
  <c r="G257" i="9"/>
  <c r="G340" i="9"/>
  <c r="G262" i="9"/>
  <c r="H144" i="9"/>
  <c r="H60" i="9"/>
  <c r="H29" i="9"/>
  <c r="H285" i="9"/>
  <c r="H98" i="9"/>
  <c r="H354" i="9"/>
  <c r="G280" i="9"/>
  <c r="H66" i="9"/>
  <c r="D29" i="9"/>
  <c r="D37" i="9"/>
  <c r="D45" i="9"/>
  <c r="D53" i="9"/>
  <c r="D61" i="9"/>
  <c r="D69" i="9"/>
  <c r="D77" i="9"/>
  <c r="D85" i="9"/>
  <c r="D93" i="9"/>
  <c r="D101" i="9"/>
  <c r="D109" i="9"/>
  <c r="D117" i="9"/>
  <c r="D125" i="9"/>
  <c r="D133" i="9"/>
  <c r="D141" i="9"/>
  <c r="D149" i="9"/>
  <c r="D157" i="9"/>
  <c r="D165" i="9"/>
  <c r="D173" i="9"/>
  <c r="D181" i="9"/>
  <c r="D189" i="9"/>
  <c r="D197" i="9"/>
  <c r="D205" i="9"/>
  <c r="D213" i="9"/>
  <c r="D221" i="9"/>
  <c r="D229" i="9"/>
  <c r="D237" i="9"/>
  <c r="D245" i="9"/>
  <c r="D253" i="9"/>
  <c r="D261" i="9"/>
  <c r="D269" i="9"/>
  <c r="D277" i="9"/>
  <c r="D285" i="9"/>
  <c r="D293" i="9"/>
  <c r="D301" i="9"/>
  <c r="D309" i="9"/>
  <c r="D317" i="9"/>
  <c r="D325" i="9"/>
  <c r="D333" i="9"/>
  <c r="D341" i="9"/>
  <c r="D349" i="9"/>
  <c r="D357" i="9"/>
  <c r="D365" i="9"/>
  <c r="D373" i="9"/>
  <c r="D381" i="9"/>
  <c r="D30" i="9"/>
  <c r="D38" i="9"/>
  <c r="D46" i="9"/>
  <c r="D54" i="9"/>
  <c r="D62" i="9"/>
  <c r="D70" i="9"/>
  <c r="D78" i="9"/>
  <c r="D86" i="9"/>
  <c r="D94" i="9"/>
  <c r="D102" i="9"/>
  <c r="D110" i="9"/>
  <c r="D118" i="9"/>
  <c r="D126" i="9"/>
  <c r="D134" i="9"/>
  <c r="D142" i="9"/>
  <c r="D150" i="9"/>
  <c r="D158" i="9"/>
  <c r="D166" i="9"/>
  <c r="D174" i="9"/>
  <c r="D182" i="9"/>
  <c r="D190" i="9"/>
  <c r="D198" i="9"/>
  <c r="D206" i="9"/>
  <c r="D214" i="9"/>
  <c r="D222" i="9"/>
  <c r="D230" i="9"/>
  <c r="D238" i="9"/>
  <c r="D246" i="9"/>
  <c r="D254" i="9"/>
  <c r="D262" i="9"/>
  <c r="D270" i="9"/>
  <c r="D278" i="9"/>
  <c r="D286" i="9"/>
  <c r="D294" i="9"/>
  <c r="D302" i="9"/>
  <c r="D310" i="9"/>
  <c r="D318" i="9"/>
  <c r="D326" i="9"/>
  <c r="D334" i="9"/>
  <c r="D342" i="9"/>
  <c r="D350" i="9"/>
  <c r="D358" i="9"/>
  <c r="D366" i="9"/>
  <c r="D374" i="9"/>
  <c r="D382" i="9"/>
  <c r="D31" i="9"/>
  <c r="D39" i="9"/>
  <c r="D47" i="9"/>
  <c r="D55" i="9"/>
  <c r="D63" i="9"/>
  <c r="D71" i="9"/>
  <c r="D79" i="9"/>
  <c r="D87" i="9"/>
  <c r="D95" i="9"/>
  <c r="D103" i="9"/>
  <c r="D111" i="9"/>
  <c r="D119" i="9"/>
  <c r="D127" i="9"/>
  <c r="D135" i="9"/>
  <c r="D143" i="9"/>
  <c r="D151" i="9"/>
  <c r="D159" i="9"/>
  <c r="D167" i="9"/>
  <c r="D175" i="9"/>
  <c r="D183" i="9"/>
  <c r="D191" i="9"/>
  <c r="D199" i="9"/>
  <c r="D207" i="9"/>
  <c r="D215" i="9"/>
  <c r="D223" i="9"/>
  <c r="D231" i="9"/>
  <c r="D239" i="9"/>
  <c r="D247" i="9"/>
  <c r="D255" i="9"/>
  <c r="D263" i="9"/>
  <c r="D271" i="9"/>
  <c r="D279" i="9"/>
  <c r="D287" i="9"/>
  <c r="D295" i="9"/>
  <c r="D303" i="9"/>
  <c r="D311" i="9"/>
  <c r="D319" i="9"/>
  <c r="D327" i="9"/>
  <c r="D335" i="9"/>
  <c r="D343" i="9"/>
  <c r="D351" i="9"/>
  <c r="D359" i="9"/>
  <c r="D367" i="9"/>
  <c r="D375" i="9"/>
  <c r="D383" i="9"/>
  <c r="D385" i="9"/>
  <c r="D32" i="9"/>
  <c r="D40" i="9"/>
  <c r="D48" i="9"/>
  <c r="D56" i="9"/>
  <c r="D64" i="9"/>
  <c r="D72" i="9"/>
  <c r="D80" i="9"/>
  <c r="D88" i="9"/>
  <c r="D96" i="9"/>
  <c r="D104" i="9"/>
  <c r="D112" i="9"/>
  <c r="D120" i="9"/>
  <c r="D128" i="9"/>
  <c r="D136" i="9"/>
  <c r="D144" i="9"/>
  <c r="D152" i="9"/>
  <c r="D160" i="9"/>
  <c r="D168" i="9"/>
  <c r="D176" i="9"/>
  <c r="D184" i="9"/>
  <c r="D192" i="9"/>
  <c r="D200" i="9"/>
  <c r="D208" i="9"/>
  <c r="D216" i="9"/>
  <c r="D224" i="9"/>
  <c r="D232" i="9"/>
  <c r="D240" i="9"/>
  <c r="D248" i="9"/>
  <c r="D256" i="9"/>
  <c r="D264" i="9"/>
  <c r="D272" i="9"/>
  <c r="D280" i="9"/>
  <c r="D288" i="9"/>
  <c r="D296" i="9"/>
  <c r="D304" i="9"/>
  <c r="D312" i="9"/>
  <c r="D320" i="9"/>
  <c r="D328" i="9"/>
  <c r="D336" i="9"/>
  <c r="D344" i="9"/>
  <c r="D352" i="9"/>
  <c r="D360" i="9"/>
  <c r="D368" i="9"/>
  <c r="D376" i="9"/>
  <c r="D384" i="9"/>
  <c r="D33" i="9"/>
  <c r="D41" i="9"/>
  <c r="D49" i="9"/>
  <c r="D57" i="9"/>
  <c r="D65" i="9"/>
  <c r="D73" i="9"/>
  <c r="D81" i="9"/>
  <c r="D89" i="9"/>
  <c r="D97" i="9"/>
  <c r="D105" i="9"/>
  <c r="D113" i="9"/>
  <c r="D121" i="9"/>
  <c r="D129" i="9"/>
  <c r="D137" i="9"/>
  <c r="D145" i="9"/>
  <c r="D153" i="9"/>
  <c r="D161" i="9"/>
  <c r="D169" i="9"/>
  <c r="D177" i="9"/>
  <c r="D185" i="9"/>
  <c r="D193" i="9"/>
  <c r="D201" i="9"/>
  <c r="D209" i="9"/>
  <c r="D217" i="9"/>
  <c r="D225" i="9"/>
  <c r="D233" i="9"/>
  <c r="D241" i="9"/>
  <c r="D249" i="9"/>
  <c r="D257" i="9"/>
  <c r="D265" i="9"/>
  <c r="D273" i="9"/>
  <c r="D281" i="9"/>
  <c r="D289" i="9"/>
  <c r="D297" i="9"/>
  <c r="D305" i="9"/>
  <c r="D313" i="9"/>
  <c r="D321" i="9"/>
  <c r="D329" i="9"/>
  <c r="D337" i="9"/>
  <c r="D345" i="9"/>
  <c r="D353" i="9"/>
  <c r="D361" i="9"/>
  <c r="D369" i="9"/>
  <c r="D377" i="9"/>
  <c r="D26" i="9"/>
  <c r="D34" i="9"/>
  <c r="D42" i="9"/>
  <c r="D50" i="9"/>
  <c r="D58" i="9"/>
  <c r="D66" i="9"/>
  <c r="D74" i="9"/>
  <c r="D82" i="9"/>
  <c r="D90" i="9"/>
  <c r="D98" i="9"/>
  <c r="D106" i="9"/>
  <c r="D114" i="9"/>
  <c r="D122" i="9"/>
  <c r="D130" i="9"/>
  <c r="D138" i="9"/>
  <c r="D146" i="9"/>
  <c r="D154" i="9"/>
  <c r="D162" i="9"/>
  <c r="D170" i="9"/>
  <c r="D178" i="9"/>
  <c r="D186" i="9"/>
  <c r="D194" i="9"/>
  <c r="D202" i="9"/>
  <c r="D210" i="9"/>
  <c r="D218" i="9"/>
  <c r="D226" i="9"/>
  <c r="D234" i="9"/>
  <c r="D242" i="9"/>
  <c r="D250" i="9"/>
  <c r="D258" i="9"/>
  <c r="D266" i="9"/>
  <c r="D274" i="9"/>
  <c r="D282" i="9"/>
  <c r="D290" i="9"/>
  <c r="D298" i="9"/>
  <c r="D306" i="9"/>
  <c r="D314" i="9"/>
  <c r="D322" i="9"/>
  <c r="D330" i="9"/>
  <c r="D338" i="9"/>
  <c r="D346" i="9"/>
  <c r="D354" i="9"/>
  <c r="D362" i="9"/>
  <c r="D370" i="9"/>
  <c r="D378" i="9"/>
  <c r="D386" i="9"/>
  <c r="D27" i="9"/>
  <c r="D35" i="9"/>
  <c r="D43" i="9"/>
  <c r="D51" i="9"/>
  <c r="D59" i="9"/>
  <c r="D67" i="9"/>
  <c r="D75" i="9"/>
  <c r="D83" i="9"/>
  <c r="D91" i="9"/>
  <c r="D99" i="9"/>
  <c r="D107" i="9"/>
  <c r="D115" i="9"/>
  <c r="D123" i="9"/>
  <c r="D131" i="9"/>
  <c r="D139" i="9"/>
  <c r="D147" i="9"/>
  <c r="D155" i="9"/>
  <c r="D163" i="9"/>
  <c r="D171" i="9"/>
  <c r="D179" i="9"/>
  <c r="D187" i="9"/>
  <c r="D195" i="9"/>
  <c r="D203" i="9"/>
  <c r="D211" i="9"/>
  <c r="D219" i="9"/>
  <c r="D227" i="9"/>
  <c r="D235" i="9"/>
  <c r="D243" i="9"/>
  <c r="D251" i="9"/>
  <c r="D259" i="9"/>
  <c r="D267" i="9"/>
  <c r="D275" i="9"/>
  <c r="D283" i="9"/>
  <c r="D291" i="9"/>
  <c r="D299" i="9"/>
  <c r="D307" i="9"/>
  <c r="D315" i="9"/>
  <c r="D323" i="9"/>
  <c r="D331" i="9"/>
  <c r="D339" i="9"/>
  <c r="D347" i="9"/>
  <c r="D355" i="9"/>
  <c r="D363" i="9"/>
  <c r="D371" i="9"/>
  <c r="D379" i="9"/>
  <c r="D380" i="9"/>
  <c r="D28" i="9"/>
  <c r="D36" i="9"/>
  <c r="D44" i="9"/>
  <c r="D52" i="9"/>
  <c r="D60" i="9"/>
  <c r="D68" i="9"/>
  <c r="D76" i="9"/>
  <c r="D84" i="9"/>
  <c r="D92" i="9"/>
  <c r="D100" i="9"/>
  <c r="D108" i="9"/>
  <c r="D116" i="9"/>
  <c r="D124" i="9"/>
  <c r="D132" i="9"/>
  <c r="D140" i="9"/>
  <c r="D148" i="9"/>
  <c r="D156" i="9"/>
  <c r="D164" i="9"/>
  <c r="D172" i="9"/>
  <c r="D180" i="9"/>
  <c r="D188" i="9"/>
  <c r="D196" i="9"/>
  <c r="D204" i="9"/>
  <c r="D212" i="9"/>
  <c r="D220" i="9"/>
  <c r="D228" i="9"/>
  <c r="D236" i="9"/>
  <c r="D244" i="9"/>
  <c r="D252" i="9"/>
  <c r="D260" i="9"/>
  <c r="D268" i="9"/>
  <c r="D276" i="9"/>
  <c r="D284" i="9"/>
  <c r="D292" i="9"/>
  <c r="D300" i="9"/>
  <c r="D308" i="9"/>
  <c r="D316" i="9"/>
  <c r="D324" i="9"/>
  <c r="D332" i="9"/>
  <c r="D340" i="9"/>
  <c r="D348" i="9"/>
  <c r="D356" i="9"/>
  <c r="D364" i="9"/>
  <c r="D372" i="9"/>
  <c r="D32" i="10"/>
  <c r="D40" i="10"/>
  <c r="D48" i="10"/>
  <c r="D56" i="10"/>
  <c r="D64" i="10"/>
  <c r="D72" i="10"/>
  <c r="D80" i="10"/>
  <c r="D88" i="10"/>
  <c r="D96" i="10"/>
  <c r="D104" i="10"/>
  <c r="D112" i="10"/>
  <c r="D120" i="10"/>
  <c r="D128" i="10"/>
  <c r="D136" i="10"/>
  <c r="D144" i="10"/>
  <c r="D152" i="10"/>
  <c r="D28" i="10"/>
  <c r="D36" i="10"/>
  <c r="D44" i="10"/>
  <c r="D52" i="10"/>
  <c r="D60" i="10"/>
  <c r="D68" i="10"/>
  <c r="D76" i="10"/>
  <c r="D84" i="10"/>
  <c r="D92" i="10"/>
  <c r="D100" i="10"/>
  <c r="D108" i="10"/>
  <c r="D116" i="10"/>
  <c r="D124" i="10"/>
  <c r="D132" i="10"/>
  <c r="D140" i="10"/>
  <c r="D27" i="10"/>
  <c r="D37" i="10"/>
  <c r="D45" i="10"/>
  <c r="D53" i="10"/>
  <c r="D61" i="10"/>
  <c r="D69" i="10"/>
  <c r="D77" i="10"/>
  <c r="D85" i="10"/>
  <c r="D93" i="10"/>
  <c r="D30" i="10"/>
  <c r="D38" i="10"/>
  <c r="D46" i="10"/>
  <c r="D54" i="10"/>
  <c r="D62" i="10"/>
  <c r="D70" i="10"/>
  <c r="D78" i="10"/>
  <c r="D86" i="10"/>
  <c r="D94" i="10"/>
  <c r="D31" i="10"/>
  <c r="D47" i="10"/>
  <c r="D63" i="10"/>
  <c r="D79" i="10"/>
  <c r="D95" i="10"/>
  <c r="D106" i="10"/>
  <c r="D117" i="10"/>
  <c r="D127" i="10"/>
  <c r="D138" i="10"/>
  <c r="D148" i="10"/>
  <c r="D157" i="10"/>
  <c r="D165" i="10"/>
  <c r="D173" i="10"/>
  <c r="D181" i="10"/>
  <c r="D189" i="10"/>
  <c r="D197" i="10"/>
  <c r="D205" i="10"/>
  <c r="D213" i="10"/>
  <c r="D221" i="10"/>
  <c r="D229" i="10"/>
  <c r="D237" i="10"/>
  <c r="D245" i="10"/>
  <c r="D253" i="10"/>
  <c r="D261" i="10"/>
  <c r="D269" i="10"/>
  <c r="D277" i="10"/>
  <c r="D285" i="10"/>
  <c r="D293" i="10"/>
  <c r="D301" i="10"/>
  <c r="D309" i="10"/>
  <c r="D317" i="10"/>
  <c r="D325" i="10"/>
  <c r="D333" i="10"/>
  <c r="D341" i="10"/>
  <c r="D349" i="10"/>
  <c r="D357" i="10"/>
  <c r="D365" i="10"/>
  <c r="D373" i="10"/>
  <c r="D381" i="10"/>
  <c r="D382" i="10"/>
  <c r="D343" i="10"/>
  <c r="D367" i="10"/>
  <c r="D368" i="10"/>
  <c r="D33" i="10"/>
  <c r="D49" i="10"/>
  <c r="D65" i="10"/>
  <c r="D81" i="10"/>
  <c r="D97" i="10"/>
  <c r="D107" i="10"/>
  <c r="D118" i="10"/>
  <c r="D129" i="10"/>
  <c r="D139" i="10"/>
  <c r="D149" i="10"/>
  <c r="D158" i="10"/>
  <c r="D166" i="10"/>
  <c r="D174" i="10"/>
  <c r="D182" i="10"/>
  <c r="D190" i="10"/>
  <c r="D198" i="10"/>
  <c r="D206" i="10"/>
  <c r="D214" i="10"/>
  <c r="D222" i="10"/>
  <c r="D230" i="10"/>
  <c r="D238" i="10"/>
  <c r="D246" i="10"/>
  <c r="D254" i="10"/>
  <c r="D262" i="10"/>
  <c r="D270" i="10"/>
  <c r="D278" i="10"/>
  <c r="D286" i="10"/>
  <c r="D294" i="10"/>
  <c r="D302" i="10"/>
  <c r="D310" i="10"/>
  <c r="D318" i="10"/>
  <c r="D326" i="10"/>
  <c r="D334" i="10"/>
  <c r="D342" i="10"/>
  <c r="D350" i="10"/>
  <c r="D358" i="10"/>
  <c r="D366" i="10"/>
  <c r="D374" i="10"/>
  <c r="D327" i="10"/>
  <c r="D351" i="10"/>
  <c r="D375" i="10"/>
  <c r="D34" i="10"/>
  <c r="D50" i="10"/>
  <c r="D66" i="10"/>
  <c r="D82" i="10"/>
  <c r="D98" i="10"/>
  <c r="D109" i="10"/>
  <c r="D119" i="10"/>
  <c r="D130" i="10"/>
  <c r="D141" i="10"/>
  <c r="D150" i="10"/>
  <c r="D159" i="10"/>
  <c r="D167" i="10"/>
  <c r="D175" i="10"/>
  <c r="D183" i="10"/>
  <c r="D191" i="10"/>
  <c r="D199" i="10"/>
  <c r="D207" i="10"/>
  <c r="D215" i="10"/>
  <c r="D223" i="10"/>
  <c r="D231" i="10"/>
  <c r="D239" i="10"/>
  <c r="D247" i="10"/>
  <c r="D255" i="10"/>
  <c r="D263" i="10"/>
  <c r="D271" i="10"/>
  <c r="D279" i="10"/>
  <c r="D287" i="10"/>
  <c r="D295" i="10"/>
  <c r="D303" i="10"/>
  <c r="D311" i="10"/>
  <c r="D319" i="10"/>
  <c r="D335" i="10"/>
  <c r="D359" i="10"/>
  <c r="D383" i="10"/>
  <c r="D384" i="10"/>
  <c r="D35" i="10"/>
  <c r="D51" i="10"/>
  <c r="D67" i="10"/>
  <c r="D83" i="10"/>
  <c r="D99" i="10"/>
  <c r="D110" i="10"/>
  <c r="D121" i="10"/>
  <c r="D131" i="10"/>
  <c r="D142" i="10"/>
  <c r="D151" i="10"/>
  <c r="D160" i="10"/>
  <c r="D168" i="10"/>
  <c r="D176" i="10"/>
  <c r="D184" i="10"/>
  <c r="D192" i="10"/>
  <c r="D200" i="10"/>
  <c r="D208" i="10"/>
  <c r="D216" i="10"/>
  <c r="D224" i="10"/>
  <c r="D232" i="10"/>
  <c r="D240" i="10"/>
  <c r="D248" i="10"/>
  <c r="D256" i="10"/>
  <c r="D264" i="10"/>
  <c r="D272" i="10"/>
  <c r="D280" i="10"/>
  <c r="D288" i="10"/>
  <c r="D296" i="10"/>
  <c r="D304" i="10"/>
  <c r="D312" i="10"/>
  <c r="D320" i="10"/>
  <c r="D328" i="10"/>
  <c r="D336" i="10"/>
  <c r="D344" i="10"/>
  <c r="D352" i="10"/>
  <c r="D360" i="10"/>
  <c r="D376" i="10"/>
  <c r="D39" i="10"/>
  <c r="D55" i="10"/>
  <c r="D71" i="10"/>
  <c r="D87" i="10"/>
  <c r="D101" i="10"/>
  <c r="D111" i="10"/>
  <c r="D122" i="10"/>
  <c r="D133" i="10"/>
  <c r="D143" i="10"/>
  <c r="D153" i="10"/>
  <c r="D161" i="10"/>
  <c r="D169" i="10"/>
  <c r="D177" i="10"/>
  <c r="D185" i="10"/>
  <c r="D193" i="10"/>
  <c r="D201" i="10"/>
  <c r="D209" i="10"/>
  <c r="D217" i="10"/>
  <c r="D225" i="10"/>
  <c r="D233" i="10"/>
  <c r="D241" i="10"/>
  <c r="D249" i="10"/>
  <c r="D257" i="10"/>
  <c r="D265" i="10"/>
  <c r="D273" i="10"/>
  <c r="D281" i="10"/>
  <c r="D289" i="10"/>
  <c r="D297" i="10"/>
  <c r="D305" i="10"/>
  <c r="D313" i="10"/>
  <c r="D321" i="10"/>
  <c r="D329" i="10"/>
  <c r="D337" i="10"/>
  <c r="D345" i="10"/>
  <c r="D353" i="10"/>
  <c r="D361" i="10"/>
  <c r="D369" i="10"/>
  <c r="D377" i="10"/>
  <c r="D385" i="10"/>
  <c r="D370" i="10"/>
  <c r="D386" i="10"/>
  <c r="D355" i="10"/>
  <c r="D379" i="10"/>
  <c r="D380" i="10"/>
  <c r="D41" i="10"/>
  <c r="D57" i="10"/>
  <c r="D73" i="10"/>
  <c r="D89" i="10"/>
  <c r="D102" i="10"/>
  <c r="D113" i="10"/>
  <c r="D123" i="10"/>
  <c r="D134" i="10"/>
  <c r="D145" i="10"/>
  <c r="D154" i="10"/>
  <c r="D162" i="10"/>
  <c r="D170" i="10"/>
  <c r="D178" i="10"/>
  <c r="D186" i="10"/>
  <c r="D194" i="10"/>
  <c r="D202" i="10"/>
  <c r="D210" i="10"/>
  <c r="D218" i="10"/>
  <c r="D226" i="10"/>
  <c r="D234" i="10"/>
  <c r="D242" i="10"/>
  <c r="D250" i="10"/>
  <c r="D258" i="10"/>
  <c r="D266" i="10"/>
  <c r="D274" i="10"/>
  <c r="D282" i="10"/>
  <c r="D290" i="10"/>
  <c r="D298" i="10"/>
  <c r="D306" i="10"/>
  <c r="D314" i="10"/>
  <c r="D322" i="10"/>
  <c r="D330" i="10"/>
  <c r="D338" i="10"/>
  <c r="D346" i="10"/>
  <c r="D354" i="10"/>
  <c r="D362" i="10"/>
  <c r="D378" i="10"/>
  <c r="D339" i="10"/>
  <c r="D363" i="10"/>
  <c r="D387" i="10"/>
  <c r="D42" i="10"/>
  <c r="D58" i="10"/>
  <c r="D74" i="10"/>
  <c r="D90" i="10"/>
  <c r="D103" i="10"/>
  <c r="D114" i="10"/>
  <c r="D125" i="10"/>
  <c r="D135" i="10"/>
  <c r="D146" i="10"/>
  <c r="D155" i="10"/>
  <c r="D163" i="10"/>
  <c r="D171" i="10"/>
  <c r="D179" i="10"/>
  <c r="D187" i="10"/>
  <c r="D195" i="10"/>
  <c r="D203" i="10"/>
  <c r="D211" i="10"/>
  <c r="D219" i="10"/>
  <c r="D227" i="10"/>
  <c r="D235" i="10"/>
  <c r="D243" i="10"/>
  <c r="D251" i="10"/>
  <c r="D259" i="10"/>
  <c r="D267" i="10"/>
  <c r="D275" i="10"/>
  <c r="D283" i="10"/>
  <c r="D291" i="10"/>
  <c r="D299" i="10"/>
  <c r="D307" i="10"/>
  <c r="D315" i="10"/>
  <c r="D323" i="10"/>
  <c r="D331" i="10"/>
  <c r="D347" i="10"/>
  <c r="D371" i="10"/>
  <c r="D372" i="10"/>
  <c r="D29" i="10"/>
  <c r="D43" i="10"/>
  <c r="D59" i="10"/>
  <c r="D75" i="10"/>
  <c r="D91" i="10"/>
  <c r="D105" i="10"/>
  <c r="D115" i="10"/>
  <c r="D126" i="10"/>
  <c r="D137" i="10"/>
  <c r="D147" i="10"/>
  <c r="D156" i="10"/>
  <c r="D164" i="10"/>
  <c r="D172" i="10"/>
  <c r="D180" i="10"/>
  <c r="D188" i="10"/>
  <c r="D196" i="10"/>
  <c r="D204" i="10"/>
  <c r="D212" i="10"/>
  <c r="D220" i="10"/>
  <c r="D228" i="10"/>
  <c r="D236" i="10"/>
  <c r="D244" i="10"/>
  <c r="D252" i="10"/>
  <c r="D260" i="10"/>
  <c r="D268" i="10"/>
  <c r="D276" i="10"/>
  <c r="D284" i="10"/>
  <c r="D292" i="10"/>
  <c r="D300" i="10"/>
  <c r="D308" i="10"/>
  <c r="D316" i="10"/>
  <c r="D324" i="10"/>
  <c r="D332" i="10"/>
  <c r="D340" i="10"/>
  <c r="D348" i="10"/>
  <c r="D356" i="10"/>
  <c r="D364" i="10"/>
  <c r="E371" i="9"/>
  <c r="E307" i="9"/>
  <c r="E243" i="9"/>
  <c r="E179" i="9"/>
  <c r="E115" i="9"/>
  <c r="E51" i="9"/>
  <c r="E354" i="9"/>
  <c r="E290" i="9"/>
  <c r="E226" i="9"/>
  <c r="E162" i="9"/>
  <c r="E98" i="9"/>
  <c r="E34" i="9"/>
  <c r="E345" i="9"/>
  <c r="E281" i="9"/>
  <c r="E217" i="9"/>
  <c r="E153" i="9"/>
  <c r="E89" i="9"/>
  <c r="E376" i="9"/>
  <c r="E312" i="9"/>
  <c r="F313" i="9" s="1"/>
  <c r="E248" i="9"/>
  <c r="F247" i="9" s="1"/>
  <c r="E184" i="9"/>
  <c r="E120" i="9"/>
  <c r="E56" i="9"/>
  <c r="E351" i="9"/>
  <c r="E287" i="9"/>
  <c r="E223" i="9"/>
  <c r="E159" i="9"/>
  <c r="E95" i="9"/>
  <c r="E31" i="9"/>
  <c r="F30" i="9" s="1"/>
  <c r="E334" i="9"/>
  <c r="E270" i="9"/>
  <c r="E206" i="9"/>
  <c r="E142" i="9"/>
  <c r="E78" i="9"/>
  <c r="E373" i="9"/>
  <c r="E309" i="9"/>
  <c r="E245" i="9"/>
  <c r="E181" i="9"/>
  <c r="F180" i="9" s="1"/>
  <c r="E117" i="9"/>
  <c r="E53" i="9"/>
  <c r="E348" i="9"/>
  <c r="E346" i="9"/>
  <c r="F345" i="9" s="1"/>
  <c r="E284" i="9"/>
  <c r="E282" i="9"/>
  <c r="E220" i="9"/>
  <c r="E218" i="9"/>
  <c r="E156" i="9"/>
  <c r="E154" i="9"/>
  <c r="E92" i="9"/>
  <c r="E90" i="9"/>
  <c r="E28" i="9"/>
  <c r="E26" i="9"/>
  <c r="E363" i="9"/>
  <c r="E299" i="9"/>
  <c r="E235" i="9"/>
  <c r="E171" i="9"/>
  <c r="E107" i="9"/>
  <c r="E43" i="9"/>
  <c r="E337" i="9"/>
  <c r="E273" i="9"/>
  <c r="E209" i="9"/>
  <c r="E145" i="9"/>
  <c r="F144" i="9" s="1"/>
  <c r="E81" i="9"/>
  <c r="E368" i="9"/>
  <c r="E304" i="9"/>
  <c r="E240" i="9"/>
  <c r="F241" i="9" s="1"/>
  <c r="E176" i="9"/>
  <c r="E112" i="9"/>
  <c r="E48" i="9"/>
  <c r="E343" i="9"/>
  <c r="F342" i="9" s="1"/>
  <c r="E279" i="9"/>
  <c r="E215" i="9"/>
  <c r="E151" i="9"/>
  <c r="E87" i="9"/>
  <c r="F88" i="9" s="1"/>
  <c r="E384" i="9"/>
  <c r="E382" i="9"/>
  <c r="E326" i="9"/>
  <c r="E262" i="9"/>
  <c r="E198" i="9"/>
  <c r="E134" i="9"/>
  <c r="E70" i="9"/>
  <c r="E365" i="9"/>
  <c r="E301" i="9"/>
  <c r="F302" i="9" s="1"/>
  <c r="E237" i="9"/>
  <c r="F238" i="9" s="1"/>
  <c r="E173" i="9"/>
  <c r="F172" i="9" s="1"/>
  <c r="E109" i="9"/>
  <c r="E45" i="9"/>
  <c r="E340" i="9"/>
  <c r="E338" i="9"/>
  <c r="E276" i="9"/>
  <c r="E274" i="9"/>
  <c r="E212" i="9"/>
  <c r="E210" i="9"/>
  <c r="E148" i="9"/>
  <c r="E146" i="9"/>
  <c r="E84" i="9"/>
  <c r="E82" i="9"/>
  <c r="F81" i="9" s="1"/>
  <c r="E355" i="9"/>
  <c r="E291" i="9"/>
  <c r="E227" i="9"/>
  <c r="E163" i="9"/>
  <c r="E99" i="9"/>
  <c r="E35" i="9"/>
  <c r="E386" i="9"/>
  <c r="E329" i="9"/>
  <c r="E265" i="9"/>
  <c r="E201" i="9"/>
  <c r="E137" i="9"/>
  <c r="E73" i="9"/>
  <c r="E360" i="9"/>
  <c r="F359" i="9" s="1"/>
  <c r="E296" i="9"/>
  <c r="E232" i="9"/>
  <c r="E168" i="9"/>
  <c r="E104" i="9"/>
  <c r="E40" i="9"/>
  <c r="E335" i="9"/>
  <c r="E271" i="9"/>
  <c r="E207" i="9"/>
  <c r="E143" i="9"/>
  <c r="E79" i="9"/>
  <c r="E318" i="9"/>
  <c r="E254" i="9"/>
  <c r="E190" i="9"/>
  <c r="E126" i="9"/>
  <c r="E62" i="9"/>
  <c r="F61" i="9" s="1"/>
  <c r="E357" i="9"/>
  <c r="E293" i="9"/>
  <c r="E229" i="9"/>
  <c r="E165" i="9"/>
  <c r="E101" i="9"/>
  <c r="E37" i="9"/>
  <c r="F36" i="9" s="1"/>
  <c r="E332" i="9"/>
  <c r="F331" i="9" s="1"/>
  <c r="E330" i="9"/>
  <c r="E268" i="9"/>
  <c r="E266" i="9"/>
  <c r="E204" i="9"/>
  <c r="E202" i="9"/>
  <c r="E140" i="9"/>
  <c r="E138" i="9"/>
  <c r="E76" i="9"/>
  <c r="F75" i="9" s="1"/>
  <c r="E74" i="9"/>
  <c r="E347" i="9"/>
  <c r="F346" i="9" s="1"/>
  <c r="E283" i="9"/>
  <c r="E219" i="9"/>
  <c r="E155" i="9"/>
  <c r="E91" i="9"/>
  <c r="F90" i="9" s="1"/>
  <c r="E27" i="9"/>
  <c r="E385" i="9"/>
  <c r="E321" i="9"/>
  <c r="E257" i="9"/>
  <c r="E193" i="9"/>
  <c r="E129" i="9"/>
  <c r="E65" i="9"/>
  <c r="E352" i="9"/>
  <c r="F353" i="9" s="1"/>
  <c r="E288" i="9"/>
  <c r="E224" i="9"/>
  <c r="E160" i="9"/>
  <c r="E96" i="9"/>
  <c r="E32" i="9"/>
  <c r="E327" i="9"/>
  <c r="E263" i="9"/>
  <c r="E199" i="9"/>
  <c r="E135" i="9"/>
  <c r="E71" i="9"/>
  <c r="E374" i="9"/>
  <c r="E310" i="9"/>
  <c r="E246" i="9"/>
  <c r="E182" i="9"/>
  <c r="E118" i="9"/>
  <c r="E54" i="9"/>
  <c r="E349" i="9"/>
  <c r="E285" i="9"/>
  <c r="F286" i="9" s="1"/>
  <c r="E221" i="9"/>
  <c r="E157" i="9"/>
  <c r="E93" i="9"/>
  <c r="E29" i="9"/>
  <c r="E324" i="9"/>
  <c r="E322" i="9"/>
  <c r="E260" i="9"/>
  <c r="E258" i="9"/>
  <c r="E196" i="9"/>
  <c r="E194" i="9"/>
  <c r="E132" i="9"/>
  <c r="E130" i="9"/>
  <c r="E68" i="9"/>
  <c r="E66" i="9"/>
  <c r="E339" i="9"/>
  <c r="E275" i="9"/>
  <c r="E211" i="9"/>
  <c r="E147" i="9"/>
  <c r="F146" i="9" s="1"/>
  <c r="E83" i="9"/>
  <c r="E379" i="9"/>
  <c r="E377" i="9"/>
  <c r="F378" i="9" s="1"/>
  <c r="E313" i="9"/>
  <c r="E249" i="9"/>
  <c r="E185" i="9"/>
  <c r="E121" i="9"/>
  <c r="E57" i="9"/>
  <c r="E344" i="9"/>
  <c r="E280" i="9"/>
  <c r="E216" i="9"/>
  <c r="F217" i="9" s="1"/>
  <c r="E152" i="9"/>
  <c r="E88" i="9"/>
  <c r="E383" i="9"/>
  <c r="E319" i="9"/>
  <c r="F320" i="9" s="1"/>
  <c r="E255" i="9"/>
  <c r="F256" i="9" s="1"/>
  <c r="E191" i="9"/>
  <c r="E127" i="9"/>
  <c r="E63" i="9"/>
  <c r="E366" i="9"/>
  <c r="F367" i="9" s="1"/>
  <c r="E302" i="9"/>
  <c r="E238" i="9"/>
  <c r="E174" i="9"/>
  <c r="E110" i="9"/>
  <c r="E46" i="9"/>
  <c r="E341" i="9"/>
  <c r="E277" i="9"/>
  <c r="E213" i="9"/>
  <c r="E149" i="9"/>
  <c r="E85" i="9"/>
  <c r="F84" i="9" s="1"/>
  <c r="E380" i="9"/>
  <c r="E378" i="9"/>
  <c r="E316" i="9"/>
  <c r="E314" i="9"/>
  <c r="E252" i="9"/>
  <c r="E250" i="9"/>
  <c r="E188" i="9"/>
  <c r="E186" i="9"/>
  <c r="E124" i="9"/>
  <c r="E122" i="9"/>
  <c r="E60" i="9"/>
  <c r="E58" i="9"/>
  <c r="E331" i="9"/>
  <c r="F330" i="9" s="1"/>
  <c r="E267" i="9"/>
  <c r="F266" i="9" s="1"/>
  <c r="E203" i="9"/>
  <c r="F202" i="9" s="1"/>
  <c r="E139" i="9"/>
  <c r="F138" i="9" s="1"/>
  <c r="E75" i="9"/>
  <c r="E369" i="9"/>
  <c r="E305" i="9"/>
  <c r="E241" i="9"/>
  <c r="E177" i="9"/>
  <c r="E113" i="9"/>
  <c r="E49" i="9"/>
  <c r="E336" i="9"/>
  <c r="F337" i="9" s="1"/>
  <c r="E272" i="9"/>
  <c r="F271" i="9" s="1"/>
  <c r="E208" i="9"/>
  <c r="E144" i="9"/>
  <c r="E80" i="9"/>
  <c r="E375" i="9"/>
  <c r="E311" i="9"/>
  <c r="E247" i="9"/>
  <c r="F246" i="9" s="1"/>
  <c r="E183" i="9"/>
  <c r="F182" i="9" s="1"/>
  <c r="E119" i="9"/>
  <c r="E55" i="9"/>
  <c r="F54" i="9" s="1"/>
  <c r="E358" i="9"/>
  <c r="E294" i="9"/>
  <c r="F295" i="9" s="1"/>
  <c r="E230" i="9"/>
  <c r="E166" i="9"/>
  <c r="E102" i="9"/>
  <c r="F101" i="9" s="1"/>
  <c r="E38" i="9"/>
  <c r="E333" i="9"/>
  <c r="E269" i="9"/>
  <c r="E205" i="9"/>
  <c r="E141" i="9"/>
  <c r="E77" i="9"/>
  <c r="E372" i="9"/>
  <c r="E370" i="9"/>
  <c r="F369" i="9" s="1"/>
  <c r="E308" i="9"/>
  <c r="E306" i="9"/>
  <c r="E244" i="9"/>
  <c r="F245" i="9" s="1"/>
  <c r="E242" i="9"/>
  <c r="E180" i="9"/>
  <c r="E178" i="9"/>
  <c r="E116" i="9"/>
  <c r="E114" i="9"/>
  <c r="E52" i="9"/>
  <c r="E50" i="9"/>
  <c r="E323" i="9"/>
  <c r="F322" i="9" s="1"/>
  <c r="E259" i="9"/>
  <c r="E195" i="9"/>
  <c r="E131" i="9"/>
  <c r="F130" i="9" s="1"/>
  <c r="E67" i="9"/>
  <c r="F66" i="9" s="1"/>
  <c r="E361" i="9"/>
  <c r="E297" i="9"/>
  <c r="E233" i="9"/>
  <c r="E169" i="9"/>
  <c r="E105" i="9"/>
  <c r="E41" i="9"/>
  <c r="E328" i="9"/>
  <c r="E264" i="9"/>
  <c r="E200" i="9"/>
  <c r="E136" i="9"/>
  <c r="E72" i="9"/>
  <c r="F71" i="9" s="1"/>
  <c r="E367" i="9"/>
  <c r="F366" i="9" s="1"/>
  <c r="E303" i="9"/>
  <c r="E239" i="9"/>
  <c r="E175" i="9"/>
  <c r="E111" i="9"/>
  <c r="E47" i="9"/>
  <c r="E350" i="9"/>
  <c r="E286" i="9"/>
  <c r="F285" i="9" s="1"/>
  <c r="E222" i="9"/>
  <c r="F221" i="9" s="1"/>
  <c r="E158" i="9"/>
  <c r="E94" i="9"/>
  <c r="E30" i="9"/>
  <c r="F31" i="9" s="1"/>
  <c r="E325" i="9"/>
  <c r="E261" i="9"/>
  <c r="E197" i="9"/>
  <c r="E133" i="9"/>
  <c r="E69" i="9"/>
  <c r="E364" i="9"/>
  <c r="E362" i="9"/>
  <c r="E300" i="9"/>
  <c r="E298" i="9"/>
  <c r="F297" i="9" s="1"/>
  <c r="E236" i="9"/>
  <c r="E234" i="9"/>
  <c r="E172" i="9"/>
  <c r="E170" i="9"/>
  <c r="F171" i="9" s="1"/>
  <c r="E108" i="9"/>
  <c r="E106" i="9"/>
  <c r="E44" i="9"/>
  <c r="E42" i="9"/>
  <c r="E315" i="9"/>
  <c r="F314" i="9" s="1"/>
  <c r="E251" i="9"/>
  <c r="E187" i="9"/>
  <c r="F188" i="9" s="1"/>
  <c r="E123" i="9"/>
  <c r="F122" i="9" s="1"/>
  <c r="E59" i="9"/>
  <c r="E353" i="9"/>
  <c r="E289" i="9"/>
  <c r="E225" i="9"/>
  <c r="F224" i="9" s="1"/>
  <c r="E161" i="9"/>
  <c r="F160" i="9" s="1"/>
  <c r="E97" i="9"/>
  <c r="E33" i="9"/>
  <c r="F34" i="9" s="1"/>
  <c r="E320" i="9"/>
  <c r="E256" i="9"/>
  <c r="E192" i="9"/>
  <c r="E128" i="9"/>
  <c r="E64" i="9"/>
  <c r="E359" i="9"/>
  <c r="E295" i="9"/>
  <c r="F294" i="9" s="1"/>
  <c r="E231" i="9"/>
  <c r="F232" i="9" s="1"/>
  <c r="E167" i="9"/>
  <c r="E103" i="9"/>
  <c r="E39" i="9"/>
  <c r="F40" i="9" s="1"/>
  <c r="E342" i="9"/>
  <c r="F343" i="9" s="1"/>
  <c r="E278" i="9"/>
  <c r="E214" i="9"/>
  <c r="E150" i="9"/>
  <c r="E86" i="9"/>
  <c r="E381" i="9"/>
  <c r="E317" i="9"/>
  <c r="E253" i="9"/>
  <c r="E189" i="9"/>
  <c r="E125" i="9"/>
  <c r="E61" i="9"/>
  <c r="E356" i="9"/>
  <c r="F355" i="9" s="1"/>
  <c r="E292" i="9"/>
  <c r="E228" i="9"/>
  <c r="E164" i="9"/>
  <c r="E100" i="9"/>
  <c r="E36" i="9"/>
  <c r="F304" i="9"/>
  <c r="F73" i="9"/>
  <c r="F96" i="9"/>
  <c r="F50" i="9"/>
  <c r="F176" i="9"/>
  <c r="F192" i="9"/>
  <c r="F26" i="9"/>
  <c r="F142" i="9"/>
  <c r="F218" i="9"/>
  <c r="F216" i="9"/>
  <c r="F119" i="9" l="1"/>
  <c r="F329" i="9"/>
  <c r="F226" i="9"/>
  <c r="F242" i="9"/>
  <c r="F264" i="9"/>
  <c r="F93" i="9"/>
  <c r="F229" i="9"/>
  <c r="F111" i="9"/>
  <c r="F158" i="9"/>
  <c r="F113" i="9"/>
  <c r="F35" i="9"/>
  <c r="F41" i="9"/>
  <c r="F110" i="9"/>
  <c r="F263" i="9"/>
  <c r="F310" i="9"/>
  <c r="F212" i="9"/>
  <c r="F99" i="9"/>
  <c r="F290" i="9"/>
  <c r="F174" i="9"/>
  <c r="F374" i="9"/>
  <c r="F163" i="9"/>
  <c r="F213" i="9"/>
  <c r="F114" i="9"/>
  <c r="F127" i="9"/>
  <c r="F327" i="9"/>
  <c r="F178" i="9"/>
  <c r="F143" i="9"/>
  <c r="F168" i="9"/>
  <c r="F358" i="9"/>
  <c r="F76" i="9"/>
  <c r="F252" i="9"/>
  <c r="F191" i="9"/>
  <c r="F354" i="9"/>
  <c r="F361" i="9"/>
  <c r="F59" i="9"/>
  <c r="F324" i="9"/>
  <c r="F78" i="9"/>
  <c r="F58" i="9"/>
  <c r="F159" i="9"/>
  <c r="F258" i="9"/>
  <c r="F190" i="9"/>
  <c r="F307" i="9"/>
  <c r="F195" i="9"/>
  <c r="F270" i="9"/>
  <c r="F74" i="9"/>
  <c r="F211" i="9"/>
  <c r="F325" i="9"/>
  <c r="F49" i="9"/>
  <c r="F208" i="9"/>
  <c r="F362" i="9"/>
  <c r="F244" i="9"/>
  <c r="F344" i="9"/>
  <c r="F70" i="9"/>
  <c r="F223" i="9"/>
  <c r="F308" i="9"/>
  <c r="F148" i="9"/>
  <c r="F87" i="9"/>
  <c r="F250" i="9"/>
  <c r="F348" i="9"/>
  <c r="F300" i="9"/>
  <c r="F311" i="9"/>
  <c r="F103" i="9"/>
  <c r="F377" i="9"/>
  <c r="F161" i="9"/>
  <c r="F62" i="9"/>
  <c r="F215" i="9"/>
  <c r="F64" i="9"/>
  <c r="F179" i="9"/>
  <c r="F32" i="9"/>
  <c r="F316" i="9"/>
  <c r="F255" i="9"/>
  <c r="F47" i="9"/>
  <c r="F231" i="9"/>
  <c r="F375" i="9"/>
  <c r="F380" i="9"/>
  <c r="F319" i="9"/>
  <c r="F282" i="9"/>
  <c r="F339" i="9"/>
  <c r="F52" i="9"/>
  <c r="F37" i="9"/>
  <c r="F210" i="9"/>
  <c r="F85" i="9"/>
  <c r="F230" i="9"/>
  <c r="F186" i="9"/>
  <c r="F132" i="9"/>
  <c r="F332" i="9"/>
  <c r="F121" i="9"/>
  <c r="F156" i="9"/>
  <c r="F267" i="9"/>
  <c r="F44" i="9"/>
  <c r="F197" i="9"/>
  <c r="F278" i="9"/>
  <c r="F80" i="9"/>
  <c r="F234" i="9"/>
  <c r="F157" i="9"/>
  <c r="F116" i="9"/>
  <c r="F205" i="9"/>
  <c r="F350" i="9"/>
  <c r="F152" i="9"/>
  <c r="F289" i="9"/>
  <c r="F225" i="9"/>
  <c r="F251" i="9"/>
  <c r="F364" i="9"/>
  <c r="F102" i="9"/>
  <c r="F363" i="9"/>
  <c r="F347" i="9"/>
  <c r="F166" i="9"/>
  <c r="F268" i="9"/>
  <c r="F83" i="9"/>
  <c r="F233" i="9"/>
  <c r="F349" i="9"/>
  <c r="F135" i="9"/>
  <c r="F220" i="9"/>
  <c r="F356" i="9"/>
  <c r="F147" i="9"/>
  <c r="F108" i="9"/>
  <c r="F384" i="9"/>
  <c r="F162" i="9"/>
  <c r="F371" i="9"/>
  <c r="F154" i="9"/>
  <c r="F151" i="9"/>
  <c r="F312" i="9"/>
  <c r="F65" i="9"/>
  <c r="F259" i="9"/>
  <c r="F134" i="9"/>
  <c r="F287" i="9"/>
  <c r="F28" i="9"/>
  <c r="F137" i="9"/>
  <c r="F136" i="9"/>
  <c r="F55" i="9"/>
  <c r="F291" i="9"/>
  <c r="F376" i="9"/>
  <c r="F321" i="9"/>
  <c r="F53" i="9"/>
  <c r="F198" i="9"/>
  <c r="F219" i="9"/>
  <c r="F82" i="9"/>
  <c r="F381" i="9"/>
  <c r="F281" i="9"/>
  <c r="F386" i="9"/>
  <c r="F293" i="9"/>
  <c r="F38" i="9"/>
  <c r="F243" i="9"/>
  <c r="F131" i="9"/>
  <c r="F203" i="9"/>
  <c r="F317" i="9"/>
  <c r="F169" i="9"/>
  <c r="F383" i="9"/>
  <c r="F175" i="9"/>
  <c r="F338" i="9"/>
  <c r="F27" i="9"/>
  <c r="F265" i="9"/>
  <c r="F235" i="9"/>
  <c r="F118" i="9"/>
  <c r="F207" i="9"/>
  <c r="F368" i="9"/>
  <c r="F379" i="9"/>
  <c r="F109" i="9"/>
  <c r="F56" i="9"/>
  <c r="F194" i="9"/>
  <c r="F239" i="9"/>
  <c r="F296" i="9"/>
  <c r="F51" i="9"/>
  <c r="F123" i="9"/>
  <c r="F69" i="9"/>
  <c r="F254" i="9"/>
  <c r="F43" i="9"/>
  <c r="F260" i="9"/>
  <c r="F46" i="9"/>
  <c r="F199" i="9"/>
  <c r="F360" i="9"/>
  <c r="F206" i="9"/>
  <c r="F98" i="9"/>
  <c r="F155" i="9"/>
  <c r="F63" i="9"/>
  <c r="F60" i="9"/>
  <c r="F57" i="9"/>
  <c r="F67" i="9"/>
  <c r="F139" i="9"/>
  <c r="F125" i="9"/>
  <c r="F336" i="9"/>
  <c r="F89" i="9"/>
  <c r="F283" i="9"/>
  <c r="F45" i="9"/>
  <c r="F120" i="9"/>
  <c r="F200" i="9"/>
  <c r="F209" i="9"/>
  <c r="F165" i="9"/>
  <c r="F315" i="9"/>
  <c r="F340" i="9"/>
  <c r="F126" i="9"/>
  <c r="F279" i="9"/>
  <c r="F129" i="9"/>
  <c r="F323" i="9"/>
  <c r="F189" i="9"/>
  <c r="F39" i="9"/>
  <c r="F292" i="9"/>
  <c r="F150" i="9"/>
  <c r="F303" i="9"/>
  <c r="F106" i="9"/>
  <c r="F91" i="9"/>
  <c r="F335" i="9"/>
  <c r="F29" i="9"/>
  <c r="F115" i="9"/>
  <c r="F112" i="9"/>
  <c r="F214" i="9"/>
  <c r="F141" i="9"/>
  <c r="F280" i="9"/>
  <c r="F177" i="9"/>
  <c r="F253" i="9"/>
  <c r="F124" i="9"/>
  <c r="F42" i="9"/>
  <c r="F196" i="9"/>
  <c r="F181" i="9"/>
  <c r="F326" i="9"/>
  <c r="F128" i="9"/>
  <c r="F100" i="9"/>
  <c r="F170" i="9"/>
  <c r="F68" i="9"/>
  <c r="F94" i="9"/>
  <c r="F249" i="9"/>
  <c r="F33" i="9"/>
  <c r="F201" i="9"/>
  <c r="F92" i="9"/>
  <c r="F164" i="9"/>
  <c r="F48" i="9"/>
  <c r="F72" i="9"/>
  <c r="F333" i="9"/>
  <c r="F117" i="9"/>
  <c r="F262" i="9"/>
  <c r="F227" i="9"/>
  <c r="F140" i="9"/>
  <c r="F187" i="9"/>
  <c r="F173" i="9"/>
  <c r="F193" i="9"/>
  <c r="F309" i="9"/>
  <c r="F95" i="9"/>
  <c r="F228" i="9"/>
  <c r="F275" i="9"/>
  <c r="F236" i="9"/>
  <c r="F372" i="9"/>
  <c r="F97" i="9"/>
  <c r="F385" i="9"/>
  <c r="F298" i="9"/>
  <c r="F149" i="9"/>
  <c r="F341" i="9"/>
  <c r="F288" i="9"/>
  <c r="F357" i="9"/>
  <c r="F240" i="9"/>
  <c r="F237" i="9"/>
  <c r="F382" i="9"/>
  <c r="F184" i="9"/>
  <c r="F274" i="9"/>
  <c r="F79" i="9"/>
  <c r="F222" i="9"/>
  <c r="F306" i="9"/>
  <c r="F104" i="9"/>
  <c r="F305" i="9"/>
  <c r="F153" i="9"/>
  <c r="F261" i="9"/>
  <c r="F272" i="9"/>
  <c r="F352" i="9"/>
  <c r="F107" i="9"/>
  <c r="F299" i="9"/>
  <c r="F301" i="9"/>
  <c r="F257" i="9"/>
  <c r="F328" i="9"/>
  <c r="F133" i="9"/>
  <c r="F365" i="9"/>
  <c r="F248" i="9"/>
  <c r="F145" i="9"/>
  <c r="F204" i="9"/>
  <c r="F276" i="9"/>
  <c r="F284" i="9"/>
  <c r="F269" i="9"/>
  <c r="F373" i="9"/>
  <c r="F183" i="9"/>
  <c r="F167" i="9"/>
  <c r="F277" i="9"/>
  <c r="F273" i="9"/>
  <c r="F318" i="9"/>
  <c r="F86" i="9"/>
  <c r="F334" i="9"/>
  <c r="F105" i="9"/>
  <c r="F370" i="9"/>
  <c r="F77" i="9"/>
  <c r="F185" i="9"/>
  <c r="F351" i="9"/>
  <c r="C4" i="1"/>
  <c r="G99" i="1"/>
  <c r="G265" i="1"/>
  <c r="G89" i="1"/>
  <c r="G41" i="1"/>
  <c r="G267" i="1"/>
  <c r="G134" i="1"/>
  <c r="G328" i="1"/>
  <c r="G275" i="1"/>
  <c r="G48" i="1"/>
  <c r="G269" i="1"/>
  <c r="G294" i="1"/>
  <c r="G87" i="1"/>
  <c r="G193" i="1"/>
  <c r="G188" i="1"/>
  <c r="G85" i="1"/>
  <c r="G263" i="1"/>
  <c r="G290" i="1"/>
  <c r="G46" i="1"/>
  <c r="G343" i="1"/>
  <c r="G300" i="1"/>
  <c r="G71" i="1"/>
  <c r="G183" i="1"/>
  <c r="G171" i="1"/>
  <c r="G34" i="1"/>
  <c r="G215" i="1"/>
  <c r="G369" i="1"/>
  <c r="G224" i="1"/>
  <c r="G97" i="1"/>
  <c r="G218" i="1"/>
  <c r="G81" i="1"/>
  <c r="G70" i="1"/>
  <c r="G356" i="1"/>
  <c r="G176" i="1"/>
  <c r="G373" i="1"/>
  <c r="G357" i="1"/>
  <c r="G310" i="1"/>
  <c r="G239" i="1"/>
  <c r="G137" i="1"/>
  <c r="G365" i="1"/>
  <c r="G334" i="1"/>
  <c r="G44" i="1"/>
  <c r="G273" i="1"/>
  <c r="G209" i="1"/>
  <c r="G105" i="1"/>
  <c r="G130" i="1"/>
  <c r="G302" i="1"/>
  <c r="G358" i="1"/>
  <c r="G54" i="1"/>
  <c r="G217" i="1"/>
  <c r="G186" i="1"/>
  <c r="G49" i="1"/>
  <c r="G163" i="1"/>
  <c r="G286" i="1"/>
  <c r="G153" i="1"/>
  <c r="G245" i="1"/>
  <c r="G362" i="1"/>
  <c r="G285" i="1"/>
  <c r="G305" i="1"/>
  <c r="G228" i="1"/>
  <c r="G208" i="1"/>
  <c r="G316" i="1"/>
  <c r="G205" i="1"/>
  <c r="G119" i="1"/>
  <c r="G233" i="1"/>
  <c r="G266" i="1"/>
  <c r="G84" i="1"/>
  <c r="G166" i="1"/>
  <c r="G243" i="1"/>
  <c r="G258" i="1"/>
  <c r="G189" i="1"/>
  <c r="G206" i="1"/>
  <c r="G296" i="1"/>
  <c r="G219" i="1"/>
  <c r="G355" i="1"/>
  <c r="G168" i="1"/>
  <c r="G383" i="1"/>
  <c r="G238" i="1"/>
  <c r="G32" i="1"/>
  <c r="G195" i="1"/>
  <c r="G152" i="1"/>
  <c r="G33" i="1"/>
  <c r="G196" i="1"/>
  <c r="G185" i="1"/>
  <c r="G380" i="1"/>
  <c r="G338" i="1"/>
  <c r="G179" i="1"/>
  <c r="G221" i="1"/>
  <c r="G106" i="1"/>
  <c r="G177" i="1"/>
  <c r="G261" i="1"/>
  <c r="G111" i="1"/>
  <c r="G374" i="1"/>
  <c r="G378" i="1"/>
  <c r="G229" i="1"/>
  <c r="G272" i="1"/>
  <c r="G159" i="1"/>
  <c r="G324" i="1"/>
  <c r="G359" i="1"/>
  <c r="G223" i="1"/>
  <c r="G197" i="1"/>
  <c r="G210" i="1"/>
  <c r="G31" i="1"/>
  <c r="G127" i="1"/>
  <c r="G329" i="1"/>
  <c r="G161" i="1"/>
  <c r="G348" i="1"/>
  <c r="G74" i="1"/>
  <c r="G234" i="1"/>
  <c r="G320" i="1"/>
  <c r="G307" i="1"/>
  <c r="G386" i="1"/>
  <c r="G156" i="1"/>
  <c r="G260" i="1"/>
  <c r="G211" i="1"/>
  <c r="G303" i="1"/>
  <c r="G314" i="1"/>
  <c r="G199" i="1"/>
  <c r="G381" i="1"/>
  <c r="G284" i="1"/>
  <c r="G181" i="1"/>
  <c r="G231" i="1"/>
  <c r="G377" i="1"/>
  <c r="G200" i="1"/>
  <c r="G82" i="1"/>
  <c r="G216" i="1"/>
  <c r="G61" i="1"/>
  <c r="G149" i="1"/>
  <c r="G306" i="1"/>
  <c r="G169" i="1"/>
  <c r="G145" i="1"/>
  <c r="G278" i="1"/>
  <c r="G364" i="1"/>
  <c r="G207" i="1"/>
  <c r="G321" i="1"/>
  <c r="G372" i="1"/>
  <c r="G172" i="1"/>
  <c r="G304" i="1"/>
  <c r="G192" i="1"/>
  <c r="G379" i="1"/>
  <c r="G86" i="1"/>
  <c r="G220" i="1"/>
  <c r="G375" i="1"/>
  <c r="G77" i="1"/>
  <c r="G40" i="1"/>
  <c r="G160" i="1"/>
  <c r="G117" i="1"/>
  <c r="G190" i="1"/>
  <c r="G113" i="1"/>
  <c r="G170" i="1"/>
  <c r="G323" i="1"/>
  <c r="G114" i="1"/>
  <c r="G124" i="1"/>
  <c r="G299" i="1"/>
  <c r="G118" i="1"/>
  <c r="G184" i="1"/>
  <c r="G291" i="1"/>
  <c r="G332" i="1"/>
  <c r="G204" i="1"/>
  <c r="G250" i="1"/>
  <c r="G133" i="1"/>
  <c r="G347" i="1"/>
  <c r="G26" i="1"/>
  <c r="G202" i="1"/>
  <c r="G95" i="1"/>
  <c r="G344" i="1"/>
  <c r="G246" i="1"/>
  <c r="G370" i="1"/>
  <c r="G301" i="1"/>
  <c r="G297" i="1"/>
  <c r="G235" i="1"/>
  <c r="G76" i="1"/>
  <c r="G72" i="1"/>
  <c r="G342" i="1"/>
  <c r="G27" i="1"/>
  <c r="G270" i="1"/>
  <c r="G313" i="1"/>
  <c r="G28" i="1"/>
  <c r="G340" i="1"/>
  <c r="G341" i="1"/>
  <c r="G129" i="1"/>
  <c r="G336" i="1"/>
  <c r="G298" i="1"/>
  <c r="G94" i="1"/>
  <c r="G42" i="1"/>
  <c r="G326" i="1"/>
  <c r="G382" i="1"/>
  <c r="G287" i="1"/>
  <c r="G91" i="1"/>
  <c r="G249" i="1"/>
  <c r="G100" i="1"/>
  <c r="G67" i="1"/>
  <c r="G37" i="1"/>
  <c r="G143" i="1"/>
  <c r="G289" i="1"/>
  <c r="G309" i="1"/>
  <c r="G255" i="1"/>
  <c r="G262" i="1"/>
  <c r="G244" i="1"/>
  <c r="G58" i="1"/>
  <c r="G325" i="1"/>
  <c r="G75" i="1"/>
  <c r="G123" i="1"/>
  <c r="G230" i="1"/>
  <c r="G45" i="1"/>
  <c r="G68" i="1"/>
  <c r="G368" i="1"/>
  <c r="G57" i="1"/>
  <c r="G312" i="1"/>
  <c r="G276" i="1"/>
  <c r="G180" i="1"/>
  <c r="G154" i="1"/>
  <c r="G73" i="1"/>
  <c r="G353" i="1"/>
  <c r="G242" i="1"/>
  <c r="G225" i="1"/>
  <c r="G93" i="1"/>
  <c r="G151" i="1"/>
  <c r="G293" i="1"/>
  <c r="G128" i="1"/>
  <c r="G259" i="1"/>
  <c r="G277" i="1"/>
  <c r="G352" i="1"/>
  <c r="G283" i="1"/>
  <c r="G308" i="1"/>
  <c r="G337" i="1"/>
  <c r="G107" i="1"/>
  <c r="G88" i="1"/>
  <c r="G345" i="1"/>
  <c r="G351" i="1"/>
  <c r="G251" i="1"/>
  <c r="G30" i="1"/>
  <c r="G385" i="1"/>
  <c r="G360" i="1"/>
  <c r="G198" i="1"/>
  <c r="G50" i="1"/>
  <c r="G236" i="1"/>
  <c r="G63" i="1"/>
  <c r="G280" i="1"/>
  <c r="G268" i="1"/>
  <c r="G213" i="1"/>
  <c r="G174" i="1"/>
  <c r="G83" i="1"/>
  <c r="G376" i="1"/>
  <c r="G212" i="1"/>
  <c r="G60" i="1"/>
  <c r="G55" i="1"/>
  <c r="G109" i="1"/>
  <c r="G363" i="1"/>
  <c r="G333" i="1"/>
  <c r="G78" i="1"/>
  <c r="G56" i="1"/>
  <c r="G132" i="1"/>
  <c r="G254" i="1"/>
  <c r="G64" i="1"/>
  <c r="G361" i="1"/>
  <c r="G79" i="1"/>
  <c r="G194" i="1"/>
  <c r="G252" i="1"/>
  <c r="G38" i="1"/>
  <c r="G53" i="1"/>
  <c r="G39" i="1"/>
  <c r="G115" i="1"/>
  <c r="G157" i="1"/>
  <c r="G295" i="1"/>
  <c r="G162" i="1"/>
  <c r="G281" i="1"/>
  <c r="G191" i="1"/>
  <c r="G315" i="1"/>
  <c r="G282" i="1"/>
  <c r="G256" i="1"/>
  <c r="G371" i="1"/>
  <c r="G354" i="1"/>
  <c r="G29" i="1"/>
  <c r="G164" i="1"/>
  <c r="G158" i="1"/>
  <c r="G52" i="1"/>
  <c r="G150" i="1"/>
  <c r="G131" i="1"/>
  <c r="G80" i="1"/>
  <c r="G248" i="1"/>
  <c r="G147" i="1"/>
  <c r="G349" i="1"/>
  <c r="G120" i="1"/>
  <c r="G92" i="1"/>
  <c r="G140" i="1"/>
  <c r="G135" i="1"/>
  <c r="G112" i="1"/>
  <c r="G62" i="1"/>
  <c r="G36" i="1"/>
  <c r="G139" i="1"/>
  <c r="G98" i="1"/>
  <c r="G274" i="1"/>
  <c r="G317" i="1"/>
  <c r="G155" i="1"/>
  <c r="G104" i="1"/>
  <c r="G292" i="1"/>
  <c r="G175" i="1"/>
  <c r="G66" i="1"/>
  <c r="G59" i="1"/>
  <c r="G165" i="1"/>
  <c r="G226" i="1"/>
  <c r="G339" i="1"/>
  <c r="G136" i="1"/>
  <c r="G288" i="1"/>
  <c r="G102" i="1"/>
  <c r="G146" i="1"/>
  <c r="G279" i="1"/>
  <c r="G103" i="1"/>
  <c r="G96" i="1"/>
  <c r="G122" i="1"/>
  <c r="G350" i="1"/>
  <c r="G346" i="1"/>
  <c r="G126" i="1"/>
  <c r="G232" i="1"/>
  <c r="G322" i="1"/>
  <c r="G138" i="1"/>
  <c r="G330" i="1"/>
  <c r="G240" i="1"/>
  <c r="G101" i="1"/>
  <c r="G187" i="1"/>
  <c r="G311" i="1"/>
  <c r="G69" i="1"/>
  <c r="G253" i="1"/>
  <c r="G331" i="1"/>
  <c r="G65" i="1"/>
  <c r="G43" i="1"/>
  <c r="G319" i="1"/>
  <c r="G257" i="1"/>
  <c r="G121" i="1"/>
  <c r="G167" i="1"/>
  <c r="G271" i="1"/>
  <c r="G141" i="1"/>
  <c r="G201" i="1"/>
  <c r="G178" i="1"/>
  <c r="G173" i="1"/>
  <c r="G237" i="1"/>
  <c r="G142" i="1"/>
  <c r="G227" i="1"/>
  <c r="G318" i="1"/>
  <c r="G203" i="1"/>
  <c r="G108" i="1"/>
  <c r="G214" i="1"/>
  <c r="G335" i="1"/>
  <c r="G110" i="1"/>
  <c r="G90" i="1"/>
  <c r="G384" i="1"/>
  <c r="G148" i="1"/>
  <c r="G116" i="1"/>
  <c r="G51" i="1"/>
  <c r="G264" i="1"/>
  <c r="G144" i="1"/>
  <c r="G247" i="1"/>
  <c r="G327" i="1"/>
  <c r="G222" i="1"/>
  <c r="G241" i="1"/>
  <c r="G125" i="1"/>
  <c r="G47" i="1"/>
  <c r="G182" i="1"/>
  <c r="G366" i="1"/>
  <c r="G367" i="1"/>
  <c r="G35" i="1"/>
</calcChain>
</file>

<file path=xl/comments1.xml><?xml version="1.0" encoding="utf-8"?>
<comments xmlns="http://schemas.openxmlformats.org/spreadsheetml/2006/main">
  <authors>
    <author>Schlenkrich, Sebastian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>We assume a flat spread of 30bp in continuous forward rates between discount curve and 6m projection curve.</t>
        </r>
      </text>
    </comment>
  </commentList>
</comments>
</file>

<file path=xl/sharedStrings.xml><?xml version="1.0" encoding="utf-8"?>
<sst xmlns="http://schemas.openxmlformats.org/spreadsheetml/2006/main" count="582" uniqueCount="165">
  <si>
    <t>Date</t>
  </si>
  <si>
    <t>Today</t>
  </si>
  <si>
    <t>1y</t>
  </si>
  <si>
    <t>2y</t>
  </si>
  <si>
    <t>3y</t>
  </si>
  <si>
    <t>4y</t>
  </si>
  <si>
    <t>5y</t>
  </si>
  <si>
    <t>6y</t>
  </si>
  <si>
    <t>7y</t>
  </si>
  <si>
    <t>8y</t>
  </si>
  <si>
    <t>9y</t>
  </si>
  <si>
    <t>10y</t>
  </si>
  <si>
    <t>12y</t>
  </si>
  <si>
    <t>15y</t>
  </si>
  <si>
    <t>20y</t>
  </si>
  <si>
    <t>25y</t>
  </si>
  <si>
    <t>30y</t>
  </si>
  <si>
    <t>Time</t>
  </si>
  <si>
    <t>ForwardRate</t>
  </si>
  <si>
    <t>ContZeroRate</t>
  </si>
  <si>
    <t>AnnualZeroRate</t>
  </si>
  <si>
    <t>ForwardRate2</t>
  </si>
  <si>
    <t>InputRate</t>
  </si>
  <si>
    <t>Annual Frequency</t>
  </si>
  <si>
    <t>TARGET Calendar</t>
  </si>
  <si>
    <t>Modified Following</t>
  </si>
  <si>
    <t>_D1</t>
  </si>
  <si>
    <t>_D2</t>
  </si>
  <si>
    <t>tau</t>
  </si>
  <si>
    <t>Rate</t>
  </si>
  <si>
    <t>Coupon</t>
  </si>
  <si>
    <t>Start</t>
  </si>
  <si>
    <t>Notional</t>
  </si>
  <si>
    <t>End</t>
  </si>
  <si>
    <t>YC</t>
  </si>
  <si>
    <t>P(0,T)</t>
  </si>
  <si>
    <t>Sum</t>
  </si>
  <si>
    <t>ValDate</t>
  </si>
  <si>
    <t>ATM Straddle PV</t>
  </si>
  <si>
    <t>Put/Call</t>
  </si>
  <si>
    <t>Price</t>
  </si>
  <si>
    <t>Density</t>
  </si>
  <si>
    <t>Forward</t>
  </si>
  <si>
    <t>Strike</t>
  </si>
  <si>
    <t>LogVol</t>
  </si>
  <si>
    <t>ShLogVol</t>
  </si>
  <si>
    <t>NormVol</t>
  </si>
  <si>
    <t>Strike (ATM)</t>
  </si>
  <si>
    <t>TimeToExpiry (Y)</t>
  </si>
  <si>
    <t>Log Volatility</t>
  </si>
  <si>
    <t>Shifted Log Volatility</t>
  </si>
  <si>
    <t>Shift</t>
  </si>
  <si>
    <t>Normal Volatility</t>
  </si>
  <si>
    <t>Deriv. Step size</t>
  </si>
  <si>
    <t>Normal</t>
  </si>
  <si>
    <t>Shifted Log-normal</t>
  </si>
  <si>
    <t>Log-normal</t>
  </si>
  <si>
    <t>ImplVol</t>
  </si>
  <si>
    <t>Market Vol</t>
  </si>
  <si>
    <t>Marketdata</t>
  </si>
  <si>
    <t>S</t>
  </si>
  <si>
    <t>T</t>
  </si>
  <si>
    <t>alpha</t>
  </si>
  <si>
    <t>beta</t>
  </si>
  <si>
    <t>CEV</t>
  </si>
  <si>
    <t>SABR</t>
  </si>
  <si>
    <t>CEV+SV</t>
  </si>
  <si>
    <t>CEV+SV+Corr</t>
  </si>
  <si>
    <t>nu</t>
  </si>
  <si>
    <t>rho</t>
  </si>
  <si>
    <t>Call Price</t>
  </si>
  <si>
    <t>ExercDate</t>
  </si>
  <si>
    <t>lambda</t>
  </si>
  <si>
    <t>alphaIsFixed</t>
  </si>
  <si>
    <t>betaIsFixed</t>
  </si>
  <si>
    <t>nuIsFixed</t>
  </si>
  <si>
    <t>rhoIsFixed</t>
  </si>
  <si>
    <t>YieldCurve1</t>
  </si>
  <si>
    <t>YieldCurve2</t>
  </si>
  <si>
    <t>Term</t>
  </si>
  <si>
    <t>ZeroRate</t>
  </si>
  <si>
    <t>StartDate</t>
  </si>
  <si>
    <t>EndDate</t>
  </si>
  <si>
    <t>Schedule1</t>
  </si>
  <si>
    <t>Schedule2</t>
  </si>
  <si>
    <t>Discount Curve</t>
  </si>
  <si>
    <t>Tenor Spread</t>
  </si>
  <si>
    <t>Projection Curve (6m Euribor)</t>
  </si>
  <si>
    <t>Spread Curve</t>
  </si>
  <si>
    <t>Discoun Curve</t>
  </si>
  <si>
    <t>Projection Curve</t>
  </si>
  <si>
    <t>Tenor</t>
  </si>
  <si>
    <t>6m</t>
  </si>
  <si>
    <t>Calendar</t>
  </si>
  <si>
    <t>Target</t>
  </si>
  <si>
    <t>BDC</t>
  </si>
  <si>
    <t>Schedule</t>
  </si>
  <si>
    <t>Index</t>
  </si>
  <si>
    <t>ProjCurve</t>
  </si>
  <si>
    <t>DCC</t>
  </si>
  <si>
    <t>Act/360</t>
  </si>
  <si>
    <t>Pay BDC</t>
  </si>
  <si>
    <t>FixingDays</t>
  </si>
  <si>
    <t>Ibor Leg</t>
  </si>
  <si>
    <t>Leg NPV</t>
  </si>
  <si>
    <t>Disc Curve</t>
  </si>
  <si>
    <t>Fixed Rate</t>
  </si>
  <si>
    <t>Fixed Leg</t>
  </si>
  <si>
    <t>30/360</t>
  </si>
  <si>
    <t>Vanillaswap</t>
  </si>
  <si>
    <t>Set Engine</t>
  </si>
  <si>
    <t>NPV</t>
  </si>
  <si>
    <t>FairRate</t>
  </si>
  <si>
    <t>Additional Fixed Leg / Swap</t>
  </si>
  <si>
    <t>Dates</t>
  </si>
  <si>
    <t>Float Leg</t>
  </si>
  <si>
    <t>DC</t>
  </si>
  <si>
    <t>Floating Rate</t>
  </si>
  <si>
    <t>DiscCurve</t>
  </si>
  <si>
    <t>Euribor6m</t>
  </si>
  <si>
    <t>Payment</t>
  </si>
  <si>
    <t>Swap</t>
  </si>
  <si>
    <t>VanillaSwap</t>
  </si>
  <si>
    <t>Pay or Rec</t>
  </si>
  <si>
    <t>Engine</t>
  </si>
  <si>
    <t>SetEngine</t>
  </si>
  <si>
    <t>FloatLeg</t>
  </si>
  <si>
    <t>Annuity</t>
  </si>
  <si>
    <t>FwdSwapRate</t>
  </si>
  <si>
    <t>EffectiveDate</t>
  </si>
  <si>
    <t>Globals</t>
  </si>
  <si>
    <t>sigmaATM</t>
  </si>
  <si>
    <t>TTE</t>
  </si>
  <si>
    <t>Exercise</t>
  </si>
  <si>
    <t>ExerciseDate</t>
  </si>
  <si>
    <t>sigmaN</t>
  </si>
  <si>
    <t>Volatility</t>
  </si>
  <si>
    <t>Physical</t>
  </si>
  <si>
    <t>EuropeanExercise</t>
  </si>
  <si>
    <t>Swaption</t>
  </si>
  <si>
    <t>SettlementType</t>
  </si>
  <si>
    <t>Bachelier</t>
  </si>
  <si>
    <t>E[.]</t>
  </si>
  <si>
    <t>Receiver</t>
  </si>
  <si>
    <t>NPV per Notional</t>
  </si>
  <si>
    <t>11y</t>
  </si>
  <si>
    <t>13y</t>
  </si>
  <si>
    <t>14y</t>
  </si>
  <si>
    <t>16y</t>
  </si>
  <si>
    <t>17y</t>
  </si>
  <si>
    <t>18y</t>
  </si>
  <si>
    <t>19y</t>
  </si>
  <si>
    <t>f'(0,T)</t>
  </si>
  <si>
    <t>f''(0,T)</t>
  </si>
  <si>
    <t>f(0,T)</t>
  </si>
  <si>
    <t>f(0,T) (bumped)</t>
  </si>
  <si>
    <t>dP/dz_10y</t>
  </si>
  <si>
    <t>Zero</t>
  </si>
  <si>
    <t>YieldCurve3</t>
  </si>
  <si>
    <t>C2 Cubic</t>
  </si>
  <si>
    <t>Kruger Cubic</t>
  </si>
  <si>
    <t>Data</t>
  </si>
  <si>
    <t>Linear</t>
  </si>
  <si>
    <t xml:space="preserve"> P(0,T)*Cpn</t>
  </si>
  <si>
    <t>=qlSettingsSetEvaluationDate(C2)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</si>
</sst>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164" formatCode="_-* #,##0.00\ _€_-;\-* #,##0.00\ _€_-;_-* &quot;-&quot;??\ _€_-;_-@_-"/>
    <numFmt numFmtId="165" formatCode="0.0%"/>
    <numFmt numFmtId="166" formatCode="[$-409]ddd\,\ dd\ mmm\ yyyy"/>
    <numFmt numFmtId="167" formatCode="0.000"/>
    <numFmt numFmtId="168" formatCode="0.0000"/>
    <numFmt numFmtId="169" formatCode="0.0000%"/>
    <numFmt numFmtId="170" formatCode="0.0"/>
    <numFmt numFmtId="171" formatCode="0.0E+00"/>
    <numFmt numFmtId="172" formatCode="0.000000%"/>
    <numFmt numFmtId="173" formatCode="&quot;\&quot;#,##0.00;[Red]&quot;\&quot;\-#,##0.00"/>
    <numFmt numFmtId="174" formatCode="0.0000000000000%"/>
    <numFmt numFmtId="175" formatCode="0\ 00\ 000\ 000"/>
    <numFmt numFmtId="176" formatCode="_-* #,##0\ _B_F_-;\-* #,##0\ _B_F_-;_-* &quot;-&quot;\ _B_F_-;_-@_-"/>
    <numFmt numFmtId="177" formatCode="_(&quot;$&quot;* #,##0.00_);_(&quot;$&quot;* \(#,##0.00\);_(&quot;$&quot;* &quot;-&quot;??_);_(@_)"/>
    <numFmt numFmtId="178" formatCode="dd\-mmm\-yy_)"/>
    <numFmt numFmtId="179" formatCode="dd\ mmmyy\ hh:mm"/>
    <numFmt numFmtId="180" formatCode="_-* #,##0.00\ [$€]_-;\-* #,##0.00\ [$€]_-;_-* &quot;-&quot;??\ [$€]_-;_-@_-"/>
    <numFmt numFmtId="181" formatCode="0.00000000"/>
    <numFmt numFmtId="182" formatCode="_-* #,##0\ _F_-;\-* #,##0\ _F_-;_-* &quot;-&quot;\ _F_-;_-@_-"/>
    <numFmt numFmtId="183" formatCode="_-* #,##0.00\ _F_-;\-* #,##0.00\ _F_-;_-* &quot;-&quot;??\ _F_-;_-@_-"/>
    <numFmt numFmtId="184" formatCode="_-* #,##0\ &quot;F&quot;_-;\-* #,##0\ &quot;F&quot;_-;_-* &quot;-&quot;\ &quot;F&quot;_-;_-@_-"/>
    <numFmt numFmtId="185" formatCode="_-* #,##0.00\ &quot;F&quot;_-;\-* #,##0.00\ &quot;F&quot;_-;_-* &quot;-&quot;??\ &quot;F&quot;_-;_-@_-"/>
    <numFmt numFmtId="186" formatCode="0.0&quot; X EBITDA&quot;"/>
    <numFmt numFmtId="187" formatCode="0.00_)"/>
    <numFmt numFmtId="188" formatCode="0.000%"/>
    <numFmt numFmtId="189" formatCode="[Blue]#,##0;[Red]\-#,##0"/>
    <numFmt numFmtId="190" formatCode="#,##0.0000"/>
    <numFmt numFmtId="191" formatCode="\+#,##0.00;\-#,##0.00"/>
    <numFmt numFmtId="192" formatCode="#,##0&quot;  &quot;"/>
    <numFmt numFmtId="193" formatCode="#,##0.0;\-#,##0.0"/>
    <numFmt numFmtId="194" formatCode="&quot;\&quot;#,##0;[Red]&quot;\&quot;\-#,##0"/>
    <numFmt numFmtId="195" formatCode="0.00000"/>
  </numFmts>
  <fonts count="151">
    <font>
      <sz val="10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name val="Book Antiqua"/>
      <family val="1"/>
    </font>
    <font>
      <sz val="11"/>
      <color indexed="8"/>
      <name val="Calibri"/>
      <family val="2"/>
    </font>
    <font>
      <sz val="10"/>
      <name val="Arial"/>
      <family val="2"/>
    </font>
    <font>
      <u/>
      <sz val="11"/>
      <color rgb="FF666666"/>
      <name val="Arial"/>
      <family val="2"/>
      <scheme val="minor"/>
    </font>
    <font>
      <sz val="11"/>
      <color rgb="FF0063A4"/>
      <name val="Arial"/>
      <family val="2"/>
      <scheme val="minor"/>
    </font>
    <font>
      <sz val="10"/>
      <color rgb="FF00B05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rgb="FF7030A0"/>
      <name val="Arial"/>
      <family val="2"/>
      <scheme val="minor"/>
    </font>
    <font>
      <sz val="10"/>
      <color rgb="FFFF0000"/>
      <name val="Arial"/>
      <family val="2"/>
      <scheme val="minor"/>
    </font>
    <font>
      <sz val="10"/>
      <color rgb="FF0070C0"/>
      <name val="Arial"/>
      <family val="2"/>
      <scheme val="minor"/>
    </font>
    <font>
      <sz val="11"/>
      <color rgb="FF00B050"/>
      <name val="Arial"/>
      <family val="2"/>
      <scheme val="minor"/>
    </font>
    <font>
      <sz val="11"/>
      <color rgb="FF0070C0"/>
      <name val="Arial"/>
      <family val="2"/>
      <scheme val="minor"/>
    </font>
    <font>
      <sz val="11"/>
      <color rgb="FF7030A0"/>
      <name val="Arial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indexed="17"/>
      <name val="Arial"/>
      <family val="2"/>
    </font>
    <font>
      <sz val="11"/>
      <name val="MS P????"/>
      <family val="3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10"/>
      <name val="Helv"/>
    </font>
    <font>
      <sz val="11"/>
      <color indexed="9"/>
      <name val="Calibri"/>
      <family val="2"/>
    </font>
    <font>
      <sz val="10"/>
      <name val="MS Sans Serif"/>
      <family val="2"/>
    </font>
    <font>
      <b/>
      <sz val="10"/>
      <color rgb="FF3F3F3F"/>
      <name val="Arial"/>
      <family val="2"/>
    </font>
    <font>
      <sz val="9"/>
      <name val="Times New Roman"/>
      <family val="1"/>
    </font>
    <font>
      <sz val="10"/>
      <color indexed="10"/>
      <name val="MS Sans Serif"/>
      <family val="2"/>
    </font>
    <font>
      <sz val="9"/>
      <name val="Tahoma"/>
      <family val="2"/>
    </font>
    <font>
      <sz val="11"/>
      <color indexed="20"/>
      <name val="Calibri"/>
      <family val="2"/>
    </font>
    <font>
      <b/>
      <sz val="12"/>
      <color indexed="61"/>
      <name val="Tahoma"/>
      <family val="2"/>
    </font>
    <font>
      <b/>
      <sz val="10"/>
      <color rgb="FFFA7D00"/>
      <name val="Arial"/>
      <family val="2"/>
    </font>
    <font>
      <sz val="10"/>
      <color indexed="56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sz val="12"/>
      <name val="Tms Rmn"/>
    </font>
    <font>
      <b/>
      <sz val="9"/>
      <color indexed="12"/>
      <name val="Tahoma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8"/>
      <name val="Palatino"/>
      <family val="1"/>
    </font>
    <font>
      <sz val="12"/>
      <color indexed="8"/>
      <name val="Courier"/>
      <family val="3"/>
    </font>
    <font>
      <sz val="10"/>
      <name val="Helv"/>
    </font>
    <font>
      <sz val="8"/>
      <name val="Arial MT"/>
    </font>
    <font>
      <b/>
      <sz val="8"/>
      <name val="Arial"/>
      <family val="2"/>
    </font>
    <font>
      <b/>
      <sz val="9"/>
      <name val="Tahoma"/>
      <family val="2"/>
    </font>
    <font>
      <b/>
      <i/>
      <sz val="10"/>
      <name val="Arial"/>
      <family val="2"/>
    </font>
    <font>
      <sz val="10"/>
      <color rgb="FF3F3F76"/>
      <name val="Arial"/>
      <family val="2"/>
    </font>
    <font>
      <b/>
      <sz val="10"/>
      <color theme="1"/>
      <name val="Arial"/>
      <family val="2"/>
    </font>
    <font>
      <i/>
      <sz val="10"/>
      <color rgb="FF7F7F7F"/>
      <name val="Arial"/>
      <family val="2"/>
    </font>
    <font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7"/>
      <name val="Palatino"/>
      <family val="1"/>
    </font>
    <font>
      <sz val="11"/>
      <color indexed="17"/>
      <name val="Calibri"/>
      <family val="2"/>
    </font>
    <font>
      <b/>
      <sz val="9"/>
      <color indexed="23"/>
      <name val="Arial"/>
      <family val="2"/>
    </font>
    <font>
      <sz val="10"/>
      <color rgb="FF006100"/>
      <name val="Arial"/>
      <family val="2"/>
    </font>
    <font>
      <b/>
      <sz val="9"/>
      <color indexed="42"/>
      <name val="Tahoma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color indexed="22"/>
      <name val="MS Sans Serif"/>
      <family val="2"/>
    </font>
    <font>
      <i/>
      <sz val="10"/>
      <color indexed="11"/>
      <name val="Arial"/>
      <family val="2"/>
    </font>
    <font>
      <b/>
      <i/>
      <sz val="9"/>
      <color indexed="57"/>
      <name val="Verdana"/>
      <family val="2"/>
    </font>
    <font>
      <i/>
      <sz val="10"/>
      <name val="Arial"/>
      <family val="2"/>
    </font>
    <font>
      <b/>
      <i/>
      <sz val="9"/>
      <color indexed="16"/>
      <name val="Verdana"/>
      <family val="2"/>
    </font>
    <font>
      <b/>
      <sz val="9"/>
      <color indexed="9"/>
      <name val="Verdana"/>
      <family val="2"/>
    </font>
    <font>
      <b/>
      <i/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b/>
      <sz val="9"/>
      <color indexed="63"/>
      <name val="Tahoma"/>
      <family val="2"/>
    </font>
    <font>
      <sz val="11"/>
      <color indexed="52"/>
      <name val="Calibri"/>
      <family val="2"/>
    </font>
    <font>
      <sz val="8"/>
      <name val="Helv"/>
    </font>
    <font>
      <b/>
      <sz val="12"/>
      <color indexed="20"/>
      <name val="Tahoma"/>
      <family val="2"/>
    </font>
    <font>
      <sz val="12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b/>
      <sz val="11"/>
      <color indexed="39"/>
      <name val="Arial"/>
      <family val="2"/>
    </font>
    <font>
      <sz val="7"/>
      <name val="Small Fonts"/>
      <family val="2"/>
    </font>
    <font>
      <b/>
      <i/>
      <sz val="16"/>
      <name val="Helv"/>
    </font>
    <font>
      <b/>
      <sz val="9"/>
      <color indexed="52"/>
      <name val="Arial"/>
      <family val="2"/>
    </font>
    <font>
      <b/>
      <sz val="9"/>
      <color indexed="16"/>
      <name val="Verdana"/>
      <family val="2"/>
    </font>
    <font>
      <sz val="10"/>
      <color indexed="16"/>
      <name val="Helvetica-Black"/>
    </font>
    <font>
      <sz val="14"/>
      <color indexed="8"/>
      <name val="Verdana"/>
      <family val="2"/>
    </font>
    <font>
      <i/>
      <sz val="10"/>
      <name val="Bookman Old Style"/>
      <family val="1"/>
    </font>
    <font>
      <i/>
      <sz val="10"/>
      <color indexed="8"/>
      <name val="Bookman Old Style"/>
      <family val="1"/>
    </font>
    <font>
      <b/>
      <sz val="10"/>
      <color indexed="17"/>
      <name val="MS Sans Serif"/>
      <family val="2"/>
    </font>
    <font>
      <b/>
      <sz val="12"/>
      <name val="Helv"/>
    </font>
    <font>
      <sz val="8"/>
      <color indexed="18"/>
      <name val="Helvetica"/>
      <family val="2"/>
    </font>
    <font>
      <sz val="10"/>
      <color rgb="FF9C0006"/>
      <name val="Arial"/>
      <family val="2"/>
    </font>
    <font>
      <sz val="8.5"/>
      <color indexed="8"/>
      <name val="MS Sans Serif"/>
      <family val="2"/>
    </font>
    <font>
      <b/>
      <sz val="8"/>
      <name val="Tahoma"/>
      <family val="2"/>
    </font>
    <font>
      <b/>
      <sz val="6"/>
      <name val="Helv"/>
    </font>
    <font>
      <b/>
      <sz val="9"/>
      <name val="Times New Roman"/>
      <family val="1"/>
    </font>
    <font>
      <sz val="8"/>
      <color indexed="12"/>
      <name val="MS Sans Serif"/>
      <family val="2"/>
    </font>
    <font>
      <b/>
      <i/>
      <sz val="8"/>
      <name val="Helv"/>
      <family val="2"/>
    </font>
    <font>
      <b/>
      <sz val="8"/>
      <color indexed="12"/>
      <name val="Arial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9"/>
      <name val="NewsGoth Lt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1"/>
      <color indexed="10"/>
      <name val="Arial"/>
      <family val="2"/>
    </font>
    <font>
      <b/>
      <sz val="24"/>
      <name val="MS Sans Serif"/>
      <family val="2"/>
    </font>
    <font>
      <b/>
      <sz val="18"/>
      <color indexed="56"/>
      <name val="Cambria"/>
      <family val="2"/>
    </font>
    <font>
      <b/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8"/>
      <color indexed="10"/>
      <name val="Arial Narrow"/>
      <family val="2"/>
    </font>
    <font>
      <sz val="10"/>
      <color rgb="FFFA7D0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u/>
      <sz val="10"/>
      <color indexed="12"/>
      <name val="Arial"/>
      <family val="2"/>
    </font>
    <font>
      <sz val="11"/>
      <name val="ＭＳ Ｐゴシック"/>
      <family val="3"/>
      <charset val="128"/>
    </font>
    <font>
      <u/>
      <sz val="10"/>
      <color indexed="36"/>
      <name val="Arial"/>
      <family val="2"/>
    </font>
    <font>
      <b/>
      <sz val="10"/>
      <color rgb="FF00B050"/>
      <name val="Arial"/>
      <family val="2"/>
      <scheme val="minor"/>
    </font>
    <font>
      <b/>
      <sz val="10"/>
      <color rgb="FF7030A0"/>
      <name val="Arial"/>
      <family val="2"/>
      <scheme val="minor"/>
    </font>
    <font>
      <b/>
      <sz val="10"/>
      <color rgb="FF0070C0"/>
      <name val="Arial"/>
      <family val="2"/>
      <scheme val="minor"/>
    </font>
    <font>
      <sz val="9"/>
      <color indexed="81"/>
      <name val="Tahoma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6"/>
        <bgColor indexed="64"/>
      </patternFill>
    </fill>
    <fill>
      <patternFill patternType="lightTrellis">
        <fgColor indexed="57"/>
        <bgColor indexed="53"/>
      </patternFill>
    </fill>
    <fill>
      <patternFill patternType="mediumGray"/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9"/>
        <bgColor indexed="64"/>
      </patternFill>
    </fill>
    <fill>
      <patternFill patternType="mediumGray">
        <fgColor indexed="17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lightGray"/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14"/>
      </right>
      <top style="medium">
        <color indexed="1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4"/>
      </left>
      <right style="medium">
        <color indexed="14"/>
      </right>
      <top style="medium">
        <color indexed="14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748">
    <xf numFmtId="0" fontId="0" fillId="0" borderId="0">
      <alignment vertical="top"/>
    </xf>
    <xf numFmtId="9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0" borderId="0"/>
    <xf numFmtId="0" fontId="4" fillId="0" borderId="0">
      <alignment vertical="top"/>
    </xf>
    <xf numFmtId="0" fontId="3" fillId="0" borderId="0"/>
    <xf numFmtId="164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8" borderId="8" applyNumberFormat="0" applyFont="0" applyAlignment="0" applyProtection="0"/>
    <xf numFmtId="9" fontId="22" fillId="0" borderId="0" applyFont="0" applyFill="0" applyBorder="0" applyAlignment="0" applyProtection="0"/>
    <xf numFmtId="0" fontId="21" fillId="0" borderId="0" applyBorder="0"/>
    <xf numFmtId="0" fontId="3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8" fillId="0" borderId="0"/>
    <xf numFmtId="173" fontId="38" fillId="0" borderId="0" applyFont="0" applyFill="0" applyBorder="0" applyAlignment="0" applyProtection="0"/>
    <xf numFmtId="40" fontId="38" fillId="0" borderId="0" applyFont="0" applyFill="0" applyBorder="0" applyAlignment="0" applyProtection="0"/>
    <xf numFmtId="38" fontId="38" fillId="0" borderId="0" applyFont="0" applyFill="0" applyBorder="0" applyAlignment="0" applyProtection="0"/>
    <xf numFmtId="0" fontId="39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 applyNumberFormat="0" applyFill="0" applyBorder="0" applyAlignment="0" applyProtection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40" fillId="0" borderId="0">
      <alignment vertical="center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41" fillId="0" borderId="0">
      <alignment vertical="top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/>
    <xf numFmtId="0" fontId="23" fillId="0" borderId="0">
      <alignment horizontal="left" wrapText="1"/>
    </xf>
    <xf numFmtId="0" fontId="40" fillId="0" borderId="0">
      <alignment vertical="center"/>
    </xf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40" fillId="0" borderId="0">
      <alignment vertical="center"/>
    </xf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42" fillId="12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4" fontId="43" fillId="0" borderId="10">
      <alignment horizontal="center"/>
      <protection locked="0"/>
    </xf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1" fontId="45" fillId="0" borderId="0"/>
    <xf numFmtId="0" fontId="42" fillId="9" borderId="0" applyNumberFormat="0" applyBorder="0" applyAlignment="0" applyProtection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39" fontId="45" fillId="51" borderId="0" applyFont="0" applyFill="0" applyBorder="0" applyAlignment="0" applyProtection="0"/>
    <xf numFmtId="0" fontId="46" fillId="6" borderId="5" applyNumberFormat="0" applyAlignment="0" applyProtection="0"/>
    <xf numFmtId="0" fontId="47" fillId="0" borderId="0"/>
    <xf numFmtId="0" fontId="48" fillId="52" borderId="0" applyAlignment="0"/>
    <xf numFmtId="0" fontId="49" fillId="34" borderId="0"/>
    <xf numFmtId="0" fontId="50" fillId="36" borderId="0" applyNumberFormat="0" applyBorder="0" applyAlignment="0" applyProtection="0"/>
    <xf numFmtId="0" fontId="51" fillId="53" borderId="0">
      <alignment vertical="center"/>
    </xf>
    <xf numFmtId="0" fontId="23" fillId="51" borderId="0"/>
    <xf numFmtId="0" fontId="52" fillId="6" borderId="4" applyNumberFormat="0" applyAlignment="0" applyProtection="0"/>
    <xf numFmtId="174" fontId="23" fillId="0" borderId="0" applyFont="0" applyFill="0" applyBorder="0" applyAlignment="0" applyProtection="0"/>
    <xf numFmtId="10" fontId="53" fillId="0" borderId="0" applyNumberFormat="0"/>
    <xf numFmtId="0" fontId="54" fillId="54" borderId="0">
      <alignment horizontal="left"/>
    </xf>
    <xf numFmtId="2" fontId="55" fillId="51" borderId="24" applyProtection="0">
      <alignment horizontal="left"/>
      <protection locked="0"/>
    </xf>
    <xf numFmtId="0" fontId="56" fillId="0" borderId="0" applyNumberFormat="0" applyFill="0" applyBorder="0" applyAlignment="0" applyProtection="0"/>
    <xf numFmtId="0" fontId="57" fillId="55" borderId="0"/>
    <xf numFmtId="0" fontId="58" fillId="56" borderId="25" applyNumberFormat="0" applyAlignment="0" applyProtection="0"/>
    <xf numFmtId="175" fontId="37" fillId="0" borderId="24" applyBorder="0">
      <alignment horizontal="center" vertical="center"/>
    </xf>
    <xf numFmtId="176" fontId="59" fillId="0" borderId="0"/>
    <xf numFmtId="0" fontId="60" fillId="0" borderId="0" applyFont="0" applyFill="0" applyBorder="0" applyAlignment="0" applyProtection="0">
      <alignment horizontal="right"/>
    </xf>
    <xf numFmtId="3" fontId="61" fillId="0" borderId="0">
      <protection locked="0"/>
    </xf>
    <xf numFmtId="0" fontId="62" fillId="0" borderId="26"/>
    <xf numFmtId="0" fontId="61" fillId="0" borderId="0">
      <protection locked="0"/>
    </xf>
    <xf numFmtId="177" fontId="23" fillId="0" borderId="0" applyFont="0" applyFill="0" applyBorder="0" applyAlignment="0" applyProtection="0"/>
    <xf numFmtId="0" fontId="49" fillId="57" borderId="0">
      <protection locked="0"/>
    </xf>
    <xf numFmtId="0" fontId="23" fillId="58" borderId="0" applyNumberFormat="0" applyBorder="0" applyAlignment="0" applyProtection="0"/>
    <xf numFmtId="178" fontId="63" fillId="0" borderId="0"/>
    <xf numFmtId="0" fontId="60" fillId="0" borderId="0" applyFont="0" applyFill="0" applyBorder="0" applyAlignment="0" applyProtection="0"/>
    <xf numFmtId="0" fontId="64" fillId="51" borderId="0">
      <alignment horizontal="left"/>
    </xf>
    <xf numFmtId="178" fontId="63" fillId="0" borderId="0"/>
    <xf numFmtId="14" fontId="23" fillId="0" borderId="0"/>
    <xf numFmtId="179" fontId="65" fillId="55" borderId="0" applyFont="0" applyFill="0" applyBorder="0" applyAlignment="0" applyProtection="0">
      <alignment vertical="center"/>
    </xf>
    <xf numFmtId="15" fontId="66" fillId="0" borderId="0">
      <alignment horizontal="right"/>
    </xf>
    <xf numFmtId="0" fontId="41" fillId="0" borderId="0">
      <alignment horizontal="right"/>
    </xf>
    <xf numFmtId="0" fontId="60" fillId="0" borderId="27" applyNumberFormat="0" applyFont="0" applyFill="0" applyAlignment="0" applyProtection="0"/>
    <xf numFmtId="0" fontId="67" fillId="5" borderId="4" applyNumberFormat="0" applyAlignment="0" applyProtection="0"/>
    <xf numFmtId="0" fontId="68" fillId="0" borderId="9" applyNumberFormat="0" applyFill="0" applyAlignment="0" applyProtection="0"/>
    <xf numFmtId="0" fontId="69" fillId="0" borderId="0" applyNumberFormat="0" applyFill="0" applyBorder="0" applyAlignment="0" applyProtection="0"/>
    <xf numFmtId="180" fontId="23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Protection="0"/>
    <xf numFmtId="0" fontId="39" fillId="0" borderId="0" applyProtection="0"/>
    <xf numFmtId="0" fontId="72" fillId="0" borderId="0" applyProtection="0"/>
    <xf numFmtId="0" fontId="70" fillId="0" borderId="0" applyProtection="0"/>
    <xf numFmtId="0" fontId="73" fillId="0" borderId="0" applyProtection="0"/>
    <xf numFmtId="0" fontId="74" fillId="0" borderId="0" applyProtection="0"/>
    <xf numFmtId="0" fontId="75" fillId="0" borderId="0" applyProtection="0"/>
    <xf numFmtId="0" fontId="61" fillId="0" borderId="0">
      <protection locked="0"/>
    </xf>
    <xf numFmtId="2" fontId="76" fillId="0" borderId="28">
      <alignment horizontal="center"/>
    </xf>
    <xf numFmtId="0" fontId="77" fillId="0" borderId="0" applyFill="0" applyBorder="0" applyProtection="0">
      <alignment horizontal="left"/>
    </xf>
    <xf numFmtId="181" fontId="45" fillId="51" borderId="0" applyFont="0" applyFill="0" applyBorder="0" applyAlignment="0" applyProtection="0"/>
    <xf numFmtId="0" fontId="78" fillId="37" borderId="0" applyNumberFormat="0" applyBorder="0" applyAlignment="0" applyProtection="0"/>
    <xf numFmtId="2" fontId="79" fillId="51" borderId="24" applyProtection="0">
      <alignment horizontal="left"/>
      <protection locked="0"/>
    </xf>
    <xf numFmtId="0" fontId="34" fillId="33" borderId="16" applyAlignment="0" applyProtection="0"/>
    <xf numFmtId="0" fontId="80" fillId="2" borderId="0" applyNumberFormat="0" applyBorder="0" applyAlignment="0" applyProtection="0"/>
    <xf numFmtId="0" fontId="81" fillId="59" borderId="0"/>
    <xf numFmtId="0" fontId="82" fillId="0" borderId="29" applyNumberFormat="0" applyAlignment="0" applyProtection="0">
      <alignment horizontal="left" vertical="center"/>
    </xf>
    <xf numFmtId="0" fontId="82" fillId="0" borderId="16">
      <alignment horizontal="left" vertical="center"/>
    </xf>
    <xf numFmtId="0" fontId="83" fillId="34" borderId="0" applyNumberFormat="0" applyBorder="0" applyAlignment="0" applyProtection="0"/>
    <xf numFmtId="0" fontId="84" fillId="0" borderId="30" applyNumberFormat="0" applyFill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6" fillId="0" borderId="0" applyNumberFormat="0" applyFill="0" applyBorder="0" applyAlignment="0" applyProtection="0"/>
    <xf numFmtId="17" fontId="87" fillId="60" borderId="0" applyNumberFormat="0" applyFill="0">
      <alignment horizontal="left"/>
    </xf>
    <xf numFmtId="0" fontId="88" fillId="61" borderId="0" applyNumberFormat="0" applyBorder="0">
      <alignment horizontal="right" vertical="center"/>
    </xf>
    <xf numFmtId="19" fontId="88" fillId="61" borderId="33" applyNumberFormat="0" applyBorder="0">
      <alignment horizontal="left" vertical="center"/>
    </xf>
    <xf numFmtId="2" fontId="89" fillId="62" borderId="0">
      <alignment horizontal="center" vertical="center"/>
    </xf>
    <xf numFmtId="2" fontId="89" fillId="62" borderId="34" applyBorder="0">
      <alignment horizontal="left" vertical="center"/>
    </xf>
    <xf numFmtId="0" fontId="88" fillId="61" borderId="0">
      <alignment horizontal="right" vertical="center"/>
    </xf>
    <xf numFmtId="19" fontId="90" fillId="61" borderId="11" applyNumberFormat="0" applyBorder="0">
      <alignment horizontal="left" vertical="center" indent="1"/>
    </xf>
    <xf numFmtId="2" fontId="91" fillId="62" borderId="23" applyBorder="0">
      <alignment horizontal="left" vertical="center" indent="1"/>
    </xf>
    <xf numFmtId="2" fontId="91" fillId="62" borderId="35" applyBorder="0">
      <alignment horizontal="center" vertical="center"/>
    </xf>
    <xf numFmtId="2" fontId="23" fillId="63" borderId="19" applyBorder="0">
      <alignment horizontal="left" vertical="center" indent="1"/>
    </xf>
    <xf numFmtId="0" fontId="23" fillId="63" borderId="0">
      <alignment horizontal="right" vertical="center"/>
    </xf>
    <xf numFmtId="2" fontId="23" fillId="63" borderId="33" applyNumberFormat="0" applyBorder="0">
      <alignment horizontal="right" vertical="center"/>
    </xf>
    <xf numFmtId="2" fontId="92" fillId="64" borderId="11" applyBorder="0">
      <alignment horizontal="left" vertical="center" indent="1"/>
    </xf>
    <xf numFmtId="2" fontId="92" fillId="64" borderId="0">
      <alignment horizontal="right" vertical="center"/>
    </xf>
    <xf numFmtId="2" fontId="92" fillId="64" borderId="34" applyBorder="0">
      <alignment horizontal="left" vertical="center"/>
    </xf>
    <xf numFmtId="2" fontId="92" fillId="64" borderId="28" applyBorder="0">
      <alignment horizontal="center" vertical="center"/>
    </xf>
    <xf numFmtId="19" fontId="90" fillId="65" borderId="36" applyNumberFormat="0" applyBorder="0">
      <alignment horizontal="left" vertical="center"/>
    </xf>
    <xf numFmtId="15" fontId="90" fillId="65" borderId="35" applyNumberFormat="0" applyBorder="0">
      <alignment horizontal="right" vertical="center"/>
    </xf>
    <xf numFmtId="19" fontId="90" fillId="65" borderId="37" applyNumberFormat="0" applyBorder="0">
      <alignment horizontal="right" vertical="center"/>
    </xf>
    <xf numFmtId="2" fontId="91" fillId="66" borderId="38" applyBorder="0">
      <alignment horizontal="left" vertical="center" indent="1"/>
    </xf>
    <xf numFmtId="2" fontId="91" fillId="66" borderId="34" applyNumberFormat="0">
      <alignment horizontal="center" vertical="center"/>
    </xf>
    <xf numFmtId="2" fontId="91" fillId="66" borderId="34" applyNumberFormat="0" applyBorder="0">
      <alignment horizontal="left" vertical="center"/>
    </xf>
    <xf numFmtId="2" fontId="23" fillId="67" borderId="37" applyNumberFormat="0" applyBorder="0">
      <alignment horizontal="right" vertical="center"/>
    </xf>
    <xf numFmtId="0" fontId="93" fillId="0" borderId="0"/>
    <xf numFmtId="38" fontId="73" fillId="0" borderId="0"/>
    <xf numFmtId="38" fontId="94" fillId="0" borderId="0"/>
    <xf numFmtId="38" fontId="95" fillId="0" borderId="0"/>
    <xf numFmtId="38" fontId="75" fillId="0" borderId="0"/>
    <xf numFmtId="0" fontId="76" fillId="0" borderId="0"/>
    <xf numFmtId="0" fontId="76" fillId="0" borderId="0"/>
    <xf numFmtId="0" fontId="96" fillId="34" borderId="0"/>
    <xf numFmtId="3" fontId="23" fillId="0" borderId="0"/>
    <xf numFmtId="0" fontId="97" fillId="0" borderId="39" applyNumberFormat="0" applyFill="0" applyAlignment="0" applyProtection="0"/>
    <xf numFmtId="0" fontId="98" fillId="68" borderId="0" applyFill="0" applyBorder="0">
      <protection hidden="1"/>
    </xf>
    <xf numFmtId="0" fontId="99" fillId="69" borderId="40">
      <protection locked="0"/>
    </xf>
    <xf numFmtId="0" fontId="39" fillId="0" borderId="0"/>
    <xf numFmtId="0" fontId="39" fillId="34" borderId="0"/>
    <xf numFmtId="182" fontId="100" fillId="0" borderId="0" applyFont="0" applyFill="0" applyBorder="0" applyAlignment="0" applyProtection="0"/>
    <xf numFmtId="183" fontId="100" fillId="0" borderId="0" applyFont="0" applyFill="0" applyBorder="0" applyAlignment="0" applyProtection="0"/>
    <xf numFmtId="184" fontId="100" fillId="0" borderId="0" applyFont="0" applyFill="0" applyBorder="0" applyAlignment="0" applyProtection="0"/>
    <xf numFmtId="185" fontId="100" fillId="0" borderId="0" applyFont="0" applyFill="0" applyBorder="0" applyAlignment="0" applyProtection="0"/>
    <xf numFmtId="172" fontId="23" fillId="0" borderId="0">
      <alignment horizontal="right"/>
    </xf>
    <xf numFmtId="186" fontId="100" fillId="0" borderId="0" applyFont="0">
      <protection locked="0"/>
    </xf>
    <xf numFmtId="0" fontId="101" fillId="70" borderId="0" applyNumberFormat="0" applyBorder="0" applyAlignment="0" applyProtection="0"/>
    <xf numFmtId="0" fontId="102" fillId="4" borderId="0" applyNumberFormat="0" applyBorder="0" applyAlignment="0" applyProtection="0"/>
    <xf numFmtId="0" fontId="103" fillId="34" borderId="41" applyNumberFormat="0" applyFont="0" applyFill="0" applyAlignment="0" applyProtection="0">
      <alignment horizontal="center"/>
    </xf>
    <xf numFmtId="0" fontId="23" fillId="0" borderId="0" applyNumberFormat="0" applyFont="0" applyFill="0" applyBorder="0" applyAlignment="0"/>
    <xf numFmtId="37" fontId="104" fillId="0" borderId="0"/>
    <xf numFmtId="187" fontId="105" fillId="0" borderId="0"/>
    <xf numFmtId="0" fontId="1" fillId="0" borderId="0"/>
    <xf numFmtId="0" fontId="1" fillId="0" borderId="0"/>
    <xf numFmtId="0" fontId="1" fillId="0" borderId="0"/>
    <xf numFmtId="0" fontId="4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23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71" borderId="42" applyNumberFormat="0" applyFont="0" applyAlignment="0" applyProtection="0"/>
    <xf numFmtId="0" fontId="35" fillId="8" borderId="8" applyNumberFormat="0" applyFont="0" applyAlignment="0" applyProtection="0"/>
    <xf numFmtId="0" fontId="35" fillId="8" borderId="8" applyNumberFormat="0" applyFont="0" applyAlignment="0" applyProtection="0"/>
    <xf numFmtId="0" fontId="35" fillId="8" borderId="8" applyNumberFormat="0" applyFont="0" applyAlignment="0" applyProtection="0"/>
    <xf numFmtId="0" fontId="35" fillId="8" borderId="8" applyNumberFormat="0" applyFont="0" applyAlignment="0" applyProtection="0"/>
    <xf numFmtId="37" fontId="23" fillId="0" borderId="0"/>
    <xf numFmtId="0" fontId="34" fillId="72" borderId="43" applyNumberFormat="0" applyBorder="0">
      <alignment horizontal="left" vertical="center"/>
    </xf>
    <xf numFmtId="2" fontId="34" fillId="72" borderId="34" applyNumberFormat="0" applyBorder="0">
      <alignment horizontal="left" vertical="center"/>
    </xf>
    <xf numFmtId="2" fontId="92" fillId="64" borderId="44" applyNumberFormat="0" applyBorder="0">
      <alignment horizontal="left" vertical="center"/>
    </xf>
    <xf numFmtId="2" fontId="92" fillId="64" borderId="34" applyNumberFormat="0" applyBorder="0">
      <alignment horizontal="left" vertical="center"/>
    </xf>
    <xf numFmtId="2" fontId="106" fillId="51" borderId="24">
      <alignment horizontal="left"/>
    </xf>
    <xf numFmtId="19" fontId="23" fillId="73" borderId="12" applyNumberFormat="0" applyBorder="0">
      <alignment horizontal="left" vertical="center" indent="1"/>
    </xf>
    <xf numFmtId="0" fontId="23" fillId="73" borderId="0">
      <alignment horizontal="right" vertical="center"/>
    </xf>
    <xf numFmtId="19" fontId="23" fillId="73" borderId="37" applyNumberFormat="0" applyBorder="0">
      <alignment horizontal="right" vertical="center"/>
    </xf>
    <xf numFmtId="2" fontId="107" fillId="74" borderId="23" applyBorder="0">
      <alignment horizontal="left" vertical="center" indent="1"/>
    </xf>
    <xf numFmtId="2" fontId="107" fillId="74" borderId="0">
      <alignment horizontal="center" vertical="center"/>
    </xf>
    <xf numFmtId="2" fontId="107" fillId="74" borderId="45">
      <alignment horizontal="left" vertical="center"/>
    </xf>
    <xf numFmtId="1" fontId="108" fillId="0" borderId="0" applyProtection="0">
      <alignment horizontal="right" vertical="center"/>
    </xf>
    <xf numFmtId="0" fontId="23" fillId="75" borderId="0" applyNumberFormat="0" applyFont="0" applyBorder="0" applyAlignment="0" applyProtection="0">
      <protection hidden="1"/>
    </xf>
    <xf numFmtId="0" fontId="109" fillId="53" borderId="28">
      <alignment horizontal="center"/>
    </xf>
    <xf numFmtId="9" fontId="59" fillId="0" borderId="0" applyFont="0" applyFill="0" applyBorder="0" applyAlignment="0" applyProtection="0"/>
    <xf numFmtId="10" fontId="59" fillId="0" borderId="0" applyFont="0" applyFill="0" applyBorder="0" applyAlignment="0" applyProtection="0"/>
    <xf numFmtId="9" fontId="4" fillId="0" borderId="0" applyFont="0" applyFill="0" applyBorder="0" applyAlignment="0" applyProtection="0"/>
    <xf numFmtId="188" fontId="110" fillId="58" borderId="0" applyNumberFormat="0" applyBorder="0">
      <alignment horizontal="right" vertical="center"/>
    </xf>
    <xf numFmtId="0" fontId="111" fillId="76" borderId="28" applyNumberFormat="0">
      <alignment horizontal="center" vertical="center"/>
    </xf>
    <xf numFmtId="0" fontId="111" fillId="76" borderId="0" applyNumberFormat="0" applyBorder="0">
      <alignment horizontal="left" vertical="center" indent="1"/>
    </xf>
    <xf numFmtId="189" fontId="23" fillId="0" borderId="0"/>
    <xf numFmtId="0" fontId="90" fillId="51" borderId="23">
      <alignment horizontal="center"/>
    </xf>
    <xf numFmtId="0" fontId="112" fillId="60" borderId="0" applyNumberFormat="0" applyAlignment="0" applyProtection="0"/>
    <xf numFmtId="0" fontId="65" fillId="55" borderId="0"/>
    <xf numFmtId="38" fontId="113" fillId="0" borderId="0"/>
    <xf numFmtId="3" fontId="114" fillId="0" borderId="46">
      <alignment horizontal="center"/>
      <protection locked="0"/>
    </xf>
    <xf numFmtId="0" fontId="57" fillId="77" borderId="0"/>
    <xf numFmtId="0" fontId="23" fillId="78" borderId="47" applyNumberFormat="0" applyProtection="0">
      <alignment horizontal="left" vertical="center" indent="1"/>
    </xf>
    <xf numFmtId="0" fontId="23" fillId="0" borderId="0" applyNumberFormat="0" applyFont="0" applyFill="0" applyBorder="0" applyAlignment="0" applyProtection="0"/>
    <xf numFmtId="0" fontId="115" fillId="3" borderId="0" applyNumberFormat="0" applyBorder="0" applyAlignment="0" applyProtection="0"/>
    <xf numFmtId="15" fontId="116" fillId="51" borderId="0" applyBorder="0" applyAlignment="0" applyProtection="0">
      <alignment horizontal="right"/>
    </xf>
    <xf numFmtId="0" fontId="117" fillId="0" borderId="0"/>
    <xf numFmtId="190" fontId="118" fillId="0" borderId="0"/>
    <xf numFmtId="38" fontId="119" fillId="0" borderId="0"/>
    <xf numFmtId="191" fontId="120" fillId="79" borderId="0">
      <alignment horizontal="center" vertical="center"/>
      <protection locked="0"/>
    </xf>
    <xf numFmtId="0" fontId="23" fillId="0" borderId="0"/>
    <xf numFmtId="0" fontId="35" fillId="0" borderId="0"/>
    <xf numFmtId="0" fontId="35" fillId="0" borderId="0"/>
    <xf numFmtId="0" fontId="35" fillId="0" borderId="0"/>
    <xf numFmtId="0" fontId="23" fillId="0" borderId="0"/>
    <xf numFmtId="0" fontId="35" fillId="0" borderId="0"/>
    <xf numFmtId="0" fontId="35" fillId="0" borderId="0"/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1" fillId="0" borderId="0"/>
    <xf numFmtId="0" fontId="122" fillId="0" borderId="0"/>
    <xf numFmtId="0" fontId="123" fillId="0" borderId="48" applyNumberFormat="0" applyAlignment="0" applyProtection="0">
      <alignment horizontal="left" vertical="top"/>
    </xf>
    <xf numFmtId="0" fontId="123" fillId="0" borderId="0" applyNumberFormat="0" applyProtection="0">
      <alignment horizontal="right" vertical="top"/>
    </xf>
    <xf numFmtId="0" fontId="23" fillId="0" borderId="0" applyNumberFormat="0" applyFont="0" applyAlignment="0" applyProtection="0"/>
    <xf numFmtId="0" fontId="124" fillId="0" borderId="0" applyNumberFormat="0" applyFill="0" applyBorder="0" applyProtection="0"/>
    <xf numFmtId="0" fontId="125" fillId="0" borderId="0" applyNumberFormat="0" applyFill="0" applyBorder="0" applyProtection="0">
      <alignment vertical="top"/>
    </xf>
    <xf numFmtId="0" fontId="126" fillId="0" borderId="16" applyNumberFormat="0" applyProtection="0">
      <alignment horizontal="left" vertical="top"/>
    </xf>
    <xf numFmtId="0" fontId="126" fillId="0" borderId="16" applyNumberFormat="0" applyProtection="0">
      <alignment horizontal="right" vertical="top"/>
    </xf>
    <xf numFmtId="0" fontId="123" fillId="0" borderId="0" applyNumberFormat="0" applyProtection="0">
      <alignment horizontal="left" vertical="top"/>
    </xf>
    <xf numFmtId="0" fontId="127" fillId="0" borderId="0" applyNumberFormat="0" applyProtection="0">
      <alignment horizontal="left" vertical="top"/>
    </xf>
    <xf numFmtId="0" fontId="127" fillId="0" borderId="0" applyNumberFormat="0" applyProtection="0">
      <alignment horizontal="right" vertical="top"/>
    </xf>
    <xf numFmtId="0" fontId="23" fillId="0" borderId="49" applyNumberFormat="0" applyFont="0" applyAlignment="0" applyProtection="0"/>
    <xf numFmtId="0" fontId="23" fillId="0" borderId="50" applyNumberFormat="0" applyFont="0" applyAlignment="0" applyProtection="0"/>
    <xf numFmtId="0" fontId="23" fillId="0" borderId="51" applyNumberFormat="0" applyFont="0" applyAlignment="0" applyProtection="0"/>
    <xf numFmtId="10" fontId="128" fillId="0" borderId="0" applyNumberFormat="0" applyFill="0" applyBorder="0" applyProtection="0">
      <alignment horizontal="right" vertical="top"/>
    </xf>
    <xf numFmtId="0" fontId="123" fillId="0" borderId="16" applyNumberFormat="0" applyFill="0" applyAlignment="0" applyProtection="0"/>
    <xf numFmtId="0" fontId="127" fillId="0" borderId="18" applyNumberFormat="0" applyFont="0" applyFill="0" applyAlignment="0" applyProtection="0">
      <alignment horizontal="left" vertical="top"/>
    </xf>
    <xf numFmtId="0" fontId="123" fillId="0" borderId="21" applyNumberFormat="0" applyFill="0" applyAlignment="0" applyProtection="0">
      <alignment vertical="top"/>
    </xf>
    <xf numFmtId="0" fontId="129" fillId="0" borderId="0" applyBorder="0" applyProtection="0">
      <alignment vertical="center"/>
    </xf>
    <xf numFmtId="0" fontId="129" fillId="0" borderId="21" applyBorder="0" applyProtection="0">
      <alignment horizontal="right" vertical="center"/>
    </xf>
    <xf numFmtId="0" fontId="130" fillId="80" borderId="0" applyBorder="0" applyProtection="0">
      <alignment horizontal="centerContinuous" vertical="center"/>
    </xf>
    <xf numFmtId="0" fontId="130" fillId="81" borderId="21" applyBorder="0" applyProtection="0">
      <alignment horizontal="centerContinuous" vertical="center"/>
    </xf>
    <xf numFmtId="0" fontId="64" fillId="0" borderId="0" applyBorder="0" applyProtection="0">
      <alignment horizontal="left"/>
    </xf>
    <xf numFmtId="0" fontId="131" fillId="0" borderId="0" applyFill="0" applyBorder="0" applyProtection="0">
      <alignment horizontal="left"/>
    </xf>
    <xf numFmtId="0" fontId="77" fillId="0" borderId="23" applyFill="0" applyBorder="0" applyProtection="0">
      <alignment horizontal="left" vertical="top"/>
    </xf>
    <xf numFmtId="2" fontId="23" fillId="59" borderId="34" applyNumberFormat="0" applyBorder="0">
      <alignment horizontal="right" vertical="center"/>
    </xf>
    <xf numFmtId="2" fontId="23" fillId="59" borderId="0">
      <alignment horizontal="right" vertical="center"/>
    </xf>
    <xf numFmtId="2" fontId="92" fillId="82" borderId="28">
      <alignment horizontal="center" vertical="center"/>
    </xf>
    <xf numFmtId="2" fontId="92" fillId="82" borderId="0" applyNumberFormat="0" applyBorder="0">
      <alignment horizontal="left" vertical="center"/>
    </xf>
    <xf numFmtId="192" fontId="132" fillId="0" borderId="24">
      <alignment vertical="center"/>
    </xf>
    <xf numFmtId="0" fontId="133" fillId="0" borderId="0">
      <alignment horizontal="center"/>
    </xf>
    <xf numFmtId="0" fontId="134" fillId="0" borderId="0" applyNumberFormat="0" applyFill="0" applyBorder="0" applyAlignment="0" applyProtection="0"/>
    <xf numFmtId="38" fontId="135" fillId="83" borderId="52"/>
    <xf numFmtId="0" fontId="136" fillId="0" borderId="1" applyNumberFormat="0" applyFill="0" applyAlignment="0" applyProtection="0"/>
    <xf numFmtId="0" fontId="137" fillId="0" borderId="2" applyNumberFormat="0" applyFill="0" applyAlignment="0" applyProtection="0"/>
    <xf numFmtId="0" fontId="138" fillId="0" borderId="3" applyNumberFormat="0" applyFill="0" applyAlignment="0" applyProtection="0"/>
    <xf numFmtId="0" fontId="138" fillId="0" borderId="0" applyNumberFormat="0" applyFill="0" applyBorder="0" applyAlignment="0" applyProtection="0"/>
    <xf numFmtId="0" fontId="100" fillId="0" borderId="0"/>
    <xf numFmtId="0" fontId="139" fillId="0" borderId="0">
      <alignment vertical="top"/>
    </xf>
    <xf numFmtId="0" fontId="23" fillId="84" borderId="0" applyNumberFormat="0" applyBorder="0" applyAlignment="0">
      <protection locked="0"/>
    </xf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23" fillId="34" borderId="0"/>
    <xf numFmtId="0" fontId="140" fillId="0" borderId="6" applyNumberFormat="0" applyFill="0" applyAlignment="0" applyProtection="0"/>
    <xf numFmtId="0" fontId="23" fillId="34" borderId="0" applyNumberFormat="0" applyFont="0" applyFill="0" applyBorder="0" applyProtection="0">
      <alignment horizontal="center" textRotation="90" wrapText="1"/>
    </xf>
    <xf numFmtId="0" fontId="36" fillId="0" borderId="0" applyNumberFormat="0" applyFill="0" applyBorder="0" applyAlignment="0" applyProtection="0"/>
    <xf numFmtId="0" fontId="141" fillId="78" borderId="0">
      <alignment horizontal="right"/>
    </xf>
    <xf numFmtId="0" fontId="45" fillId="85" borderId="0" applyNumberFormat="0" applyFont="0" applyBorder="0" applyAlignment="0" applyProtection="0"/>
    <xf numFmtId="0" fontId="142" fillId="34" borderId="0"/>
    <xf numFmtId="14" fontId="59" fillId="0" borderId="0" applyFont="0" applyFill="0" applyBorder="0" applyProtection="0"/>
    <xf numFmtId="193" fontId="23" fillId="0" borderId="0">
      <alignment horizontal="center"/>
    </xf>
    <xf numFmtId="0" fontId="143" fillId="7" borderId="7" applyNumberFormat="0" applyAlignment="0" applyProtection="0"/>
    <xf numFmtId="9" fontId="23" fillId="0" borderId="0" applyFon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40" fontId="145" fillId="0" borderId="0" applyFont="0" applyFill="0" applyBorder="0" applyAlignment="0" applyProtection="0"/>
    <xf numFmtId="38" fontId="14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/>
    <xf numFmtId="0" fontId="146" fillId="0" borderId="0" applyNumberFormat="0" applyFill="0" applyBorder="0" applyAlignment="0" applyProtection="0">
      <alignment vertical="top"/>
      <protection locked="0"/>
    </xf>
    <xf numFmtId="173" fontId="145" fillId="0" borderId="0" applyFont="0" applyFill="0" applyBorder="0" applyAlignment="0" applyProtection="0"/>
    <xf numFmtId="194" fontId="145" fillId="0" borderId="0" applyFont="0" applyFill="0" applyBorder="0" applyAlignment="0" applyProtection="0"/>
  </cellStyleXfs>
  <cellXfs count="255">
    <xf numFmtId="0" fontId="0" fillId="0" borderId="0" xfId="0">
      <alignment vertical="top"/>
    </xf>
    <xf numFmtId="14" fontId="0" fillId="0" borderId="0" xfId="0" applyNumberFormat="1">
      <alignment vertical="top"/>
    </xf>
    <xf numFmtId="2" fontId="0" fillId="0" borderId="0" xfId="0" applyNumberFormat="1">
      <alignment vertical="top"/>
    </xf>
    <xf numFmtId="0" fontId="0" fillId="0" borderId="10" xfId="0" applyBorder="1">
      <alignment vertical="top"/>
    </xf>
    <xf numFmtId="0" fontId="27" fillId="0" borderId="10" xfId="0" applyFont="1" applyBorder="1" applyAlignment="1">
      <alignment horizontal="center" vertical="top" wrapText="1"/>
    </xf>
    <xf numFmtId="0" fontId="27" fillId="0" borderId="11" xfId="0" applyFont="1" applyBorder="1">
      <alignment vertical="top"/>
    </xf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29" fillId="0" borderId="12" xfId="0" applyFont="1" applyBorder="1">
      <alignment vertical="top"/>
    </xf>
    <xf numFmtId="166" fontId="29" fillId="0" borderId="12" xfId="0" applyNumberFormat="1" applyFont="1" applyBorder="1" applyAlignment="1">
      <alignment horizontal="right" vertical="top" indent="1"/>
    </xf>
    <xf numFmtId="167" fontId="29" fillId="0" borderId="12" xfId="0" applyNumberFormat="1" applyFont="1" applyBorder="1">
      <alignment vertical="top"/>
    </xf>
    <xf numFmtId="1" fontId="29" fillId="0" borderId="12" xfId="0" applyNumberFormat="1" applyFont="1" applyBorder="1">
      <alignment vertical="top"/>
    </xf>
    <xf numFmtId="0" fontId="27" fillId="0" borderId="13" xfId="0" applyFont="1" applyBorder="1">
      <alignment vertical="top"/>
    </xf>
    <xf numFmtId="167" fontId="29" fillId="0" borderId="13" xfId="0" applyNumberFormat="1" applyFont="1" applyBorder="1">
      <alignment vertical="top"/>
    </xf>
    <xf numFmtId="0" fontId="27" fillId="0" borderId="14" xfId="0" applyFont="1" applyBorder="1" applyAlignment="1">
      <alignment horizontal="center" vertical="top"/>
    </xf>
    <xf numFmtId="0" fontId="0" fillId="0" borderId="16" xfId="0" applyBorder="1">
      <alignment vertical="top"/>
    </xf>
    <xf numFmtId="0" fontId="19" fillId="0" borderId="11" xfId="59" applyFont="1" applyBorder="1"/>
    <xf numFmtId="10" fontId="31" fillId="0" borderId="11" xfId="60" applyNumberFormat="1" applyFont="1" applyBorder="1"/>
    <xf numFmtId="0" fontId="2" fillId="0" borderId="0" xfId="59"/>
    <xf numFmtId="0" fontId="19" fillId="0" borderId="11" xfId="59" applyFont="1" applyBorder="1" applyAlignment="1">
      <alignment horizontal="center"/>
    </xf>
    <xf numFmtId="0" fontId="19" fillId="0" borderId="17" xfId="59" applyFont="1" applyBorder="1" applyAlignment="1">
      <alignment horizontal="center"/>
    </xf>
    <xf numFmtId="0" fontId="19" fillId="0" borderId="18" xfId="59" applyFont="1" applyBorder="1" applyAlignment="1">
      <alignment horizontal="center"/>
    </xf>
    <xf numFmtId="0" fontId="19" fillId="0" borderId="19" xfId="59" applyFont="1" applyBorder="1" applyAlignment="1">
      <alignment horizontal="center"/>
    </xf>
    <xf numFmtId="0" fontId="19" fillId="0" borderId="13" xfId="59" applyFont="1" applyBorder="1"/>
    <xf numFmtId="10" fontId="31" fillId="0" borderId="13" xfId="59" applyNumberFormat="1" applyFont="1" applyBorder="1"/>
    <xf numFmtId="0" fontId="19" fillId="0" borderId="13" xfId="59" applyFont="1" applyBorder="1" applyAlignment="1">
      <alignment horizontal="center"/>
    </xf>
    <xf numFmtId="0" fontId="19" fillId="0" borderId="20" xfId="59" applyFont="1" applyBorder="1" applyAlignment="1">
      <alignment horizontal="center"/>
    </xf>
    <xf numFmtId="0" fontId="19" fillId="0" borderId="21" xfId="59" applyFont="1" applyBorder="1" applyAlignment="1">
      <alignment horizontal="center"/>
    </xf>
    <xf numFmtId="0" fontId="19" fillId="0" borderId="22" xfId="59" applyFont="1" applyBorder="1" applyAlignment="1">
      <alignment horizontal="center"/>
    </xf>
    <xf numFmtId="165" fontId="31" fillId="0" borderId="11" xfId="59" applyNumberFormat="1" applyFont="1" applyBorder="1"/>
    <xf numFmtId="169" fontId="32" fillId="0" borderId="17" xfId="60" applyNumberFormat="1" applyFont="1" applyBorder="1"/>
    <xf numFmtId="169" fontId="32" fillId="0" borderId="18" xfId="60" applyNumberFormat="1" applyFont="1" applyBorder="1"/>
    <xf numFmtId="169" fontId="32" fillId="0" borderId="19" xfId="60" applyNumberFormat="1" applyFont="1" applyBorder="1"/>
    <xf numFmtId="1" fontId="32" fillId="0" borderId="17" xfId="60" applyNumberFormat="1" applyFont="1" applyBorder="1"/>
    <xf numFmtId="1" fontId="32" fillId="0" borderId="18" xfId="60" applyNumberFormat="1" applyFont="1" applyBorder="1"/>
    <xf numFmtId="1" fontId="32" fillId="0" borderId="19" xfId="60" applyNumberFormat="1" applyFont="1" applyBorder="1"/>
    <xf numFmtId="10" fontId="32" fillId="0" borderId="11" xfId="59" applyNumberFormat="1" applyFont="1" applyBorder="1"/>
    <xf numFmtId="10" fontId="32" fillId="0" borderId="12" xfId="59" applyNumberFormat="1" applyFont="1" applyBorder="1"/>
    <xf numFmtId="169" fontId="32" fillId="0" borderId="23" xfId="60" applyNumberFormat="1" applyFont="1" applyBorder="1"/>
    <xf numFmtId="169" fontId="32" fillId="0" borderId="0" xfId="60" applyNumberFormat="1" applyFont="1" applyBorder="1"/>
    <xf numFmtId="169" fontId="32" fillId="0" borderId="24" xfId="60" applyNumberFormat="1" applyFont="1" applyBorder="1"/>
    <xf numFmtId="1" fontId="32" fillId="0" borderId="23" xfId="60" applyNumberFormat="1" applyFont="1" applyBorder="1"/>
    <xf numFmtId="1" fontId="32" fillId="0" borderId="0" xfId="60" applyNumberFormat="1" applyFont="1" applyBorder="1"/>
    <xf numFmtId="1" fontId="32" fillId="0" borderId="24" xfId="60" applyNumberFormat="1" applyFont="1" applyBorder="1"/>
    <xf numFmtId="170" fontId="31" fillId="0" borderId="13" xfId="59" applyNumberFormat="1" applyFont="1" applyBorder="1"/>
    <xf numFmtId="0" fontId="19" fillId="0" borderId="10" xfId="59" applyFont="1" applyBorder="1"/>
    <xf numFmtId="165" fontId="33" fillId="0" borderId="10" xfId="60" applyNumberFormat="1" applyFont="1" applyBorder="1"/>
    <xf numFmtId="165" fontId="33" fillId="0" borderId="11" xfId="60" applyNumberFormat="1" applyFont="1" applyBorder="1"/>
    <xf numFmtId="165" fontId="31" fillId="0" borderId="13" xfId="59" applyNumberFormat="1" applyFont="1" applyBorder="1"/>
    <xf numFmtId="10" fontId="33" fillId="0" borderId="10" xfId="60" applyNumberFormat="1" applyFont="1" applyBorder="1"/>
    <xf numFmtId="0" fontId="19" fillId="0" borderId="10" xfId="59" applyFont="1" applyFill="1" applyBorder="1"/>
    <xf numFmtId="11" fontId="2" fillId="0" borderId="10" xfId="59" applyNumberFormat="1" applyBorder="1"/>
    <xf numFmtId="10" fontId="32" fillId="0" borderId="13" xfId="59" applyNumberFormat="1" applyFont="1" applyBorder="1"/>
    <xf numFmtId="169" fontId="32" fillId="0" borderId="20" xfId="60" applyNumberFormat="1" applyFont="1" applyBorder="1"/>
    <xf numFmtId="169" fontId="32" fillId="0" borderId="21" xfId="60" applyNumberFormat="1" applyFont="1" applyBorder="1"/>
    <xf numFmtId="169" fontId="32" fillId="0" borderId="22" xfId="60" applyNumberFormat="1" applyFont="1" applyBorder="1"/>
    <xf numFmtId="1" fontId="32" fillId="0" borderId="20" xfId="60" applyNumberFormat="1" applyFont="1" applyBorder="1"/>
    <xf numFmtId="1" fontId="32" fillId="0" borderId="21" xfId="60" applyNumberFormat="1" applyFont="1" applyBorder="1"/>
    <xf numFmtId="1" fontId="32" fillId="0" borderId="22" xfId="60" applyNumberFormat="1" applyFont="1" applyBorder="1"/>
    <xf numFmtId="10" fontId="2" fillId="0" borderId="0" xfId="59" applyNumberFormat="1"/>
    <xf numFmtId="0" fontId="19" fillId="0" borderId="0" xfId="59" applyFont="1" applyBorder="1" applyAlignment="1">
      <alignment horizontal="center"/>
    </xf>
    <xf numFmtId="10" fontId="32" fillId="0" borderId="0" xfId="1" applyNumberFormat="1" applyFont="1" applyBorder="1"/>
    <xf numFmtId="171" fontId="32" fillId="0" borderId="0" xfId="60" applyNumberFormat="1" applyFont="1" applyBorder="1"/>
    <xf numFmtId="0" fontId="19" fillId="0" borderId="0" xfId="59" applyFont="1" applyAlignment="1">
      <alignment horizontal="center"/>
    </xf>
    <xf numFmtId="10" fontId="31" fillId="0" borderId="0" xfId="1" applyNumberFormat="1" applyFont="1" applyAlignment="1">
      <alignment horizontal="center"/>
    </xf>
    <xf numFmtId="10" fontId="31" fillId="0" borderId="0" xfId="1" applyNumberFormat="1" applyFont="1"/>
    <xf numFmtId="0" fontId="27" fillId="0" borderId="52" xfId="0" applyFont="1" applyBorder="1" applyAlignment="1">
      <alignment horizontal="center" vertical="top"/>
    </xf>
    <xf numFmtId="0" fontId="27" fillId="0" borderId="53" xfId="0" applyFont="1" applyBorder="1">
      <alignment vertical="top"/>
    </xf>
    <xf numFmtId="0" fontId="27" fillId="0" borderId="12" xfId="0" applyFont="1" applyBorder="1">
      <alignment vertical="top"/>
    </xf>
    <xf numFmtId="10" fontId="26" fillId="0" borderId="53" xfId="0" applyNumberFormat="1" applyFont="1" applyBorder="1">
      <alignment vertical="top"/>
    </xf>
    <xf numFmtId="2" fontId="26" fillId="0" borderId="12" xfId="1" applyNumberFormat="1" applyFont="1" applyBorder="1" applyAlignment="1">
      <alignment vertical="top"/>
    </xf>
    <xf numFmtId="170" fontId="26" fillId="0" borderId="12" xfId="1" applyNumberFormat="1" applyFont="1" applyBorder="1" applyAlignment="1">
      <alignment vertical="top"/>
    </xf>
    <xf numFmtId="10" fontId="26" fillId="0" borderId="12" xfId="1" applyNumberFormat="1" applyFont="1" applyBorder="1" applyAlignment="1">
      <alignment vertical="top"/>
    </xf>
    <xf numFmtId="10" fontId="26" fillId="0" borderId="13" xfId="1" applyNumberFormat="1" applyFont="1" applyBorder="1" applyAlignment="1">
      <alignment vertical="top"/>
    </xf>
    <xf numFmtId="10" fontId="26" fillId="0" borderId="12" xfId="0" applyNumberFormat="1" applyFont="1" applyBorder="1">
      <alignment vertical="top"/>
    </xf>
    <xf numFmtId="10" fontId="26" fillId="0" borderId="13" xfId="0" applyNumberFormat="1" applyFont="1" applyBorder="1">
      <alignment vertical="top"/>
    </xf>
    <xf numFmtId="10" fontId="28" fillId="0" borderId="53" xfId="1" applyNumberFormat="1" applyFont="1" applyBorder="1" applyAlignment="1">
      <alignment vertical="top"/>
    </xf>
    <xf numFmtId="10" fontId="28" fillId="0" borderId="12" xfId="1" applyNumberFormat="1" applyFont="1" applyBorder="1" applyAlignment="1">
      <alignment vertical="top"/>
    </xf>
    <xf numFmtId="10" fontId="28" fillId="0" borderId="13" xfId="1" applyNumberFormat="1" applyFont="1" applyBorder="1" applyAlignment="1">
      <alignment vertical="top"/>
    </xf>
    <xf numFmtId="9" fontId="26" fillId="0" borderId="53" xfId="0" applyNumberFormat="1" applyFont="1" applyBorder="1">
      <alignment vertical="top"/>
    </xf>
    <xf numFmtId="0" fontId="26" fillId="0" borderId="13" xfId="0" applyFont="1" applyBorder="1">
      <alignment vertical="top"/>
    </xf>
    <xf numFmtId="10" fontId="147" fillId="0" borderId="12" xfId="0" applyNumberFormat="1" applyFont="1" applyBorder="1">
      <alignment vertical="top"/>
    </xf>
    <xf numFmtId="10" fontId="148" fillId="0" borderId="12" xfId="1" applyNumberFormat="1" applyFont="1" applyBorder="1" applyAlignment="1">
      <alignment vertical="top"/>
    </xf>
    <xf numFmtId="0" fontId="27" fillId="0" borderId="0" xfId="0" applyFont="1">
      <alignment vertical="top"/>
    </xf>
    <xf numFmtId="188" fontId="28" fillId="0" borderId="0" xfId="1" applyNumberFormat="1" applyFont="1" applyAlignment="1">
      <alignment vertical="top"/>
    </xf>
    <xf numFmtId="2" fontId="28" fillId="0" borderId="0" xfId="0" applyNumberFormat="1" applyFont="1">
      <alignment vertical="top"/>
    </xf>
    <xf numFmtId="0" fontId="19" fillId="0" borderId="0" xfId="59" applyFont="1"/>
    <xf numFmtId="14" fontId="33" fillId="0" borderId="0" xfId="59" applyNumberFormat="1" applyFont="1"/>
    <xf numFmtId="14" fontId="32" fillId="0" borderId="0" xfId="59" applyNumberFormat="1" applyFont="1"/>
    <xf numFmtId="10" fontId="19" fillId="0" borderId="0" xfId="59" applyNumberFormat="1" applyFont="1"/>
    <xf numFmtId="9" fontId="31" fillId="0" borderId="0" xfId="59" applyNumberFormat="1" applyFont="1"/>
    <xf numFmtId="0" fontId="31" fillId="0" borderId="0" xfId="59" applyFont="1"/>
    <xf numFmtId="10" fontId="32" fillId="0" borderId="0" xfId="1" applyNumberFormat="1" applyFont="1"/>
    <xf numFmtId="0" fontId="33" fillId="0" borderId="0" xfId="59" applyFont="1"/>
    <xf numFmtId="172" fontId="19" fillId="0" borderId="0" xfId="59" applyNumberFormat="1" applyFont="1"/>
    <xf numFmtId="10" fontId="33" fillId="0" borderId="0" xfId="1" applyNumberFormat="1" applyFont="1"/>
    <xf numFmtId="10" fontId="33" fillId="0" borderId="0" xfId="1" applyNumberFormat="1" applyFont="1" applyBorder="1"/>
    <xf numFmtId="165" fontId="33" fillId="0" borderId="0" xfId="1" applyNumberFormat="1" applyFont="1"/>
    <xf numFmtId="0" fontId="28" fillId="0" borderId="0" xfId="0" applyFont="1" applyAlignment="1">
      <alignment horizontal="right" vertical="top"/>
    </xf>
    <xf numFmtId="0" fontId="27" fillId="0" borderId="54" xfId="0" applyFont="1" applyBorder="1" applyAlignment="1">
      <alignment horizontal="center" vertical="top"/>
    </xf>
    <xf numFmtId="14" fontId="29" fillId="86" borderId="55" xfId="0" applyNumberFormat="1" applyFont="1" applyFill="1" applyBorder="1">
      <alignment vertical="top"/>
    </xf>
    <xf numFmtId="0" fontId="29" fillId="86" borderId="56" xfId="0" applyFont="1" applyFill="1" applyBorder="1">
      <alignment vertical="top"/>
    </xf>
    <xf numFmtId="0" fontId="28" fillId="0" borderId="23" xfId="0" applyFont="1" applyBorder="1" applyAlignment="1">
      <alignment horizontal="right" vertical="top"/>
    </xf>
    <xf numFmtId="0" fontId="0" fillId="0" borderId="57" xfId="0" applyBorder="1">
      <alignment vertical="top"/>
    </xf>
    <xf numFmtId="0" fontId="28" fillId="0" borderId="20" xfId="0" applyFont="1" applyBorder="1" applyAlignment="1">
      <alignment horizontal="right" vertical="top"/>
    </xf>
    <xf numFmtId="0" fontId="0" fillId="0" borderId="22" xfId="0" applyBorder="1">
      <alignment vertical="top"/>
    </xf>
    <xf numFmtId="0" fontId="26" fillId="0" borderId="53" xfId="0" applyFont="1" applyBorder="1" applyAlignment="1">
      <alignment horizontal="center" vertical="top"/>
    </xf>
    <xf numFmtId="14" fontId="28" fillId="0" borderId="53" xfId="0" applyNumberFormat="1" applyFont="1" applyBorder="1">
      <alignment vertical="top"/>
    </xf>
    <xf numFmtId="2" fontId="30" fillId="0" borderId="53" xfId="0" applyNumberFormat="1" applyFont="1" applyBorder="1">
      <alignment vertical="top"/>
    </xf>
    <xf numFmtId="10" fontId="26" fillId="0" borderId="53" xfId="1" applyNumberFormat="1" applyFont="1" applyBorder="1" applyAlignment="1">
      <alignment vertical="top"/>
    </xf>
    <xf numFmtId="0" fontId="26" fillId="0" borderId="12" xfId="0" applyFont="1" applyBorder="1" applyAlignment="1">
      <alignment horizontal="center" vertical="top"/>
    </xf>
    <xf numFmtId="14" fontId="28" fillId="0" borderId="12" xfId="0" applyNumberFormat="1" applyFont="1" applyBorder="1">
      <alignment vertical="top"/>
    </xf>
    <xf numFmtId="2" fontId="30" fillId="0" borderId="12" xfId="0" applyNumberFormat="1" applyFont="1" applyBorder="1">
      <alignment vertical="top"/>
    </xf>
    <xf numFmtId="0" fontId="26" fillId="0" borderId="13" xfId="0" applyFont="1" applyBorder="1" applyAlignment="1">
      <alignment horizontal="center" vertical="top"/>
    </xf>
    <xf numFmtId="14" fontId="28" fillId="0" borderId="13" xfId="0" applyNumberFormat="1" applyFont="1" applyBorder="1">
      <alignment vertical="top"/>
    </xf>
    <xf numFmtId="2" fontId="30" fillId="0" borderId="13" xfId="0" applyNumberFormat="1" applyFont="1" applyBorder="1">
      <alignment vertical="top"/>
    </xf>
    <xf numFmtId="14" fontId="30" fillId="0" borderId="53" xfId="0" applyNumberFormat="1" applyFont="1" applyBorder="1">
      <alignment vertical="top"/>
    </xf>
    <xf numFmtId="14" fontId="26" fillId="0" borderId="53" xfId="0" applyNumberFormat="1" applyFont="1" applyBorder="1">
      <alignment vertical="top"/>
    </xf>
    <xf numFmtId="14" fontId="26" fillId="0" borderId="12" xfId="0" applyNumberFormat="1" applyFont="1" applyBorder="1">
      <alignment vertical="top"/>
    </xf>
    <xf numFmtId="0" fontId="28" fillId="0" borderId="12" xfId="0" applyFont="1" applyBorder="1">
      <alignment vertical="top"/>
    </xf>
    <xf numFmtId="3" fontId="26" fillId="0" borderId="12" xfId="0" applyNumberFormat="1" applyFont="1" applyBorder="1">
      <alignment vertical="top"/>
    </xf>
    <xf numFmtId="0" fontId="30" fillId="0" borderId="13" xfId="0" applyFont="1" applyBorder="1">
      <alignment vertical="top"/>
    </xf>
    <xf numFmtId="166" fontId="28" fillId="0" borderId="15" xfId="0" applyNumberFormat="1" applyFont="1" applyBorder="1" applyAlignment="1">
      <alignment horizontal="right" vertical="top" indent="1"/>
    </xf>
    <xf numFmtId="166" fontId="28" fillId="0" borderId="11" xfId="0" applyNumberFormat="1" applyFont="1" applyBorder="1" applyAlignment="1">
      <alignment horizontal="right" vertical="top" indent="1"/>
    </xf>
    <xf numFmtId="166" fontId="28" fillId="0" borderId="12" xfId="0" applyNumberFormat="1" applyFont="1" applyBorder="1" applyAlignment="1">
      <alignment horizontal="right" vertical="top" indent="1"/>
    </xf>
    <xf numFmtId="166" fontId="28" fillId="0" borderId="13" xfId="0" applyNumberFormat="1" applyFont="1" applyBorder="1" applyAlignment="1">
      <alignment horizontal="right" vertical="top" indent="1"/>
    </xf>
    <xf numFmtId="0" fontId="28" fillId="0" borderId="11" xfId="0" applyFont="1" applyBorder="1">
      <alignment vertical="top"/>
    </xf>
    <xf numFmtId="1" fontId="30" fillId="0" borderId="12" xfId="0" applyNumberFormat="1" applyFont="1" applyBorder="1">
      <alignment vertical="top"/>
    </xf>
    <xf numFmtId="1" fontId="30" fillId="0" borderId="13" xfId="0" applyNumberFormat="1" applyFont="1" applyBorder="1">
      <alignment vertical="top"/>
    </xf>
    <xf numFmtId="0" fontId="30" fillId="0" borderId="12" xfId="0" applyFont="1" applyBorder="1">
      <alignment vertical="top"/>
    </xf>
    <xf numFmtId="167" fontId="30" fillId="0" borderId="12" xfId="0" applyNumberFormat="1" applyFont="1" applyBorder="1">
      <alignment vertical="top"/>
    </xf>
    <xf numFmtId="3" fontId="30" fillId="0" borderId="12" xfId="0" applyNumberFormat="1" applyFont="1" applyBorder="1">
      <alignment vertical="top"/>
    </xf>
    <xf numFmtId="3" fontId="30" fillId="0" borderId="13" xfId="0" applyNumberFormat="1" applyFont="1" applyBorder="1">
      <alignment vertical="top"/>
    </xf>
    <xf numFmtId="168" fontId="28" fillId="0" borderId="12" xfId="0" applyNumberFormat="1" applyFont="1" applyBorder="1">
      <alignment vertical="top"/>
    </xf>
    <xf numFmtId="168" fontId="28" fillId="0" borderId="13" xfId="0" applyNumberFormat="1" applyFont="1" applyBorder="1">
      <alignment vertical="top"/>
    </xf>
    <xf numFmtId="3" fontId="149" fillId="0" borderId="15" xfId="0" applyNumberFormat="1" applyFont="1" applyBorder="1">
      <alignment vertical="top"/>
    </xf>
    <xf numFmtId="0" fontId="30" fillId="0" borderId="0" xfId="0" applyFont="1" applyAlignment="1">
      <alignment horizontal="right" vertical="top"/>
    </xf>
    <xf numFmtId="10" fontId="26" fillId="0" borderId="0" xfId="0" applyNumberFormat="1" applyFont="1">
      <alignment vertical="top"/>
    </xf>
    <xf numFmtId="0" fontId="30" fillId="0" borderId="53" xfId="0" applyFont="1" applyBorder="1">
      <alignment vertical="top"/>
    </xf>
    <xf numFmtId="0" fontId="26" fillId="0" borderId="12" xfId="0" applyFont="1" applyBorder="1" applyAlignment="1">
      <alignment horizontal="right" vertical="top"/>
    </xf>
    <xf numFmtId="0" fontId="28" fillId="0" borderId="13" xfId="0" applyFont="1" applyBorder="1" applyAlignment="1">
      <alignment horizontal="right" vertical="top"/>
    </xf>
    <xf numFmtId="0" fontId="27" fillId="0" borderId="54" xfId="0" applyFont="1" applyBorder="1">
      <alignment vertical="top"/>
    </xf>
    <xf numFmtId="0" fontId="28" fillId="0" borderId="54" xfId="0" applyFont="1" applyBorder="1" applyAlignment="1">
      <alignment horizontal="right" vertical="top"/>
    </xf>
    <xf numFmtId="0" fontId="27" fillId="0" borderId="53" xfId="0" applyFont="1" applyFill="1" applyBorder="1">
      <alignment vertical="top"/>
    </xf>
    <xf numFmtId="0" fontId="30" fillId="0" borderId="53" xfId="0" applyFont="1" applyBorder="1" applyAlignment="1">
      <alignment horizontal="right" vertical="top"/>
    </xf>
    <xf numFmtId="0" fontId="27" fillId="0" borderId="13" xfId="0" applyFont="1" applyFill="1" applyBorder="1">
      <alignment vertical="top"/>
    </xf>
    <xf numFmtId="0" fontId="28" fillId="0" borderId="13" xfId="0" applyFont="1" applyBorder="1">
      <alignment vertical="top"/>
    </xf>
    <xf numFmtId="3" fontId="0" fillId="0" borderId="0" xfId="0" applyNumberFormat="1">
      <alignment vertical="top"/>
    </xf>
    <xf numFmtId="0" fontId="26" fillId="0" borderId="53" xfId="0" applyFont="1" applyBorder="1" applyAlignment="1">
      <alignment horizontal="right" vertical="top"/>
    </xf>
    <xf numFmtId="0" fontId="27" fillId="0" borderId="12" xfId="0" applyFont="1" applyFill="1" applyBorder="1">
      <alignment vertical="top"/>
    </xf>
    <xf numFmtId="0" fontId="148" fillId="0" borderId="54" xfId="0" applyFont="1" applyBorder="1" applyAlignment="1">
      <alignment horizontal="center" vertical="top"/>
    </xf>
    <xf numFmtId="3" fontId="28" fillId="0" borderId="53" xfId="0" applyNumberFormat="1" applyFont="1" applyBorder="1">
      <alignment vertical="top"/>
    </xf>
    <xf numFmtId="0" fontId="28" fillId="0" borderId="53" xfId="0" applyFont="1" applyBorder="1">
      <alignment vertical="top"/>
    </xf>
    <xf numFmtId="167" fontId="28" fillId="0" borderId="53" xfId="0" applyNumberFormat="1" applyFont="1" applyBorder="1">
      <alignment vertical="top"/>
    </xf>
    <xf numFmtId="10" fontId="28" fillId="0" borderId="53" xfId="0" applyNumberFormat="1" applyFont="1" applyBorder="1">
      <alignment vertical="top"/>
    </xf>
    <xf numFmtId="3" fontId="28" fillId="0" borderId="12" xfId="0" applyNumberFormat="1" applyFont="1" applyBorder="1">
      <alignment vertical="top"/>
    </xf>
    <xf numFmtId="167" fontId="28" fillId="0" borderId="12" xfId="0" applyNumberFormat="1" applyFont="1" applyBorder="1">
      <alignment vertical="top"/>
    </xf>
    <xf numFmtId="10" fontId="28" fillId="0" borderId="12" xfId="0" applyNumberFormat="1" applyFont="1" applyBorder="1">
      <alignment vertical="top"/>
    </xf>
    <xf numFmtId="3" fontId="28" fillId="0" borderId="13" xfId="0" applyNumberFormat="1" applyFont="1" applyBorder="1">
      <alignment vertical="top"/>
    </xf>
    <xf numFmtId="167" fontId="28" fillId="0" borderId="13" xfId="0" applyNumberFormat="1" applyFont="1" applyBorder="1">
      <alignment vertical="top"/>
    </xf>
    <xf numFmtId="10" fontId="28" fillId="0" borderId="13" xfId="0" applyNumberFormat="1" applyFont="1" applyBorder="1">
      <alignment vertical="top"/>
    </xf>
    <xf numFmtId="3" fontId="148" fillId="0" borderId="13" xfId="0" applyNumberFormat="1" applyFont="1" applyBorder="1">
      <alignment vertical="top"/>
    </xf>
    <xf numFmtId="0" fontId="26" fillId="0" borderId="12" xfId="0" quotePrefix="1" applyFont="1" applyBorder="1" applyAlignment="1">
      <alignment horizontal="right" vertical="top"/>
    </xf>
    <xf numFmtId="0" fontId="28" fillId="0" borderId="53" xfId="0" applyFont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53" xfId="0" applyFont="1" applyBorder="1">
      <alignment vertical="top"/>
    </xf>
    <xf numFmtId="14" fontId="28" fillId="0" borderId="53" xfId="0" applyNumberFormat="1" applyFont="1" applyBorder="1" applyAlignment="1">
      <alignment horizontal="right" vertical="top"/>
    </xf>
    <xf numFmtId="14" fontId="26" fillId="0" borderId="12" xfId="0" applyNumberFormat="1" applyFont="1" applyBorder="1" applyAlignment="1">
      <alignment horizontal="right" vertical="top"/>
    </xf>
    <xf numFmtId="14" fontId="30" fillId="0" borderId="12" xfId="0" applyNumberFormat="1" applyFont="1" applyBorder="1" applyAlignment="1">
      <alignment horizontal="right" vertical="top"/>
    </xf>
    <xf numFmtId="0" fontId="0" fillId="0" borderId="13" xfId="0" applyBorder="1">
      <alignment vertical="top"/>
    </xf>
    <xf numFmtId="14" fontId="28" fillId="0" borderId="13" xfId="0" applyNumberFormat="1" applyFont="1" applyBorder="1" applyAlignment="1">
      <alignment horizontal="right" vertical="top"/>
    </xf>
    <xf numFmtId="0" fontId="0" fillId="0" borderId="53" xfId="0" applyBorder="1">
      <alignment vertical="top"/>
    </xf>
    <xf numFmtId="0" fontId="26" fillId="0" borderId="55" xfId="0" applyFont="1" applyBorder="1" applyAlignment="1">
      <alignment horizontal="right" vertical="top"/>
    </xf>
    <xf numFmtId="0" fontId="26" fillId="0" borderId="58" xfId="0" applyFont="1" applyBorder="1" applyAlignment="1">
      <alignment horizontal="right" vertical="top"/>
    </xf>
    <xf numFmtId="0" fontId="26" fillId="0" borderId="56" xfId="0" applyFont="1" applyBorder="1" applyAlignment="1">
      <alignment horizontal="right" vertical="top"/>
    </xf>
    <xf numFmtId="0" fontId="26" fillId="0" borderId="23" xfId="0" applyFont="1" applyBorder="1" applyAlignment="1">
      <alignment horizontal="right" vertical="top"/>
    </xf>
    <xf numFmtId="0" fontId="26" fillId="0" borderId="0" xfId="0" applyFont="1" applyBorder="1" applyAlignment="1">
      <alignment horizontal="right" vertical="top"/>
    </xf>
    <xf numFmtId="0" fontId="26" fillId="0" borderId="57" xfId="0" applyFont="1" applyBorder="1" applyAlignment="1">
      <alignment horizontal="right" vertical="top"/>
    </xf>
    <xf numFmtId="14" fontId="28" fillId="0" borderId="23" xfId="0" applyNumberFormat="1" applyFont="1" applyBorder="1" applyAlignment="1">
      <alignment horizontal="right" vertical="top"/>
    </xf>
    <xf numFmtId="14" fontId="28" fillId="0" borderId="0" xfId="0" applyNumberFormat="1" applyFont="1" applyBorder="1" applyAlignment="1">
      <alignment horizontal="right" vertical="top"/>
    </xf>
    <xf numFmtId="14" fontId="28" fillId="0" borderId="57" xfId="0" applyNumberFormat="1" applyFont="1" applyBorder="1" applyAlignment="1">
      <alignment horizontal="right" vertical="top"/>
    </xf>
    <xf numFmtId="14" fontId="28" fillId="0" borderId="20" xfId="0" applyNumberFormat="1" applyFont="1" applyBorder="1" applyAlignment="1">
      <alignment horizontal="right" vertical="top"/>
    </xf>
    <xf numFmtId="14" fontId="28" fillId="0" borderId="21" xfId="0" applyNumberFormat="1" applyFont="1" applyBorder="1" applyAlignment="1">
      <alignment horizontal="right" vertical="top"/>
    </xf>
    <xf numFmtId="14" fontId="28" fillId="0" borderId="22" xfId="0" applyNumberFormat="1" applyFont="1" applyBorder="1" applyAlignment="1">
      <alignment horizontal="right" vertical="top"/>
    </xf>
    <xf numFmtId="0" fontId="28" fillId="0" borderId="21" xfId="0" applyFont="1" applyBorder="1" applyAlignment="1">
      <alignment horizontal="right" vertical="top"/>
    </xf>
    <xf numFmtId="0" fontId="28" fillId="0" borderId="22" xfId="0" applyFont="1" applyBorder="1" applyAlignment="1">
      <alignment horizontal="right" vertical="top"/>
    </xf>
    <xf numFmtId="10" fontId="26" fillId="0" borderId="55" xfId="0" applyNumberFormat="1" applyFont="1" applyBorder="1" applyAlignment="1">
      <alignment horizontal="right" vertical="top"/>
    </xf>
    <xf numFmtId="10" fontId="26" fillId="0" borderId="58" xfId="0" applyNumberFormat="1" applyFont="1" applyBorder="1" applyAlignment="1">
      <alignment horizontal="right" vertical="top"/>
    </xf>
    <xf numFmtId="10" fontId="26" fillId="0" borderId="56" xfId="0" applyNumberFormat="1" applyFont="1" applyBorder="1" applyAlignment="1">
      <alignment horizontal="right" vertical="top"/>
    </xf>
    <xf numFmtId="0" fontId="26" fillId="0" borderId="20" xfId="0" quotePrefix="1" applyFont="1" applyBorder="1" applyAlignment="1">
      <alignment horizontal="right" vertical="top"/>
    </xf>
    <xf numFmtId="0" fontId="26" fillId="0" borderId="21" xfId="0" quotePrefix="1" applyFont="1" applyBorder="1" applyAlignment="1">
      <alignment horizontal="right" vertical="top"/>
    </xf>
    <xf numFmtId="0" fontId="26" fillId="0" borderId="22" xfId="0" quotePrefix="1" applyFont="1" applyBorder="1" applyAlignment="1">
      <alignment horizontal="right" vertical="top"/>
    </xf>
    <xf numFmtId="14" fontId="30" fillId="0" borderId="55" xfId="0" applyNumberFormat="1" applyFont="1" applyBorder="1" applyAlignment="1">
      <alignment horizontal="right" vertical="top"/>
    </xf>
    <xf numFmtId="14" fontId="30" fillId="0" borderId="58" xfId="0" applyNumberFormat="1" applyFont="1" applyBorder="1" applyAlignment="1">
      <alignment horizontal="right" vertical="top"/>
    </xf>
    <xf numFmtId="14" fontId="30" fillId="0" borderId="56" xfId="0" applyNumberFormat="1" applyFont="1" applyBorder="1" applyAlignment="1">
      <alignment horizontal="right" vertical="top"/>
    </xf>
    <xf numFmtId="0" fontId="26" fillId="0" borderId="20" xfId="0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0" fontId="26" fillId="0" borderId="22" xfId="0" applyFont="1" applyBorder="1" applyAlignment="1">
      <alignment horizontal="right" vertical="top"/>
    </xf>
    <xf numFmtId="0" fontId="0" fillId="0" borderId="12" xfId="0" applyFont="1" applyBorder="1">
      <alignment vertical="top"/>
    </xf>
    <xf numFmtId="3" fontId="26" fillId="0" borderId="55" xfId="0" applyNumberFormat="1" applyFont="1" applyBorder="1" applyAlignment="1">
      <alignment horizontal="right" vertical="top"/>
    </xf>
    <xf numFmtId="3" fontId="26" fillId="0" borderId="58" xfId="0" applyNumberFormat="1" applyFont="1" applyBorder="1" applyAlignment="1">
      <alignment horizontal="right" vertical="top"/>
    </xf>
    <xf numFmtId="3" fontId="26" fillId="0" borderId="56" xfId="0" applyNumberFormat="1" applyFont="1" applyBorder="1" applyAlignment="1">
      <alignment horizontal="right" vertical="top"/>
    </xf>
    <xf numFmtId="0" fontId="28" fillId="0" borderId="55" xfId="0" applyFont="1" applyBorder="1" applyAlignment="1">
      <alignment horizontal="right" vertical="top"/>
    </xf>
    <xf numFmtId="0" fontId="28" fillId="0" borderId="58" xfId="0" applyFont="1" applyBorder="1" applyAlignment="1">
      <alignment horizontal="right" vertical="top"/>
    </xf>
    <xf numFmtId="0" fontId="28" fillId="0" borderId="56" xfId="0" applyFont="1" applyBorder="1" applyAlignment="1">
      <alignment horizontal="right" vertical="top"/>
    </xf>
    <xf numFmtId="0" fontId="28" fillId="0" borderId="0" xfId="0" applyFont="1" applyBorder="1" applyAlignment="1">
      <alignment horizontal="right" vertical="top"/>
    </xf>
    <xf numFmtId="0" fontId="28" fillId="0" borderId="57" xfId="0" applyFont="1" applyBorder="1" applyAlignment="1">
      <alignment horizontal="right" vertical="top"/>
    </xf>
    <xf numFmtId="3" fontId="28" fillId="0" borderId="23" xfId="0" applyNumberFormat="1" applyFont="1" applyBorder="1" applyAlignment="1">
      <alignment horizontal="right" vertical="top"/>
    </xf>
    <xf numFmtId="3" fontId="28" fillId="0" borderId="0" xfId="0" applyNumberFormat="1" applyFont="1" applyBorder="1" applyAlignment="1">
      <alignment horizontal="right" vertical="top"/>
    </xf>
    <xf numFmtId="3" fontId="28" fillId="0" borderId="57" xfId="0" applyNumberFormat="1" applyFont="1" applyBorder="1" applyAlignment="1">
      <alignment horizontal="right" vertical="top"/>
    </xf>
    <xf numFmtId="4" fontId="30" fillId="0" borderId="23" xfId="0" applyNumberFormat="1" applyFont="1" applyBorder="1" applyAlignment="1">
      <alignment horizontal="right" vertical="top"/>
    </xf>
    <xf numFmtId="4" fontId="30" fillId="0" borderId="0" xfId="0" applyNumberFormat="1" applyFont="1" applyBorder="1" applyAlignment="1">
      <alignment horizontal="right" vertical="top"/>
    </xf>
    <xf numFmtId="4" fontId="30" fillId="0" borderId="57" xfId="0" applyNumberFormat="1" applyFont="1" applyBorder="1" applyAlignment="1">
      <alignment horizontal="right" vertical="top"/>
    </xf>
    <xf numFmtId="10" fontId="30" fillId="0" borderId="20" xfId="1" applyNumberFormat="1" applyFont="1" applyBorder="1" applyAlignment="1">
      <alignment horizontal="right" vertical="top"/>
    </xf>
    <xf numFmtId="10" fontId="30" fillId="0" borderId="21" xfId="1" applyNumberFormat="1" applyFont="1" applyBorder="1" applyAlignment="1">
      <alignment horizontal="right" vertical="top"/>
    </xf>
    <xf numFmtId="10" fontId="30" fillId="0" borderId="22" xfId="1" applyNumberFormat="1" applyFont="1" applyBorder="1" applyAlignment="1">
      <alignment horizontal="right" vertical="top"/>
    </xf>
    <xf numFmtId="10" fontId="30" fillId="0" borderId="23" xfId="1" applyNumberFormat="1" applyFont="1" applyBorder="1" applyAlignment="1">
      <alignment horizontal="right" vertical="top"/>
    </xf>
    <xf numFmtId="10" fontId="30" fillId="0" borderId="0" xfId="1" applyNumberFormat="1" applyFont="1" applyBorder="1" applyAlignment="1">
      <alignment horizontal="right" vertical="top"/>
    </xf>
    <xf numFmtId="10" fontId="30" fillId="0" borderId="57" xfId="1" applyNumberFormat="1" applyFont="1" applyBorder="1" applyAlignment="1">
      <alignment horizontal="right" vertical="top"/>
    </xf>
    <xf numFmtId="2" fontId="28" fillId="0" borderId="23" xfId="0" applyNumberFormat="1" applyFont="1" applyBorder="1" applyAlignment="1">
      <alignment horizontal="right" vertical="top"/>
    </xf>
    <xf numFmtId="2" fontId="28" fillId="0" borderId="0" xfId="0" applyNumberFormat="1" applyFont="1" applyBorder="1" applyAlignment="1">
      <alignment horizontal="right" vertical="top"/>
    </xf>
    <xf numFmtId="2" fontId="28" fillId="0" borderId="57" xfId="0" applyNumberFormat="1" applyFont="1" applyBorder="1" applyAlignment="1">
      <alignment horizontal="right" vertical="top"/>
    </xf>
    <xf numFmtId="169" fontId="28" fillId="0" borderId="23" xfId="1" applyNumberFormat="1" applyFont="1" applyBorder="1" applyAlignment="1">
      <alignment horizontal="right" vertical="top"/>
    </xf>
    <xf numFmtId="169" fontId="28" fillId="0" borderId="0" xfId="1" applyNumberFormat="1" applyFont="1" applyBorder="1" applyAlignment="1">
      <alignment horizontal="right" vertical="top"/>
    </xf>
    <xf numFmtId="169" fontId="28" fillId="0" borderId="57" xfId="1" applyNumberFormat="1" applyFont="1" applyBorder="1" applyAlignment="1">
      <alignment horizontal="right" vertical="top"/>
    </xf>
    <xf numFmtId="3" fontId="28" fillId="0" borderId="20" xfId="0" applyNumberFormat="1" applyFont="1" applyBorder="1" applyAlignment="1">
      <alignment horizontal="right" vertical="top"/>
    </xf>
    <xf numFmtId="3" fontId="28" fillId="0" borderId="21" xfId="0" applyNumberFormat="1" applyFont="1" applyBorder="1" applyAlignment="1">
      <alignment horizontal="right" vertical="top"/>
    </xf>
    <xf numFmtId="3" fontId="28" fillId="0" borderId="22" xfId="0" applyNumberFormat="1" applyFont="1" applyBorder="1" applyAlignment="1">
      <alignment horizontal="right" vertical="top"/>
    </xf>
    <xf numFmtId="195" fontId="28" fillId="0" borderId="55" xfId="0" applyNumberFormat="1" applyFont="1" applyBorder="1" applyAlignment="1">
      <alignment horizontal="right" vertical="top"/>
    </xf>
    <xf numFmtId="195" fontId="28" fillId="0" borderId="58" xfId="0" applyNumberFormat="1" applyFont="1" applyBorder="1" applyAlignment="1">
      <alignment horizontal="right" vertical="top"/>
    </xf>
    <xf numFmtId="195" fontId="28" fillId="0" borderId="56" xfId="0" applyNumberFormat="1" applyFont="1" applyBorder="1" applyAlignment="1">
      <alignment horizontal="right" vertical="top"/>
    </xf>
    <xf numFmtId="0" fontId="0" fillId="0" borderId="55" xfId="0" applyBorder="1">
      <alignment vertical="top"/>
    </xf>
    <xf numFmtId="0" fontId="0" fillId="0" borderId="23" xfId="0" applyBorder="1">
      <alignment vertical="top"/>
    </xf>
    <xf numFmtId="0" fontId="0" fillId="0" borderId="20" xfId="0" applyBorder="1">
      <alignment vertical="top"/>
    </xf>
    <xf numFmtId="0" fontId="0" fillId="0" borderId="55" xfId="0" applyFont="1" applyBorder="1">
      <alignment vertical="top"/>
    </xf>
    <xf numFmtId="0" fontId="0" fillId="0" borderId="23" xfId="0" applyFont="1" applyBorder="1">
      <alignment vertical="top"/>
    </xf>
    <xf numFmtId="188" fontId="30" fillId="0" borderId="12" xfId="1" applyNumberFormat="1" applyFont="1" applyBorder="1" applyAlignment="1">
      <alignment vertical="top"/>
    </xf>
    <xf numFmtId="188" fontId="30" fillId="0" borderId="13" xfId="1" applyNumberFormat="1" applyFont="1" applyBorder="1" applyAlignment="1">
      <alignment vertical="top"/>
    </xf>
    <xf numFmtId="188" fontId="30" fillId="0" borderId="53" xfId="1" applyNumberFormat="1" applyFont="1" applyBorder="1" applyAlignment="1">
      <alignment vertical="top"/>
    </xf>
    <xf numFmtId="10" fontId="29" fillId="0" borderId="12" xfId="1" applyNumberFormat="1" applyFont="1" applyBorder="1" applyAlignment="1">
      <alignment vertical="top"/>
    </xf>
    <xf numFmtId="0" fontId="27" fillId="0" borderId="54" xfId="0" applyFont="1" applyFill="1" applyBorder="1" applyAlignment="1">
      <alignment horizontal="center" vertical="top"/>
    </xf>
    <xf numFmtId="168" fontId="30" fillId="0" borderId="53" xfId="0" applyNumberFormat="1" applyFont="1" applyBorder="1">
      <alignment vertical="top"/>
    </xf>
    <xf numFmtId="168" fontId="30" fillId="0" borderId="12" xfId="0" applyNumberFormat="1" applyFont="1" applyBorder="1">
      <alignment vertical="top"/>
    </xf>
    <xf numFmtId="168" fontId="30" fillId="0" borderId="13" xfId="0" applyNumberFormat="1" applyFont="1" applyBorder="1">
      <alignment vertical="top"/>
    </xf>
    <xf numFmtId="0" fontId="26" fillId="0" borderId="53" xfId="0" applyFont="1" applyBorder="1">
      <alignment vertical="top"/>
    </xf>
    <xf numFmtId="0" fontId="26" fillId="0" borderId="12" xfId="0" applyFont="1" applyBorder="1">
      <alignment vertical="top"/>
    </xf>
    <xf numFmtId="10" fontId="28" fillId="0" borderId="55" xfId="1" applyNumberFormat="1" applyFont="1" applyBorder="1" applyAlignment="1">
      <alignment vertical="top"/>
    </xf>
    <xf numFmtId="10" fontId="28" fillId="0" borderId="56" xfId="1" applyNumberFormat="1" applyFont="1" applyBorder="1" applyAlignment="1">
      <alignment vertical="top"/>
    </xf>
    <xf numFmtId="10" fontId="28" fillId="0" borderId="23" xfId="1" applyNumberFormat="1" applyFont="1" applyBorder="1" applyAlignment="1">
      <alignment vertical="top"/>
    </xf>
    <xf numFmtId="10" fontId="28" fillId="0" borderId="57" xfId="1" applyNumberFormat="1" applyFont="1" applyBorder="1" applyAlignment="1">
      <alignment vertical="top"/>
    </xf>
    <xf numFmtId="10" fontId="28" fillId="0" borderId="20" xfId="1" applyNumberFormat="1" applyFont="1" applyBorder="1" applyAlignment="1">
      <alignment vertical="top"/>
    </xf>
    <xf numFmtId="10" fontId="28" fillId="0" borderId="22" xfId="1" applyNumberFormat="1" applyFont="1" applyBorder="1" applyAlignment="1">
      <alignment vertical="top"/>
    </xf>
    <xf numFmtId="0" fontId="30" fillId="0" borderId="11" xfId="0" applyFont="1" applyBorder="1">
      <alignment vertical="top"/>
    </xf>
    <xf numFmtId="167" fontId="0" fillId="0" borderId="0" xfId="0" applyNumberFormat="1">
      <alignment vertical="top"/>
    </xf>
    <xf numFmtId="0" fontId="29" fillId="86" borderId="56" xfId="0" quotePrefix="1" applyFont="1" applyFill="1" applyBorder="1">
      <alignment vertical="top"/>
    </xf>
  </cellXfs>
  <cellStyles count="748">
    <cellStyle name="%" xfId="65"/>
    <cellStyle name="??" xfId="66"/>
    <cellStyle name="?? [0.00]_APPEND" xfId="67"/>
    <cellStyle name="???? [0.00]_APPEND" xfId="68"/>
    <cellStyle name="????_APPEND" xfId="69"/>
    <cellStyle name="??_20080630_JPY_PRDC" xfId="70"/>
    <cellStyle name="_ATM" xfId="71"/>
    <cellStyle name="_AvidBatch" xfId="72"/>
    <cellStyle name="_Basis bidask provision" xfId="73"/>
    <cellStyle name="_Bonds Futures IPV" xfId="74"/>
    <cellStyle name="_Book1" xfId="75"/>
    <cellStyle name="_cap risk for Steve (2)" xfId="76"/>
    <cellStyle name="_CheckPv" xfId="77"/>
    <cellStyle name="_Control" xfId="78"/>
    <cellStyle name="_Control_EURGBP_IPV BasisCEV_7_F4" xfId="79"/>
    <cellStyle name="_Control_YC_MODEL" xfId="80"/>
    <cellStyle name="_Copy of Portfolios to Archeus 6-3-04 (2)" xfId="81"/>
    <cellStyle name="_EUR Berms PVDiff Daily" xfId="82"/>
    <cellStyle name="_EUR_EURCS_YC_02" xfId="83"/>
    <cellStyle name="_EUR_Imply_Sabr_F4" xfId="84"/>
    <cellStyle name="_EUR_Stn_Sub" xfId="85"/>
    <cellStyle name="_EURGBP_IPV BasisCEV_5.9" xfId="86"/>
    <cellStyle name="_EURGBP_IPV BasisCEV_7_F4" xfId="87"/>
    <cellStyle name="_EUROSWAPTION" xfId="88"/>
    <cellStyle name="_EURSWAPTION" xfId="89"/>
    <cellStyle name="_Exclude" xfId="90"/>
    <cellStyle name="_F3 YC Models" xfId="91"/>
    <cellStyle name="_FX_drilldown_POST_TOL_20100226_d" xfId="92"/>
    <cellStyle name="_GBP" xfId="93"/>
    <cellStyle name="_GBPSWAPTIONS" xfId="94"/>
    <cellStyle name="_ICAP FWD PREMIUM" xfId="95"/>
    <cellStyle name="_ICAP FWD PREMIUM_ATM" xfId="96"/>
    <cellStyle name="_ICAP FWD PREMIUM_Cap_Calc" xfId="97"/>
    <cellStyle name="_ICAP FWD PREMIUM_Control" xfId="98"/>
    <cellStyle name="_ICAP FWD PREMIUM_EUR_EURCS_YC_02" xfId="99"/>
    <cellStyle name="_ICAP FWD PREMIUM_EUR_Imply_Sabr_F3" xfId="100"/>
    <cellStyle name="_ICAP FWD PREMIUM_EURSWAPTION" xfId="101"/>
    <cellStyle name="_ICAP FWD PREMIUM_F3 YC Models" xfId="102"/>
    <cellStyle name="_ICAP FWD PREMIUM_GBP_Imply_Sabr_F3" xfId="103"/>
    <cellStyle name="_ICAP FWD PREMIUM_GBPSWAPTIONS" xfId="104"/>
    <cellStyle name="_ICAP FWD PREMIUM_JPY Swaption Submission_4_Final" xfId="105"/>
    <cellStyle name="_ICAP FWD PREMIUM_MktData" xfId="106"/>
    <cellStyle name="_ICAP FWD PREMIUM_Pricing_EUR_Swtn" xfId="107"/>
    <cellStyle name="_ICAP FWD PREMIUM_Rec Totem_LM" xfId="108"/>
    <cellStyle name="_ICAP FWD PREMIUM_Sabr" xfId="109"/>
    <cellStyle name="_ICAP FWD PREMIUM_SABR +sd" xfId="110"/>
    <cellStyle name="_ICAP FWD PREMIUM_SABR_1" xfId="111"/>
    <cellStyle name="_ICAP FWD PREMIUM_SABR_SW" xfId="112"/>
    <cellStyle name="_ICAP FWD PREMIUM_Sheet1" xfId="113"/>
    <cellStyle name="_ICAP FWD PREMIUM_Sheet3" xfId="114"/>
    <cellStyle name="_ICAP FWD PREMIUM_Skew Report for Flow_GBP_F3_Wings" xfId="115"/>
    <cellStyle name="_ICAP FWD PREMIUM_Static" xfId="116"/>
    <cellStyle name="_ICAP FWD PREMIUM_Static Data" xfId="117"/>
    <cellStyle name="_ICAP FWD PREMIUM_Totem Sabr" xfId="118"/>
    <cellStyle name="_ICAP FWD PREMIUM_Totem_Cap_LM" xfId="119"/>
    <cellStyle name="_ICAP FWD PREMIUM_Valuation" xfId="120"/>
    <cellStyle name="_IR Skew" xfId="121"/>
    <cellStyle name="_IRVolData" xfId="122"/>
    <cellStyle name="_JPY_Submission" xfId="123"/>
    <cellStyle name="_Kondor FX Forwards" xfId="124"/>
    <cellStyle name="_local markets 2010 02_2" xfId="125"/>
    <cellStyle name="_Local Markets MM &amp; OIS" xfId="126"/>
    <cellStyle name="_MktData" xfId="127"/>
    <cellStyle name="_Portfolio Default Distribution" xfId="128"/>
    <cellStyle name="_Pricing EUR_Swtn" xfId="129"/>
    <cellStyle name="_Pricing_EUR_Swtn" xfId="130"/>
    <cellStyle name="_Pricing_EUR_Wing" xfId="131"/>
    <cellStyle name="_Pricing_GBP_Swtn" xfId="132"/>
    <cellStyle name="_PricingSwaption" xfId="133"/>
    <cellStyle name="_PV Diffs" xfId="134"/>
    <cellStyle name="_Recalc_GBP_Sw" xfId="135"/>
    <cellStyle name="_Reuters" xfId="136"/>
    <cellStyle name="_Risk" xfId="137"/>
    <cellStyle name="_Risk Data" xfId="138"/>
    <cellStyle name="_Sabr" xfId="139"/>
    <cellStyle name="_SABR +sd" xfId="140"/>
    <cellStyle name="_SABR_1" xfId="141"/>
    <cellStyle name="_Sheet1" xfId="142"/>
    <cellStyle name="_Sheet2" xfId="143"/>
    <cellStyle name="_Sheet3" xfId="144"/>
    <cellStyle name="_Skew Report for Flow_GBP_F3_Wings" xfId="145"/>
    <cellStyle name="_Static Data" xfId="146"/>
    <cellStyle name="_Swaption Pricer_2.1" xfId="147"/>
    <cellStyle name="_Template_Coba_Feb10" xfId="148"/>
    <cellStyle name="_Today YC" xfId="149"/>
    <cellStyle name="_Totem ATM" xfId="150"/>
    <cellStyle name="_Totem Results" xfId="151"/>
    <cellStyle name="_Totem Sabr" xfId="152"/>
    <cellStyle name="_Valuation" xfId="153"/>
    <cellStyle name="_Volatility Cubes Caps" xfId="154"/>
    <cellStyle name="_Volatility Cubes Swpt" xfId="155"/>
    <cellStyle name="_Zero_Spreads" xfId="156"/>
    <cellStyle name="=C:\WINNT35\SYSTEM32\COMMAND.COM" xfId="157"/>
    <cellStyle name="20 % - Akzent1 2" xfId="158"/>
    <cellStyle name="20 % - Akzent1 3" xfId="159"/>
    <cellStyle name="20 % - Akzent1 4" xfId="160"/>
    <cellStyle name="20 % - Akzent1 5" xfId="161"/>
    <cellStyle name="20 % - Akzent2 2" xfId="162"/>
    <cellStyle name="20 % - Akzent2 3" xfId="163"/>
    <cellStyle name="20 % - Akzent2 4" xfId="164"/>
    <cellStyle name="20 % - Akzent2 5" xfId="165"/>
    <cellStyle name="20 % - Akzent3 2" xfId="166"/>
    <cellStyle name="20 % - Akzent3 3" xfId="167"/>
    <cellStyle name="20 % - Akzent3 4" xfId="168"/>
    <cellStyle name="20 % - Akzent3 5" xfId="169"/>
    <cellStyle name="20 % - Akzent4 2" xfId="170"/>
    <cellStyle name="20 % - Akzent4 3" xfId="171"/>
    <cellStyle name="20 % - Akzent4 4" xfId="172"/>
    <cellStyle name="20 % - Akzent4 5" xfId="173"/>
    <cellStyle name="20 % - Akzent5 2" xfId="174"/>
    <cellStyle name="20 % - Akzent5 3" xfId="175"/>
    <cellStyle name="20 % - Akzent5 4" xfId="176"/>
    <cellStyle name="20 % - Akzent5 5" xfId="177"/>
    <cellStyle name="20 % - Akzent6 2" xfId="178"/>
    <cellStyle name="20 % - Akzent6 3" xfId="179"/>
    <cellStyle name="20 % - Akzent6 4" xfId="180"/>
    <cellStyle name="20 % - Akzent6 5" xfId="181"/>
    <cellStyle name="20% - Accent1" xfId="19" builtinId="30" customBuiltin="1"/>
    <cellStyle name="20% - Accent1 2" xfId="182"/>
    <cellStyle name="20% - Accent1 3" xfId="183"/>
    <cellStyle name="20% - Accent2" xfId="23" builtinId="34" customBuiltin="1"/>
    <cellStyle name="20% - Accent2 2" xfId="184"/>
    <cellStyle name="20% - Accent2 3" xfId="185"/>
    <cellStyle name="20% - Accent3" xfId="27" builtinId="38" customBuiltin="1"/>
    <cellStyle name="20% - Accent3 2" xfId="186"/>
    <cellStyle name="20% - Accent3 3" xfId="187"/>
    <cellStyle name="20% - Accent4" xfId="31" builtinId="42" customBuiltin="1"/>
    <cellStyle name="20% - Accent4 2" xfId="188"/>
    <cellStyle name="20% - Accent4 3" xfId="189"/>
    <cellStyle name="20% - Accent5" xfId="35" builtinId="46" customBuiltin="1"/>
    <cellStyle name="20% - Accent5 2" xfId="190"/>
    <cellStyle name="20% - Accent5 3" xfId="191"/>
    <cellStyle name="20% - Accent6" xfId="39" builtinId="50" customBuiltin="1"/>
    <cellStyle name="20% - Accent6 2" xfId="192"/>
    <cellStyle name="20% - Accent6 3" xfId="193"/>
    <cellStyle name="40 % - Akzent1 2" xfId="194"/>
    <cellStyle name="40 % - Akzent1 3" xfId="195"/>
    <cellStyle name="40 % - Akzent1 4" xfId="196"/>
    <cellStyle name="40 % - Akzent1 5" xfId="197"/>
    <cellStyle name="40 % - Akzent2 2" xfId="198"/>
    <cellStyle name="40 % - Akzent2 3" xfId="199"/>
    <cellStyle name="40 % - Akzent2 4" xfId="200"/>
    <cellStyle name="40 % - Akzent2 5" xfId="201"/>
    <cellStyle name="40 % - Akzent3 2" xfId="202"/>
    <cellStyle name="40 % - Akzent3 3" xfId="203"/>
    <cellStyle name="40 % - Akzent3 4" xfId="204"/>
    <cellStyle name="40 % - Akzent3 5" xfId="205"/>
    <cellStyle name="40 % - Akzent4 2" xfId="206"/>
    <cellStyle name="40 % - Akzent4 3" xfId="207"/>
    <cellStyle name="40 % - Akzent4 4" xfId="208"/>
    <cellStyle name="40 % - Akzent4 5" xfId="209"/>
    <cellStyle name="40 % - Akzent5 2" xfId="210"/>
    <cellStyle name="40 % - Akzent5 3" xfId="211"/>
    <cellStyle name="40 % - Akzent5 4" xfId="212"/>
    <cellStyle name="40 % - Akzent5 5" xfId="213"/>
    <cellStyle name="40 % - Akzent6 2" xfId="214"/>
    <cellStyle name="40 % - Akzent6 3" xfId="215"/>
    <cellStyle name="40 % - Akzent6 4" xfId="216"/>
    <cellStyle name="40 % - Akzent6 5" xfId="217"/>
    <cellStyle name="40% - Accent1" xfId="20" builtinId="31" customBuiltin="1"/>
    <cellStyle name="40% - Accent1 2" xfId="218"/>
    <cellStyle name="40% - Accent1 3" xfId="219"/>
    <cellStyle name="40% - Accent2" xfId="24" builtinId="35" customBuiltin="1"/>
    <cellStyle name="40% - Accent2 2" xfId="220"/>
    <cellStyle name="40% - Accent2 3" xfId="221"/>
    <cellStyle name="40% - Accent3" xfId="28" builtinId="39" customBuiltin="1"/>
    <cellStyle name="40% - Accent3 2" xfId="222"/>
    <cellStyle name="40% - Accent3 3" xfId="223"/>
    <cellStyle name="40% - Accent4" xfId="32" builtinId="43" customBuiltin="1"/>
    <cellStyle name="40% - Accent4 2" xfId="224"/>
    <cellStyle name="40% - Accent4 3" xfId="225"/>
    <cellStyle name="40% - Accent5" xfId="36" builtinId="47" customBuiltin="1"/>
    <cellStyle name="40% - Accent5 2" xfId="226"/>
    <cellStyle name="40% - Accent5 3" xfId="227"/>
    <cellStyle name="40% - Accent6" xfId="40" builtinId="51" customBuiltin="1"/>
    <cellStyle name="40% - Accent6 2" xfId="228"/>
    <cellStyle name="40% - Accent6 3" xfId="229"/>
    <cellStyle name="60 % - Akzent1 2" xfId="230"/>
    <cellStyle name="60 % - Akzent2 2" xfId="231"/>
    <cellStyle name="60 % - Akzent3 2" xfId="232"/>
    <cellStyle name="60 % - Akzent4 2" xfId="233"/>
    <cellStyle name="60 % - Akzent5 2" xfId="234"/>
    <cellStyle name="60 % - Akzent6 2" xfId="235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9.86" xfId="236"/>
    <cellStyle name="Accent1" xfId="18" builtinId="29" customBuiltin="1"/>
    <cellStyle name="Accent1 2" xfId="237"/>
    <cellStyle name="Accent2" xfId="22" builtinId="33" customBuiltin="1"/>
    <cellStyle name="Accent2 2" xfId="238"/>
    <cellStyle name="Accent3" xfId="26" builtinId="37" customBuiltin="1"/>
    <cellStyle name="Accent3 2" xfId="239"/>
    <cellStyle name="Accent4" xfId="30" builtinId="41" customBuiltin="1"/>
    <cellStyle name="Accent4 2" xfId="240"/>
    <cellStyle name="Accent5" xfId="34" builtinId="45" customBuiltin="1"/>
    <cellStyle name="Accent5 2" xfId="241"/>
    <cellStyle name="Accent6" xfId="38" builtinId="49" customBuiltin="1"/>
    <cellStyle name="Accent6 2" xfId="242"/>
    <cellStyle name="adam" xfId="243"/>
    <cellStyle name="adam 2" xfId="244"/>
    <cellStyle name="adam 2 10" xfId="245"/>
    <cellStyle name="adam 2 11" xfId="246"/>
    <cellStyle name="adam 2 12" xfId="247"/>
    <cellStyle name="adam 2 13" xfId="248"/>
    <cellStyle name="adam 2 14" xfId="249"/>
    <cellStyle name="adam 2 15" xfId="250"/>
    <cellStyle name="adam 2 16" xfId="251"/>
    <cellStyle name="adam 2 17" xfId="252"/>
    <cellStyle name="adam 2 18" xfId="253"/>
    <cellStyle name="adam 2 19" xfId="254"/>
    <cellStyle name="adam 2 2" xfId="255"/>
    <cellStyle name="adam 2 20" xfId="256"/>
    <cellStyle name="adam 2 21" xfId="257"/>
    <cellStyle name="adam 2 22" xfId="258"/>
    <cellStyle name="adam 2 23" xfId="259"/>
    <cellStyle name="adam 2 24" xfId="260"/>
    <cellStyle name="adam 2 25" xfId="261"/>
    <cellStyle name="adam 2 26" xfId="262"/>
    <cellStyle name="adam 2 27" xfId="263"/>
    <cellStyle name="adam 2 28" xfId="264"/>
    <cellStyle name="adam 2 29" xfId="265"/>
    <cellStyle name="adam 2 3" xfId="266"/>
    <cellStyle name="adam 2 30" xfId="267"/>
    <cellStyle name="adam 2 31" xfId="268"/>
    <cellStyle name="adam 2 32" xfId="269"/>
    <cellStyle name="adam 2 33" xfId="270"/>
    <cellStyle name="adam 2 34" xfId="271"/>
    <cellStyle name="adam 2 35" xfId="272"/>
    <cellStyle name="adam 2 36" xfId="273"/>
    <cellStyle name="adam 2 37" xfId="274"/>
    <cellStyle name="adam 2 38" xfId="275"/>
    <cellStyle name="adam 2 39" xfId="276"/>
    <cellStyle name="adam 2 4" xfId="277"/>
    <cellStyle name="adam 2 40" xfId="278"/>
    <cellStyle name="adam 2 41" xfId="279"/>
    <cellStyle name="adam 2 42" xfId="280"/>
    <cellStyle name="adam 2 43" xfId="281"/>
    <cellStyle name="adam 2 44" xfId="282"/>
    <cellStyle name="adam 2 45" xfId="283"/>
    <cellStyle name="adam 2 46" xfId="284"/>
    <cellStyle name="adam 2 47" xfId="285"/>
    <cellStyle name="adam 2 48" xfId="286"/>
    <cellStyle name="adam 2 49" xfId="287"/>
    <cellStyle name="adam 2 5" xfId="288"/>
    <cellStyle name="adam 2 50" xfId="289"/>
    <cellStyle name="adam 2 51" xfId="290"/>
    <cellStyle name="adam 2 52" xfId="291"/>
    <cellStyle name="adam 2 53" xfId="292"/>
    <cellStyle name="adam 2 54" xfId="293"/>
    <cellStyle name="adam 2 55" xfId="294"/>
    <cellStyle name="adam 2 56" xfId="295"/>
    <cellStyle name="adam 2 57" xfId="296"/>
    <cellStyle name="adam 2 58" xfId="297"/>
    <cellStyle name="adam 2 59" xfId="298"/>
    <cellStyle name="adam 2 6" xfId="299"/>
    <cellStyle name="adam 2 60" xfId="300"/>
    <cellStyle name="adam 2 61" xfId="301"/>
    <cellStyle name="adam 2 62" xfId="302"/>
    <cellStyle name="adam 2 63" xfId="303"/>
    <cellStyle name="adam 2 64" xfId="304"/>
    <cellStyle name="adam 2 65" xfId="305"/>
    <cellStyle name="adam 2 66" xfId="306"/>
    <cellStyle name="adam 2 67" xfId="307"/>
    <cellStyle name="adam 2 68" xfId="308"/>
    <cellStyle name="adam 2 69" xfId="309"/>
    <cellStyle name="adam 2 7" xfId="310"/>
    <cellStyle name="adam 2 70" xfId="311"/>
    <cellStyle name="adam 2 71" xfId="312"/>
    <cellStyle name="adam 2 72" xfId="313"/>
    <cellStyle name="adam 2 73" xfId="314"/>
    <cellStyle name="adam 2 74" xfId="315"/>
    <cellStyle name="adam 2 75" xfId="316"/>
    <cellStyle name="adam 2 76" xfId="317"/>
    <cellStyle name="adam 2 77" xfId="318"/>
    <cellStyle name="adam 2 78" xfId="319"/>
    <cellStyle name="adam 2 79" xfId="320"/>
    <cellStyle name="adam 2 8" xfId="321"/>
    <cellStyle name="adam 2 80" xfId="322"/>
    <cellStyle name="adam 2 81" xfId="323"/>
    <cellStyle name="adam 2 82" xfId="324"/>
    <cellStyle name="adam 2 83" xfId="325"/>
    <cellStyle name="adam 2 84" xfId="326"/>
    <cellStyle name="adam 2 85" xfId="327"/>
    <cellStyle name="adam 2 86" xfId="328"/>
    <cellStyle name="adam 2 87" xfId="329"/>
    <cellStyle name="adam 2 88" xfId="330"/>
    <cellStyle name="adam 2 89" xfId="331"/>
    <cellStyle name="adam 2 9" xfId="332"/>
    <cellStyle name="adam 2 90" xfId="333"/>
    <cellStyle name="adam 2 91" xfId="334"/>
    <cellStyle name="adam 2 92" xfId="335"/>
    <cellStyle name="Akzent1 2" xfId="336"/>
    <cellStyle name="Akzent2 2" xfId="337"/>
    <cellStyle name="Akzent3 2" xfId="338"/>
    <cellStyle name="Akzent4 2" xfId="339"/>
    <cellStyle name="Akzent5 2" xfId="340"/>
    <cellStyle name="Akzent6 2" xfId="341"/>
    <cellStyle name="Amount" xfId="342"/>
    <cellStyle name="Ausgabe 2" xfId="343"/>
    <cellStyle name="Availability" xfId="344"/>
    <cellStyle name="back" xfId="345"/>
    <cellStyle name="background" xfId="346"/>
    <cellStyle name="Bad" xfId="8" builtinId="27" customBuiltin="1"/>
    <cellStyle name="Bad 2" xfId="347"/>
    <cellStyle name="banner" xfId="348"/>
    <cellStyle name="Bberg Code" xfId="349"/>
    <cellStyle name="Berechnung 2" xfId="350"/>
    <cellStyle name="BlankedZeros" xfId="351"/>
    <cellStyle name="Blue" xfId="352"/>
    <cellStyle name="blue axis cells" xfId="353"/>
    <cellStyle name="blue text cells" xfId="354"/>
    <cellStyle name="Body" xfId="355"/>
    <cellStyle name="calc" xfId="356"/>
    <cellStyle name="Calculation" xfId="12" builtinId="22" customBuiltin="1"/>
    <cellStyle name="Check Cell" xfId="14" builtinId="23" customBuiltin="1"/>
    <cellStyle name="Check Cell 2" xfId="357"/>
    <cellStyle name="CodeEingabe" xfId="358"/>
    <cellStyle name="Comma  - Style1" xfId="359"/>
    <cellStyle name="Comma 0" xfId="360"/>
    <cellStyle name="Comma 2" xfId="45"/>
    <cellStyle name="Comma0" xfId="361"/>
    <cellStyle name="Curren - Style2" xfId="362"/>
    <cellStyle name="Currency0" xfId="363"/>
    <cellStyle name="CurrencyOAlarmModule" xfId="364"/>
    <cellStyle name="data_3000" xfId="365"/>
    <cellStyle name="DataFeed" xfId="366"/>
    <cellStyle name="Date" xfId="367"/>
    <cellStyle name="Date Aligned" xfId="368"/>
    <cellStyle name="date title" xfId="369"/>
    <cellStyle name="Date_Black Matrix Pricer" xfId="370"/>
    <cellStyle name="DateFormat" xfId="371"/>
    <cellStyle name="datetime" xfId="372"/>
    <cellStyle name="documentation data" xfId="373"/>
    <cellStyle name="documentation titles" xfId="374"/>
    <cellStyle name="Dotted Line" xfId="375"/>
    <cellStyle name="Eingabe 2" xfId="376"/>
    <cellStyle name="Ergebnis 2" xfId="377"/>
    <cellStyle name="Erklärender Text 2" xfId="378"/>
    <cellStyle name="Euro" xfId="379"/>
    <cellStyle name="Explanatory Text" xfId="16" builtinId="53" customBuiltin="1"/>
    <cellStyle name="EY House" xfId="380"/>
    <cellStyle name="F2" xfId="381"/>
    <cellStyle name="F3" xfId="382"/>
    <cellStyle name="F4" xfId="383"/>
    <cellStyle name="F5" xfId="384"/>
    <cellStyle name="F6" xfId="385"/>
    <cellStyle name="F7" xfId="386"/>
    <cellStyle name="F8" xfId="387"/>
    <cellStyle name="Fixed" xfId="388"/>
    <cellStyle name="Followed Hyperlink" xfId="46" builtinId="9" customBuiltin="1"/>
    <cellStyle name="Followed Hyperlink 2" xfId="56"/>
    <cellStyle name="font1" xfId="389"/>
    <cellStyle name="Footnote" xfId="390"/>
    <cellStyle name="FVF" xfId="391"/>
    <cellStyle name="Good" xfId="7" builtinId="26" customBuiltin="1"/>
    <cellStyle name="Good 2" xfId="392"/>
    <cellStyle name="gray text cells" xfId="393"/>
    <cellStyle name="GreybarHeader" xfId="394"/>
    <cellStyle name="Gut 2" xfId="395"/>
    <cellStyle name="header" xfId="396"/>
    <cellStyle name="Header1" xfId="397"/>
    <cellStyle name="Header2" xfId="398"/>
    <cellStyle name="Heading" xfId="399"/>
    <cellStyle name="Heading 1" xfId="3" builtinId="16" customBuiltin="1"/>
    <cellStyle name="Heading 1 2" xfId="400"/>
    <cellStyle name="Heading 2" xfId="4" builtinId="17" customBuiltin="1"/>
    <cellStyle name="Heading 2 2" xfId="401"/>
    <cellStyle name="Heading 3" xfId="5" builtinId="18" customBuiltin="1"/>
    <cellStyle name="Heading 3 2" xfId="402"/>
    <cellStyle name="Heading 4" xfId="6" builtinId="19" customBuiltin="1"/>
    <cellStyle name="Heading 4 2" xfId="403"/>
    <cellStyle name="Hyperlink" xfId="47" builtinId="8" customBuiltin="1"/>
    <cellStyle name="Hyperlink 2" xfId="57"/>
    <cellStyle name="Info" xfId="404"/>
    <cellStyle name="InfoDataColumn" xfId="405"/>
    <cellStyle name="InfoDataRow" xfId="406"/>
    <cellStyle name="InfoLabelColumn" xfId="407"/>
    <cellStyle name="InfoLabelRow" xfId="408"/>
    <cellStyle name="InfolDataColumn" xfId="409"/>
    <cellStyle name="InformationalData" xfId="410"/>
    <cellStyle name="InformationalLabel" xfId="411"/>
    <cellStyle name="InformationalLabelTop" xfId="412"/>
    <cellStyle name="Input" xfId="10" builtinId="20" customBuiltin="1"/>
    <cellStyle name="InputData" xfId="413"/>
    <cellStyle name="InputDataColumn" xfId="414"/>
    <cellStyle name="InputDataRow" xfId="415"/>
    <cellStyle name="InputLabel" xfId="416"/>
    <cellStyle name="InputLabelColumn" xfId="417"/>
    <cellStyle name="InputLabelRow" xfId="418"/>
    <cellStyle name="InputLabelTop" xfId="419"/>
    <cellStyle name="IntermediateData" xfId="420"/>
    <cellStyle name="IntermediateDataColumn" xfId="421"/>
    <cellStyle name="IntermediateDataRow" xfId="422"/>
    <cellStyle name="IntermediateLabel" xfId="423"/>
    <cellStyle name="IntermediateLabelColumn" xfId="424"/>
    <cellStyle name="IntermediateLabelRow" xfId="425"/>
    <cellStyle name="InvalidCell" xfId="426"/>
    <cellStyle name="ItalicHeader" xfId="427"/>
    <cellStyle name="KPMG Heading 1" xfId="428"/>
    <cellStyle name="KPMG Heading 2" xfId="429"/>
    <cellStyle name="KPMG Heading 3" xfId="430"/>
    <cellStyle name="KPMG Heading 4" xfId="431"/>
    <cellStyle name="KPMG Normal" xfId="432"/>
    <cellStyle name="KPMG Normal Text" xfId="433"/>
    <cellStyle name="label" xfId="434"/>
    <cellStyle name="Lien hypertexte visité" xfId="435"/>
    <cellStyle name="Linked Cell" xfId="13" builtinId="24" customBuiltin="1"/>
    <cellStyle name="Linked Cell 2" xfId="436"/>
    <cellStyle name="Macro" xfId="437"/>
    <cellStyle name="main_input" xfId="438"/>
    <cellStyle name="McFormBody" xfId="439"/>
    <cellStyle name="Menu" xfId="440"/>
    <cellStyle name="Milliers [0]_book_indice" xfId="441"/>
    <cellStyle name="Milliers_book_indice" xfId="442"/>
    <cellStyle name="Monétaire [0]_book_indice" xfId="443"/>
    <cellStyle name="Monétaire_book_indice" xfId="444"/>
    <cellStyle name="Month" xfId="445"/>
    <cellStyle name="MultipleType" xfId="446"/>
    <cellStyle name="Neutral" xfId="9" builtinId="28" customBuiltin="1"/>
    <cellStyle name="Neutral 2" xfId="447"/>
    <cellStyle name="Neutral 3" xfId="448"/>
    <cellStyle name="NEW" xfId="449"/>
    <cellStyle name="NewSheet" xfId="450"/>
    <cellStyle name="no dec" xfId="451"/>
    <cellStyle name="Normal" xfId="0" builtinId="0" customBuiltin="1"/>
    <cellStyle name="Normal - Style1" xfId="452"/>
    <cellStyle name="Normal 10" xfId="453"/>
    <cellStyle name="Normal 11" xfId="454"/>
    <cellStyle name="Normal 12" xfId="455"/>
    <cellStyle name="Normal 13" xfId="456"/>
    <cellStyle name="Normal 2" xfId="48"/>
    <cellStyle name="Normal 2 10" xfId="457"/>
    <cellStyle name="Normal 2 11" xfId="458"/>
    <cellStyle name="Normal 2 12" xfId="459"/>
    <cellStyle name="Normal 2 13" xfId="460"/>
    <cellStyle name="Normal 2 2" xfId="49"/>
    <cellStyle name="Normal 2 3" xfId="55"/>
    <cellStyle name="Normal 2 4" xfId="58"/>
    <cellStyle name="Normal 2 5" xfId="461"/>
    <cellStyle name="Normal 2 6" xfId="462"/>
    <cellStyle name="Normal 2 7" xfId="463"/>
    <cellStyle name="Normal 2 8" xfId="464"/>
    <cellStyle name="Normal 2 9" xfId="465"/>
    <cellStyle name="Normal 2_ATM" xfId="466"/>
    <cellStyle name="Normal 3" xfId="50"/>
    <cellStyle name="Normal 3 2" xfId="467"/>
    <cellStyle name="Normal 3_GBPSWAPTIONS" xfId="468"/>
    <cellStyle name="Normal 4" xfId="51"/>
    <cellStyle name="Normal 4 2" xfId="469"/>
    <cellStyle name="Normal 5" xfId="44"/>
    <cellStyle name="Normal 5 2" xfId="470"/>
    <cellStyle name="Normal 5 3" xfId="471"/>
    <cellStyle name="Normal 5 4" xfId="472"/>
    <cellStyle name="Normal 5 5" xfId="473"/>
    <cellStyle name="Normal 6" xfId="43"/>
    <cellStyle name="Normal 6 2" xfId="474"/>
    <cellStyle name="Normal 7" xfId="42"/>
    <cellStyle name="Normal 8" xfId="59"/>
    <cellStyle name="Normal 9" xfId="62"/>
    <cellStyle name="Note 2" xfId="52"/>
    <cellStyle name="Note 3" xfId="475"/>
    <cellStyle name="Notiz 2" xfId="476"/>
    <cellStyle name="Notiz 3" xfId="477"/>
    <cellStyle name="Notiz 4" xfId="478"/>
    <cellStyle name="Notiz 5" xfId="479"/>
    <cellStyle name="NumberFormat" xfId="480"/>
    <cellStyle name="ObjectDataColumn" xfId="481"/>
    <cellStyle name="ObjectDataRow" xfId="482"/>
    <cellStyle name="ObjectLabelColumn" xfId="483"/>
    <cellStyle name="ObjectLabelRow" xfId="484"/>
    <cellStyle name="orange text cell" xfId="485"/>
    <cellStyle name="Output" xfId="11" builtinId="21" customBuiltin="1"/>
    <cellStyle name="OutputData" xfId="486"/>
    <cellStyle name="OutputDataColumn" xfId="487"/>
    <cellStyle name="OutputDataRow" xfId="488"/>
    <cellStyle name="OutputLabel" xfId="489"/>
    <cellStyle name="OutputLabelColumn" xfId="490"/>
    <cellStyle name="OutputLabelRow" xfId="491"/>
    <cellStyle name="Page Number" xfId="492"/>
    <cellStyle name="Page1" xfId="493"/>
    <cellStyle name="PanelLabel" xfId="494"/>
    <cellStyle name="Percent" xfId="1" builtinId="5"/>
    <cellStyle name="Percent [0%]" xfId="495"/>
    <cellStyle name="Percent [0.00%]" xfId="496"/>
    <cellStyle name="Percent 2" xfId="53"/>
    <cellStyle name="Percent 3" xfId="60"/>
    <cellStyle name="Percent 4" xfId="63"/>
    <cellStyle name="Percent 5" xfId="497"/>
    <cellStyle name="PersonalDataColumn" xfId="498"/>
    <cellStyle name="PersonalLabelColumn" xfId="499"/>
    <cellStyle name="PersonalLabelRow" xfId="500"/>
    <cellStyle name="Pivot Table" xfId="501"/>
    <cellStyle name="PricingProducts" xfId="502"/>
    <cellStyle name="Prozent 2" xfId="64"/>
    <cellStyle name="rate entry" xfId="503"/>
    <cellStyle name="realtime" xfId="504"/>
    <cellStyle name="RED_DEBITS" xfId="505"/>
    <cellStyle name="ReserveStyle" xfId="506"/>
    <cellStyle name="result" xfId="507"/>
    <cellStyle name="SAPBEXHLevel2" xfId="508"/>
    <cellStyle name="SAPOutput" xfId="509"/>
    <cellStyle name="Schlecht 2" xfId="510"/>
    <cellStyle name="Small Date" xfId="511"/>
    <cellStyle name="Small Heading" xfId="512"/>
    <cellStyle name="SMALL_NUMBERS" xfId="513"/>
    <cellStyle name="SMALLER_NUMBERS" xfId="514"/>
    <cellStyle name="spreads" xfId="515"/>
    <cellStyle name="Standard 2" xfId="61"/>
    <cellStyle name="Standard 2 2" xfId="516"/>
    <cellStyle name="Standard 2 3" xfId="517"/>
    <cellStyle name="Standard 2 4" xfId="518"/>
    <cellStyle name="Standard 2 5" xfId="519"/>
    <cellStyle name="Standard 3" xfId="520"/>
    <cellStyle name="Standard 4" xfId="521"/>
    <cellStyle name="Standard 5" xfId="522"/>
    <cellStyle name="Standard_Test_Portfolio_13" xfId="54"/>
    <cellStyle name="Stil 1" xfId="523"/>
    <cellStyle name="Stil 10" xfId="524"/>
    <cellStyle name="Stil 11" xfId="525"/>
    <cellStyle name="Stil 12" xfId="526"/>
    <cellStyle name="Stil 13" xfId="527"/>
    <cellStyle name="Stil 14" xfId="528"/>
    <cellStyle name="Stil 15" xfId="529"/>
    <cellStyle name="Stil 16" xfId="530"/>
    <cellStyle name="Stil 17" xfId="531"/>
    <cellStyle name="Stil 18" xfId="532"/>
    <cellStyle name="Stil 2" xfId="533"/>
    <cellStyle name="Stil 3" xfId="534"/>
    <cellStyle name="Stil 4" xfId="535"/>
    <cellStyle name="Stil 5" xfId="536"/>
    <cellStyle name="Stil 6" xfId="537"/>
    <cellStyle name="Stil 7" xfId="538"/>
    <cellStyle name="Stil 8" xfId="539"/>
    <cellStyle name="Stil 9" xfId="540"/>
    <cellStyle name="Style 1" xfId="541"/>
    <cellStyle name="Style 10" xfId="542"/>
    <cellStyle name="Style 11" xfId="543"/>
    <cellStyle name="Style 12" xfId="544"/>
    <cellStyle name="Style 13" xfId="545"/>
    <cellStyle name="Style 14" xfId="546"/>
    <cellStyle name="Style 15" xfId="547"/>
    <cellStyle name="Style 16" xfId="548"/>
    <cellStyle name="Style 2" xfId="549"/>
    <cellStyle name="Style 3" xfId="550"/>
    <cellStyle name="Style 4" xfId="551"/>
    <cellStyle name="Style 5" xfId="552"/>
    <cellStyle name="Style 6" xfId="553"/>
    <cellStyle name="Style 7" xfId="554"/>
    <cellStyle name="Style 8" xfId="555"/>
    <cellStyle name="Style 9" xfId="556"/>
    <cellStyle name="Style1" xfId="557"/>
    <cellStyle name="subtitle" xfId="558"/>
    <cellStyle name="swpBody01" xfId="559"/>
    <cellStyle name="swpCaption" xfId="560"/>
    <cellStyle name="swpClear" xfId="561"/>
    <cellStyle name="swpHBBookTitle" xfId="562"/>
    <cellStyle name="swpHBChapterTitle" xfId="563"/>
    <cellStyle name="swpHead01" xfId="564"/>
    <cellStyle name="swpHead01R" xfId="565"/>
    <cellStyle name="swpHead02" xfId="566"/>
    <cellStyle name="swpHead03" xfId="567"/>
    <cellStyle name="swpHead03R" xfId="568"/>
    <cellStyle name="swpHeadBraL" xfId="569"/>
    <cellStyle name="swpHeadBraM" xfId="570"/>
    <cellStyle name="swpHeadBraR" xfId="571"/>
    <cellStyle name="swpTag" xfId="572"/>
    <cellStyle name="swpTotals" xfId="573"/>
    <cellStyle name="swpTotalsNo" xfId="574"/>
    <cellStyle name="swpTotalsTotal" xfId="575"/>
    <cellStyle name="Table Head" xfId="576"/>
    <cellStyle name="Table Head Aligned" xfId="577"/>
    <cellStyle name="Table Head Blue" xfId="578"/>
    <cellStyle name="Table Head Green" xfId="579"/>
    <cellStyle name="Table Heading" xfId="580"/>
    <cellStyle name="Table Title" xfId="581"/>
    <cellStyle name="Table Units" xfId="582"/>
    <cellStyle name="TableDataColumn" xfId="583"/>
    <cellStyle name="TableDataRow" xfId="584"/>
    <cellStyle name="TableLabelColumn" xfId="585"/>
    <cellStyle name="TableLabelRow" xfId="586"/>
    <cellStyle name="TEST" xfId="587"/>
    <cellStyle name="TIMES" xfId="588"/>
    <cellStyle name="Title" xfId="2" builtinId="15" customBuiltin="1"/>
    <cellStyle name="Title 2" xfId="589"/>
    <cellStyle name="Total" xfId="17" builtinId="25" customBuiltin="1"/>
    <cellStyle name="TOTALS" xfId="590"/>
    <cellStyle name="Überschrift 1 2" xfId="591"/>
    <cellStyle name="Überschrift 2 2" xfId="592"/>
    <cellStyle name="Überschrift 3 2" xfId="593"/>
    <cellStyle name="Überschrift 4 2" xfId="594"/>
    <cellStyle name="Undefiniert" xfId="595"/>
    <cellStyle name="Update" xfId="596"/>
    <cellStyle name="UserInput" xfId="597"/>
    <cellStyle name="v" xfId="598"/>
    <cellStyle name="v 10" xfId="599"/>
    <cellStyle name="v 11" xfId="600"/>
    <cellStyle name="v 12" xfId="601"/>
    <cellStyle name="v 13" xfId="602"/>
    <cellStyle name="v 14" xfId="603"/>
    <cellStyle name="v 15" xfId="604"/>
    <cellStyle name="v 16" xfId="605"/>
    <cellStyle name="v 17" xfId="606"/>
    <cellStyle name="v 18" xfId="607"/>
    <cellStyle name="v 19" xfId="608"/>
    <cellStyle name="v 2" xfId="609"/>
    <cellStyle name="v 20" xfId="610"/>
    <cellStyle name="v 21" xfId="611"/>
    <cellStyle name="v 22" xfId="612"/>
    <cellStyle name="v 23" xfId="613"/>
    <cellStyle name="v 24" xfId="614"/>
    <cellStyle name="v 25" xfId="615"/>
    <cellStyle name="v 26" xfId="616"/>
    <cellStyle name="v 27" xfId="617"/>
    <cellStyle name="v 28" xfId="618"/>
    <cellStyle name="v 29" xfId="619"/>
    <cellStyle name="v 3" xfId="620"/>
    <cellStyle name="v 30" xfId="621"/>
    <cellStyle name="v 31" xfId="622"/>
    <cellStyle name="v 32" xfId="623"/>
    <cellStyle name="v 33" xfId="624"/>
    <cellStyle name="v 34" xfId="625"/>
    <cellStyle name="v 35" xfId="626"/>
    <cellStyle name="v 36" xfId="627"/>
    <cellStyle name="v 37" xfId="628"/>
    <cellStyle name="v 38" xfId="629"/>
    <cellStyle name="v 39" xfId="630"/>
    <cellStyle name="v 4" xfId="631"/>
    <cellStyle name="v 40" xfId="632"/>
    <cellStyle name="v 41" xfId="633"/>
    <cellStyle name="v 42" xfId="634"/>
    <cellStyle name="v 43" xfId="635"/>
    <cellStyle name="v 44" xfId="636"/>
    <cellStyle name="v 45" xfId="637"/>
    <cellStyle name="v 46" xfId="638"/>
    <cellStyle name="v 47" xfId="639"/>
    <cellStyle name="v 48" xfId="640"/>
    <cellStyle name="v 49" xfId="641"/>
    <cellStyle name="v 5" xfId="642"/>
    <cellStyle name="v 50" xfId="643"/>
    <cellStyle name="v 51" xfId="644"/>
    <cellStyle name="v 52" xfId="645"/>
    <cellStyle name="v 53" xfId="646"/>
    <cellStyle name="v 54" xfId="647"/>
    <cellStyle name="v 55" xfId="648"/>
    <cellStyle name="v 56" xfId="649"/>
    <cellStyle name="v 57" xfId="650"/>
    <cellStyle name="v 58" xfId="651"/>
    <cellStyle name="v 59" xfId="652"/>
    <cellStyle name="v 6" xfId="653"/>
    <cellStyle name="v 60" xfId="654"/>
    <cellStyle name="v 61" xfId="655"/>
    <cellStyle name="v 62" xfId="656"/>
    <cellStyle name="v 63" xfId="657"/>
    <cellStyle name="v 64" xfId="658"/>
    <cellStyle name="v 65" xfId="659"/>
    <cellStyle name="v 66" xfId="660"/>
    <cellStyle name="v 67" xfId="661"/>
    <cellStyle name="v 68" xfId="662"/>
    <cellStyle name="v 69" xfId="663"/>
    <cellStyle name="v 7" xfId="664"/>
    <cellStyle name="v 70" xfId="665"/>
    <cellStyle name="v 71" xfId="666"/>
    <cellStyle name="v 72" xfId="667"/>
    <cellStyle name="v 73" xfId="668"/>
    <cellStyle name="v 74" xfId="669"/>
    <cellStyle name="v 75" xfId="670"/>
    <cellStyle name="v 76" xfId="671"/>
    <cellStyle name="v 77" xfId="672"/>
    <cellStyle name="v 78" xfId="673"/>
    <cellStyle name="v 79" xfId="674"/>
    <cellStyle name="v 8" xfId="675"/>
    <cellStyle name="v 80" xfId="676"/>
    <cellStyle name="v 81" xfId="677"/>
    <cellStyle name="v 82" xfId="678"/>
    <cellStyle name="v 83" xfId="679"/>
    <cellStyle name="v 84" xfId="680"/>
    <cellStyle name="v 85" xfId="681"/>
    <cellStyle name="v 86" xfId="682"/>
    <cellStyle name="v 87" xfId="683"/>
    <cellStyle name="v 88" xfId="684"/>
    <cellStyle name="v 89" xfId="685"/>
    <cellStyle name="v 9" xfId="686"/>
    <cellStyle name="v 90" xfId="687"/>
    <cellStyle name="v 91" xfId="688"/>
    <cellStyle name="v 92" xfId="689"/>
    <cellStyle name="v 93" xfId="690"/>
    <cellStyle name="Verknüpfte Zelle 2" xfId="691"/>
    <cellStyle name="VerticalText" xfId="692"/>
    <cellStyle name="Warnender Text 2" xfId="693"/>
    <cellStyle name="Warning Text" xfId="15" builtinId="11" customBuiltin="1"/>
    <cellStyle name="WASP_PLStyle" xfId="694"/>
    <cellStyle name="working" xfId="695"/>
    <cellStyle name="WorksheetForm" xfId="696"/>
    <cellStyle name="Y2K Compliant Date Fmt" xfId="697"/>
    <cellStyle name="Year" xfId="698"/>
    <cellStyle name="Zelle überprüfen 2" xfId="699"/>
    <cellStyle name="パーセント 2" xfId="700"/>
    <cellStyle name="ハイパーリンク_Book1" xfId="701"/>
    <cellStyle name="桁区切り [0.00]_amendment" xfId="702"/>
    <cellStyle name="桁区切り_amendment" xfId="703"/>
    <cellStyle name="標準 10" xfId="704"/>
    <cellStyle name="標準 11" xfId="705"/>
    <cellStyle name="標準 12" xfId="706"/>
    <cellStyle name="標準 13" xfId="707"/>
    <cellStyle name="標準 14" xfId="708"/>
    <cellStyle name="標準 14 2" xfId="709"/>
    <cellStyle name="標準 15" xfId="710"/>
    <cellStyle name="標準 16" xfId="711"/>
    <cellStyle name="標準 17" xfId="712"/>
    <cellStyle name="標準 18" xfId="713"/>
    <cellStyle name="標準 18 10" xfId="714"/>
    <cellStyle name="標準 18 2" xfId="715"/>
    <cellStyle name="標準 18 3" xfId="716"/>
    <cellStyle name="標準 18 4" xfId="717"/>
    <cellStyle name="標準 18 5" xfId="718"/>
    <cellStyle name="標準 18 6" xfId="719"/>
    <cellStyle name="標準 18 7" xfId="720"/>
    <cellStyle name="標準 18 8" xfId="721"/>
    <cellStyle name="標準 18 9" xfId="722"/>
    <cellStyle name="標準 19" xfId="723"/>
    <cellStyle name="標準 19 2" xfId="724"/>
    <cellStyle name="標準 2" xfId="725"/>
    <cellStyle name="標準 2 10" xfId="726"/>
    <cellStyle name="標準 2 11" xfId="727"/>
    <cellStyle name="標準 2 12" xfId="728"/>
    <cellStyle name="標準 2 2" xfId="729"/>
    <cellStyle name="標準 2 3" xfId="730"/>
    <cellStyle name="標準 2 4" xfId="731"/>
    <cellStyle name="標準 2 5" xfId="732"/>
    <cellStyle name="標準 2 6" xfId="733"/>
    <cellStyle name="標準 2 7" xfId="734"/>
    <cellStyle name="標準 2 8" xfId="735"/>
    <cellStyle name="標準 2 9" xfId="736"/>
    <cellStyle name="標準 3" xfId="737"/>
    <cellStyle name="標準 4" xfId="738"/>
    <cellStyle name="標準 5" xfId="739"/>
    <cellStyle name="標準 6" xfId="740"/>
    <cellStyle name="標準 7" xfId="741"/>
    <cellStyle name="標準 8" xfId="742"/>
    <cellStyle name="標準 9" xfId="743"/>
    <cellStyle name="標準_10-03-11" xfId="744"/>
    <cellStyle name="表示済みのハイパーリンク_Book1" xfId="745"/>
    <cellStyle name="通貨 [0.00]_amendment" xfId="746"/>
    <cellStyle name="通貨_amendment" xfId="7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YieldCurve!$E$6</c:f>
              <c:strCache>
                <c:ptCount val="1"/>
                <c:pt idx="0">
                  <c:v>InputRate</c:v>
                </c:pt>
              </c:strCache>
            </c:strRef>
          </c:tx>
          <c:spPr>
            <a:ln>
              <a:noFill/>
            </a:ln>
          </c:spPr>
          <c:xVal>
            <c:numRef>
              <c:f>YieldCurve!$D$7:$D$22</c:f>
              <c:numCache>
                <c:formatCode>0.00</c:formatCode>
                <c:ptCount val="16"/>
                <c:pt idx="0">
                  <c:v>0</c:v>
                </c:pt>
                <c:pt idx="1">
                  <c:v>1.0027397260273974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5.0054794520547947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9.0082191780821912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25.019178082191782</c:v>
                </c:pt>
                <c:pt idx="15">
                  <c:v>30.021917808219179</c:v>
                </c:pt>
              </c:numCache>
            </c:numRef>
          </c:xVal>
          <c:yVal>
            <c:numRef>
              <c:f>YieldCurve!$E$7:$E$22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3.3559393270920869E-2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4.5020543256034717E-2</c:v>
                </c:pt>
                <c:pt idx="10">
                  <c:v>4.7453654391084496E-2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7E-466E-A4C0-535C9D586608}"/>
            </c:ext>
          </c:extLst>
        </c:ser>
        <c:ser>
          <c:idx val="1"/>
          <c:order val="1"/>
          <c:tx>
            <c:strRef>
              <c:f>YieldCurve!$D$25</c:f>
              <c:strCache>
                <c:ptCount val="1"/>
                <c:pt idx="0">
                  <c:v>ForwardRate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YieldCurve!$C$26:$C$386</c:f>
              <c:numCache>
                <c:formatCode>0.00</c:formatCode>
                <c:ptCount val="361"/>
                <c:pt idx="0">
                  <c:v>0</c:v>
                </c:pt>
                <c:pt idx="1">
                  <c:v>8.4931506849315067E-2</c:v>
                </c:pt>
                <c:pt idx="2">
                  <c:v>0.16712328767123288</c:v>
                </c:pt>
                <c:pt idx="3">
                  <c:v>0.25205479452054796</c:v>
                </c:pt>
                <c:pt idx="4">
                  <c:v>0.33698630136986302</c:v>
                </c:pt>
                <c:pt idx="5">
                  <c:v>0.41643835616438357</c:v>
                </c:pt>
                <c:pt idx="6">
                  <c:v>0.50136986301369868</c:v>
                </c:pt>
                <c:pt idx="7">
                  <c:v>0.58356164383561648</c:v>
                </c:pt>
                <c:pt idx="8">
                  <c:v>0.66849315068493154</c:v>
                </c:pt>
                <c:pt idx="9">
                  <c:v>0.75068493150684934</c:v>
                </c:pt>
                <c:pt idx="10">
                  <c:v>0.83561643835616439</c:v>
                </c:pt>
                <c:pt idx="11">
                  <c:v>0.92054794520547945</c:v>
                </c:pt>
                <c:pt idx="12">
                  <c:v>1.0027397260273974</c:v>
                </c:pt>
                <c:pt idx="13">
                  <c:v>1.0876712328767124</c:v>
                </c:pt>
                <c:pt idx="14">
                  <c:v>1.1698630136986301</c:v>
                </c:pt>
                <c:pt idx="15">
                  <c:v>1.2547945205479452</c:v>
                </c:pt>
                <c:pt idx="16">
                  <c:v>1.3397260273972602</c:v>
                </c:pt>
                <c:pt idx="17">
                  <c:v>1.4164383561643836</c:v>
                </c:pt>
                <c:pt idx="18">
                  <c:v>1.5013698630136987</c:v>
                </c:pt>
                <c:pt idx="19">
                  <c:v>1.5835616438356164</c:v>
                </c:pt>
                <c:pt idx="20">
                  <c:v>1.6684931506849314</c:v>
                </c:pt>
                <c:pt idx="21">
                  <c:v>1.7506849315068493</c:v>
                </c:pt>
                <c:pt idx="22">
                  <c:v>1.8356164383561644</c:v>
                </c:pt>
                <c:pt idx="23">
                  <c:v>1.9205479452054794</c:v>
                </c:pt>
                <c:pt idx="24">
                  <c:v>2.0027397260273974</c:v>
                </c:pt>
                <c:pt idx="25">
                  <c:v>2.0876712328767124</c:v>
                </c:pt>
                <c:pt idx="26">
                  <c:v>2.1698630136986301</c:v>
                </c:pt>
                <c:pt idx="27">
                  <c:v>2.2547945205479452</c:v>
                </c:pt>
                <c:pt idx="28">
                  <c:v>2.3397260273972602</c:v>
                </c:pt>
                <c:pt idx="29">
                  <c:v>2.4164383561643836</c:v>
                </c:pt>
                <c:pt idx="30">
                  <c:v>2.5013698630136987</c:v>
                </c:pt>
                <c:pt idx="31">
                  <c:v>2.5835616438356164</c:v>
                </c:pt>
                <c:pt idx="32">
                  <c:v>2.6684931506849314</c:v>
                </c:pt>
                <c:pt idx="33">
                  <c:v>2.7506849315068491</c:v>
                </c:pt>
                <c:pt idx="34">
                  <c:v>2.8356164383561642</c:v>
                </c:pt>
                <c:pt idx="35">
                  <c:v>2.9205479452054797</c:v>
                </c:pt>
                <c:pt idx="36">
                  <c:v>3.0027397260273974</c:v>
                </c:pt>
                <c:pt idx="37">
                  <c:v>3.0876712328767124</c:v>
                </c:pt>
                <c:pt idx="38">
                  <c:v>3.1698630136986301</c:v>
                </c:pt>
                <c:pt idx="39">
                  <c:v>3.2547945205479452</c:v>
                </c:pt>
                <c:pt idx="40">
                  <c:v>3.3397260273972602</c:v>
                </c:pt>
                <c:pt idx="41">
                  <c:v>3.4164383561643836</c:v>
                </c:pt>
                <c:pt idx="42">
                  <c:v>3.5013698630136987</c:v>
                </c:pt>
                <c:pt idx="43">
                  <c:v>3.5835616438356164</c:v>
                </c:pt>
                <c:pt idx="44">
                  <c:v>3.6684931506849314</c:v>
                </c:pt>
                <c:pt idx="45">
                  <c:v>3.7506849315068491</c:v>
                </c:pt>
                <c:pt idx="46">
                  <c:v>3.8356164383561642</c:v>
                </c:pt>
                <c:pt idx="47">
                  <c:v>3.9205479452054797</c:v>
                </c:pt>
                <c:pt idx="48">
                  <c:v>4.0027397260273974</c:v>
                </c:pt>
                <c:pt idx="49">
                  <c:v>4.087671232876712</c:v>
                </c:pt>
                <c:pt idx="50">
                  <c:v>4.1698630136986301</c:v>
                </c:pt>
                <c:pt idx="51">
                  <c:v>4.2547945205479456</c:v>
                </c:pt>
                <c:pt idx="52">
                  <c:v>4.3397260273972602</c:v>
                </c:pt>
                <c:pt idx="53">
                  <c:v>4.419178082191781</c:v>
                </c:pt>
                <c:pt idx="54">
                  <c:v>4.5041095890410956</c:v>
                </c:pt>
                <c:pt idx="55">
                  <c:v>4.5863013698630137</c:v>
                </c:pt>
                <c:pt idx="56">
                  <c:v>4.6712328767123283</c:v>
                </c:pt>
                <c:pt idx="57">
                  <c:v>4.7534246575342465</c:v>
                </c:pt>
                <c:pt idx="58">
                  <c:v>4.838356164383562</c:v>
                </c:pt>
                <c:pt idx="59">
                  <c:v>4.9232876712328766</c:v>
                </c:pt>
                <c:pt idx="60">
                  <c:v>5.0054794520547947</c:v>
                </c:pt>
                <c:pt idx="61">
                  <c:v>5.0904109589041093</c:v>
                </c:pt>
                <c:pt idx="62">
                  <c:v>5.1726027397260275</c:v>
                </c:pt>
                <c:pt idx="63">
                  <c:v>5.2575342465753421</c:v>
                </c:pt>
                <c:pt idx="64">
                  <c:v>5.3424657534246576</c:v>
                </c:pt>
                <c:pt idx="65">
                  <c:v>5.419178082191781</c:v>
                </c:pt>
                <c:pt idx="66">
                  <c:v>5.5041095890410956</c:v>
                </c:pt>
                <c:pt idx="67">
                  <c:v>5.5863013698630137</c:v>
                </c:pt>
                <c:pt idx="68">
                  <c:v>5.6712328767123283</c:v>
                </c:pt>
                <c:pt idx="69">
                  <c:v>5.7534246575342465</c:v>
                </c:pt>
                <c:pt idx="70">
                  <c:v>5.838356164383562</c:v>
                </c:pt>
                <c:pt idx="71">
                  <c:v>5.9232876712328766</c:v>
                </c:pt>
                <c:pt idx="72">
                  <c:v>6.0054794520547947</c:v>
                </c:pt>
                <c:pt idx="73">
                  <c:v>6.0904109589041093</c:v>
                </c:pt>
                <c:pt idx="74">
                  <c:v>6.1726027397260275</c:v>
                </c:pt>
                <c:pt idx="75">
                  <c:v>6.2575342465753421</c:v>
                </c:pt>
                <c:pt idx="76">
                  <c:v>6.3424657534246576</c:v>
                </c:pt>
                <c:pt idx="77">
                  <c:v>6.419178082191781</c:v>
                </c:pt>
                <c:pt idx="78">
                  <c:v>6.5041095890410956</c:v>
                </c:pt>
                <c:pt idx="79">
                  <c:v>6.5863013698630137</c:v>
                </c:pt>
                <c:pt idx="80">
                  <c:v>6.6712328767123283</c:v>
                </c:pt>
                <c:pt idx="81">
                  <c:v>6.7534246575342465</c:v>
                </c:pt>
                <c:pt idx="82">
                  <c:v>6.838356164383562</c:v>
                </c:pt>
                <c:pt idx="83">
                  <c:v>6.9232876712328766</c:v>
                </c:pt>
                <c:pt idx="84">
                  <c:v>7.0054794520547947</c:v>
                </c:pt>
                <c:pt idx="85">
                  <c:v>7.0904109589041093</c:v>
                </c:pt>
                <c:pt idx="86">
                  <c:v>7.1726027397260275</c:v>
                </c:pt>
                <c:pt idx="87">
                  <c:v>7.2575342465753421</c:v>
                </c:pt>
                <c:pt idx="88">
                  <c:v>7.3424657534246576</c:v>
                </c:pt>
                <c:pt idx="89">
                  <c:v>7.419178082191781</c:v>
                </c:pt>
                <c:pt idx="90">
                  <c:v>7.5041095890410956</c:v>
                </c:pt>
                <c:pt idx="91">
                  <c:v>7.5863013698630137</c:v>
                </c:pt>
                <c:pt idx="92">
                  <c:v>7.6712328767123283</c:v>
                </c:pt>
                <c:pt idx="93">
                  <c:v>7.7534246575342465</c:v>
                </c:pt>
                <c:pt idx="94">
                  <c:v>7.838356164383562</c:v>
                </c:pt>
                <c:pt idx="95">
                  <c:v>7.9232876712328766</c:v>
                </c:pt>
                <c:pt idx="96">
                  <c:v>8.0054794520547947</c:v>
                </c:pt>
                <c:pt idx="97">
                  <c:v>8.0904109589041102</c:v>
                </c:pt>
                <c:pt idx="98">
                  <c:v>8.1726027397260275</c:v>
                </c:pt>
                <c:pt idx="99">
                  <c:v>8.257534246575343</c:v>
                </c:pt>
                <c:pt idx="100">
                  <c:v>8.3424657534246567</c:v>
                </c:pt>
                <c:pt idx="101">
                  <c:v>8.4219178082191775</c:v>
                </c:pt>
                <c:pt idx="102">
                  <c:v>8.506849315068493</c:v>
                </c:pt>
                <c:pt idx="103">
                  <c:v>8.5890410958904102</c:v>
                </c:pt>
                <c:pt idx="104">
                  <c:v>8.6739726027397257</c:v>
                </c:pt>
                <c:pt idx="105">
                  <c:v>8.7561643835616429</c:v>
                </c:pt>
                <c:pt idx="106">
                  <c:v>8.8410958904109584</c:v>
                </c:pt>
                <c:pt idx="107">
                  <c:v>8.9260273972602739</c:v>
                </c:pt>
                <c:pt idx="108">
                  <c:v>9.0082191780821912</c:v>
                </c:pt>
                <c:pt idx="109">
                  <c:v>9.0931506849315067</c:v>
                </c:pt>
                <c:pt idx="110">
                  <c:v>9.1753424657534239</c:v>
                </c:pt>
                <c:pt idx="111">
                  <c:v>9.2602739726027394</c:v>
                </c:pt>
                <c:pt idx="112">
                  <c:v>9.3452054794520549</c:v>
                </c:pt>
                <c:pt idx="113">
                  <c:v>9.4219178082191775</c:v>
                </c:pt>
                <c:pt idx="114">
                  <c:v>9.506849315068493</c:v>
                </c:pt>
                <c:pt idx="115">
                  <c:v>9.5890410958904102</c:v>
                </c:pt>
                <c:pt idx="116">
                  <c:v>9.6739726027397257</c:v>
                </c:pt>
                <c:pt idx="117">
                  <c:v>9.7561643835616429</c:v>
                </c:pt>
                <c:pt idx="118">
                  <c:v>9.8410958904109584</c:v>
                </c:pt>
                <c:pt idx="119">
                  <c:v>9.9260273972602739</c:v>
                </c:pt>
                <c:pt idx="120">
                  <c:v>10.008219178082191</c:v>
                </c:pt>
                <c:pt idx="121">
                  <c:v>10.093150684931507</c:v>
                </c:pt>
                <c:pt idx="122">
                  <c:v>10.175342465753424</c:v>
                </c:pt>
                <c:pt idx="123">
                  <c:v>10.260273972602739</c:v>
                </c:pt>
                <c:pt idx="124">
                  <c:v>10.345205479452055</c:v>
                </c:pt>
                <c:pt idx="125">
                  <c:v>10.421917808219177</c:v>
                </c:pt>
                <c:pt idx="126">
                  <c:v>10.506849315068493</c:v>
                </c:pt>
                <c:pt idx="127">
                  <c:v>10.58904109589041</c:v>
                </c:pt>
                <c:pt idx="128">
                  <c:v>10.673972602739726</c:v>
                </c:pt>
                <c:pt idx="129">
                  <c:v>10.756164383561643</c:v>
                </c:pt>
                <c:pt idx="130">
                  <c:v>10.841095890410958</c:v>
                </c:pt>
                <c:pt idx="131">
                  <c:v>10.926027397260274</c:v>
                </c:pt>
                <c:pt idx="132">
                  <c:v>11.008219178082191</c:v>
                </c:pt>
                <c:pt idx="133">
                  <c:v>11.093150684931507</c:v>
                </c:pt>
                <c:pt idx="134">
                  <c:v>11.175342465753424</c:v>
                </c:pt>
                <c:pt idx="135">
                  <c:v>11.260273972602739</c:v>
                </c:pt>
                <c:pt idx="136">
                  <c:v>11.345205479452055</c:v>
                </c:pt>
                <c:pt idx="137">
                  <c:v>11.421917808219177</c:v>
                </c:pt>
                <c:pt idx="138">
                  <c:v>11.506849315068493</c:v>
                </c:pt>
                <c:pt idx="139">
                  <c:v>11.58904109589041</c:v>
                </c:pt>
                <c:pt idx="140">
                  <c:v>11.673972602739726</c:v>
                </c:pt>
                <c:pt idx="141">
                  <c:v>11.756164383561643</c:v>
                </c:pt>
                <c:pt idx="142">
                  <c:v>11.841095890410958</c:v>
                </c:pt>
                <c:pt idx="143">
                  <c:v>11.926027397260274</c:v>
                </c:pt>
                <c:pt idx="144">
                  <c:v>12.008219178082191</c:v>
                </c:pt>
                <c:pt idx="145">
                  <c:v>12.093150684931507</c:v>
                </c:pt>
                <c:pt idx="146">
                  <c:v>12.175342465753424</c:v>
                </c:pt>
                <c:pt idx="147">
                  <c:v>12.260273972602739</c:v>
                </c:pt>
                <c:pt idx="148">
                  <c:v>12.345205479452055</c:v>
                </c:pt>
                <c:pt idx="149">
                  <c:v>12.424657534246576</c:v>
                </c:pt>
                <c:pt idx="150">
                  <c:v>12.509589041095891</c:v>
                </c:pt>
                <c:pt idx="151">
                  <c:v>12.591780821917808</c:v>
                </c:pt>
                <c:pt idx="152">
                  <c:v>12.676712328767124</c:v>
                </c:pt>
                <c:pt idx="153">
                  <c:v>12.758904109589041</c:v>
                </c:pt>
                <c:pt idx="154">
                  <c:v>12.843835616438357</c:v>
                </c:pt>
                <c:pt idx="155">
                  <c:v>12.92876712328767</c:v>
                </c:pt>
                <c:pt idx="156">
                  <c:v>13.010958904109589</c:v>
                </c:pt>
                <c:pt idx="157">
                  <c:v>13.095890410958905</c:v>
                </c:pt>
                <c:pt idx="158">
                  <c:v>13.178082191780822</c:v>
                </c:pt>
                <c:pt idx="159">
                  <c:v>13.263013698630138</c:v>
                </c:pt>
                <c:pt idx="160">
                  <c:v>13.347945205479451</c:v>
                </c:pt>
                <c:pt idx="161">
                  <c:v>13.424657534246576</c:v>
                </c:pt>
                <c:pt idx="162">
                  <c:v>13.509589041095891</c:v>
                </c:pt>
                <c:pt idx="163">
                  <c:v>13.591780821917808</c:v>
                </c:pt>
                <c:pt idx="164">
                  <c:v>13.676712328767124</c:v>
                </c:pt>
                <c:pt idx="165">
                  <c:v>13.758904109589041</c:v>
                </c:pt>
                <c:pt idx="166">
                  <c:v>13.843835616438357</c:v>
                </c:pt>
                <c:pt idx="167">
                  <c:v>13.92876712328767</c:v>
                </c:pt>
                <c:pt idx="168">
                  <c:v>14.010958904109589</c:v>
                </c:pt>
                <c:pt idx="169">
                  <c:v>14.095890410958905</c:v>
                </c:pt>
                <c:pt idx="170">
                  <c:v>14.178082191780822</c:v>
                </c:pt>
                <c:pt idx="171">
                  <c:v>14.263013698630138</c:v>
                </c:pt>
                <c:pt idx="172">
                  <c:v>14.347945205479451</c:v>
                </c:pt>
                <c:pt idx="173">
                  <c:v>14.424657534246576</c:v>
                </c:pt>
                <c:pt idx="174">
                  <c:v>14.509589041095891</c:v>
                </c:pt>
                <c:pt idx="175">
                  <c:v>14.591780821917808</c:v>
                </c:pt>
                <c:pt idx="176">
                  <c:v>14.676712328767124</c:v>
                </c:pt>
                <c:pt idx="177">
                  <c:v>14.758904109589041</c:v>
                </c:pt>
                <c:pt idx="178">
                  <c:v>14.843835616438357</c:v>
                </c:pt>
                <c:pt idx="179">
                  <c:v>14.92876712328767</c:v>
                </c:pt>
                <c:pt idx="180">
                  <c:v>15.010958904109589</c:v>
                </c:pt>
                <c:pt idx="181">
                  <c:v>15.095890410958905</c:v>
                </c:pt>
                <c:pt idx="182">
                  <c:v>15.178082191780822</c:v>
                </c:pt>
                <c:pt idx="183">
                  <c:v>15.263013698630138</c:v>
                </c:pt>
                <c:pt idx="184">
                  <c:v>15.347945205479451</c:v>
                </c:pt>
                <c:pt idx="185">
                  <c:v>15.424657534246576</c:v>
                </c:pt>
                <c:pt idx="186">
                  <c:v>15.509589041095891</c:v>
                </c:pt>
                <c:pt idx="187">
                  <c:v>15.591780821917808</c:v>
                </c:pt>
                <c:pt idx="188">
                  <c:v>15.676712328767124</c:v>
                </c:pt>
                <c:pt idx="189">
                  <c:v>15.758904109589041</c:v>
                </c:pt>
                <c:pt idx="190">
                  <c:v>15.843835616438357</c:v>
                </c:pt>
                <c:pt idx="191">
                  <c:v>15.92876712328767</c:v>
                </c:pt>
                <c:pt idx="192">
                  <c:v>16.010958904109589</c:v>
                </c:pt>
                <c:pt idx="193">
                  <c:v>16.095890410958905</c:v>
                </c:pt>
                <c:pt idx="194">
                  <c:v>16.17808219178082</c:v>
                </c:pt>
                <c:pt idx="195">
                  <c:v>16.263013698630136</c:v>
                </c:pt>
                <c:pt idx="196">
                  <c:v>16.347945205479451</c:v>
                </c:pt>
                <c:pt idx="197">
                  <c:v>16.427397260273974</c:v>
                </c:pt>
                <c:pt idx="198">
                  <c:v>16.512328767123286</c:v>
                </c:pt>
                <c:pt idx="199">
                  <c:v>16.594520547945205</c:v>
                </c:pt>
                <c:pt idx="200">
                  <c:v>16.67945205479452</c:v>
                </c:pt>
                <c:pt idx="201">
                  <c:v>16.761643835616439</c:v>
                </c:pt>
                <c:pt idx="202">
                  <c:v>16.846575342465755</c:v>
                </c:pt>
                <c:pt idx="203">
                  <c:v>16.931506849315067</c:v>
                </c:pt>
                <c:pt idx="204">
                  <c:v>17.013698630136986</c:v>
                </c:pt>
                <c:pt idx="205">
                  <c:v>17.098630136986301</c:v>
                </c:pt>
                <c:pt idx="206">
                  <c:v>17.18082191780822</c:v>
                </c:pt>
                <c:pt idx="207">
                  <c:v>17.265753424657536</c:v>
                </c:pt>
                <c:pt idx="208">
                  <c:v>17.350684931506848</c:v>
                </c:pt>
                <c:pt idx="209">
                  <c:v>17.427397260273974</c:v>
                </c:pt>
                <c:pt idx="210">
                  <c:v>17.512328767123286</c:v>
                </c:pt>
                <c:pt idx="211">
                  <c:v>17.594520547945205</c:v>
                </c:pt>
                <c:pt idx="212">
                  <c:v>17.67945205479452</c:v>
                </c:pt>
                <c:pt idx="213">
                  <c:v>17.761643835616439</c:v>
                </c:pt>
                <c:pt idx="214">
                  <c:v>17.846575342465755</c:v>
                </c:pt>
                <c:pt idx="215">
                  <c:v>17.931506849315067</c:v>
                </c:pt>
                <c:pt idx="216">
                  <c:v>18.013698630136986</c:v>
                </c:pt>
                <c:pt idx="217">
                  <c:v>18.098630136986301</c:v>
                </c:pt>
                <c:pt idx="218">
                  <c:v>18.18082191780822</c:v>
                </c:pt>
                <c:pt idx="219">
                  <c:v>18.265753424657536</c:v>
                </c:pt>
                <c:pt idx="220">
                  <c:v>18.350684931506848</c:v>
                </c:pt>
                <c:pt idx="221">
                  <c:v>18.427397260273974</c:v>
                </c:pt>
                <c:pt idx="222">
                  <c:v>18.512328767123286</c:v>
                </c:pt>
                <c:pt idx="223">
                  <c:v>18.594520547945205</c:v>
                </c:pt>
                <c:pt idx="224">
                  <c:v>18.67945205479452</c:v>
                </c:pt>
                <c:pt idx="225">
                  <c:v>18.761643835616439</c:v>
                </c:pt>
                <c:pt idx="226">
                  <c:v>18.846575342465755</c:v>
                </c:pt>
                <c:pt idx="227">
                  <c:v>18.931506849315067</c:v>
                </c:pt>
                <c:pt idx="228">
                  <c:v>19.013698630136986</c:v>
                </c:pt>
                <c:pt idx="229">
                  <c:v>19.098630136986301</c:v>
                </c:pt>
                <c:pt idx="230">
                  <c:v>19.18082191780822</c:v>
                </c:pt>
                <c:pt idx="231">
                  <c:v>19.265753424657536</c:v>
                </c:pt>
                <c:pt idx="232">
                  <c:v>19.350684931506848</c:v>
                </c:pt>
                <c:pt idx="233">
                  <c:v>19.427397260273974</c:v>
                </c:pt>
                <c:pt idx="234">
                  <c:v>19.512328767123286</c:v>
                </c:pt>
                <c:pt idx="235">
                  <c:v>19.594520547945205</c:v>
                </c:pt>
                <c:pt idx="236">
                  <c:v>19.67945205479452</c:v>
                </c:pt>
                <c:pt idx="237">
                  <c:v>19.761643835616439</c:v>
                </c:pt>
                <c:pt idx="238">
                  <c:v>19.846575342465755</c:v>
                </c:pt>
                <c:pt idx="239">
                  <c:v>19.931506849315067</c:v>
                </c:pt>
                <c:pt idx="240">
                  <c:v>20.013698630136986</c:v>
                </c:pt>
                <c:pt idx="241">
                  <c:v>20.098630136986301</c:v>
                </c:pt>
                <c:pt idx="242">
                  <c:v>20.18082191780822</c:v>
                </c:pt>
                <c:pt idx="243">
                  <c:v>20.265753424657536</c:v>
                </c:pt>
                <c:pt idx="244">
                  <c:v>20.350684931506848</c:v>
                </c:pt>
                <c:pt idx="245">
                  <c:v>20.43013698630137</c:v>
                </c:pt>
                <c:pt idx="246">
                  <c:v>20.515068493150686</c:v>
                </c:pt>
                <c:pt idx="247">
                  <c:v>20.597260273972601</c:v>
                </c:pt>
                <c:pt idx="248">
                  <c:v>20.682191780821917</c:v>
                </c:pt>
                <c:pt idx="249">
                  <c:v>20.764383561643836</c:v>
                </c:pt>
                <c:pt idx="250">
                  <c:v>20.849315068493151</c:v>
                </c:pt>
                <c:pt idx="251">
                  <c:v>20.934246575342467</c:v>
                </c:pt>
                <c:pt idx="252">
                  <c:v>21.016438356164382</c:v>
                </c:pt>
                <c:pt idx="253">
                  <c:v>21.101369863013698</c:v>
                </c:pt>
                <c:pt idx="254">
                  <c:v>21.183561643835617</c:v>
                </c:pt>
                <c:pt idx="255">
                  <c:v>21.268493150684932</c:v>
                </c:pt>
                <c:pt idx="256">
                  <c:v>21.353424657534248</c:v>
                </c:pt>
                <c:pt idx="257">
                  <c:v>21.43013698630137</c:v>
                </c:pt>
                <c:pt idx="258">
                  <c:v>21.515068493150686</c:v>
                </c:pt>
                <c:pt idx="259">
                  <c:v>21.597260273972601</c:v>
                </c:pt>
                <c:pt idx="260">
                  <c:v>21.682191780821917</c:v>
                </c:pt>
                <c:pt idx="261">
                  <c:v>21.764383561643836</c:v>
                </c:pt>
                <c:pt idx="262">
                  <c:v>21.849315068493151</c:v>
                </c:pt>
                <c:pt idx="263">
                  <c:v>21.934246575342467</c:v>
                </c:pt>
                <c:pt idx="264">
                  <c:v>22.016438356164382</c:v>
                </c:pt>
                <c:pt idx="265">
                  <c:v>22.101369863013698</c:v>
                </c:pt>
                <c:pt idx="266">
                  <c:v>22.183561643835617</c:v>
                </c:pt>
                <c:pt idx="267">
                  <c:v>22.268493150684932</c:v>
                </c:pt>
                <c:pt idx="268">
                  <c:v>22.353424657534248</c:v>
                </c:pt>
                <c:pt idx="269">
                  <c:v>22.43013698630137</c:v>
                </c:pt>
                <c:pt idx="270">
                  <c:v>22.515068493150686</c:v>
                </c:pt>
                <c:pt idx="271">
                  <c:v>22.597260273972601</c:v>
                </c:pt>
                <c:pt idx="272">
                  <c:v>22.682191780821917</c:v>
                </c:pt>
                <c:pt idx="273">
                  <c:v>22.764383561643836</c:v>
                </c:pt>
                <c:pt idx="274">
                  <c:v>22.849315068493151</c:v>
                </c:pt>
                <c:pt idx="275">
                  <c:v>22.934246575342467</c:v>
                </c:pt>
                <c:pt idx="276">
                  <c:v>23.016438356164382</c:v>
                </c:pt>
                <c:pt idx="277">
                  <c:v>23.101369863013698</c:v>
                </c:pt>
                <c:pt idx="278">
                  <c:v>23.183561643835617</c:v>
                </c:pt>
                <c:pt idx="279">
                  <c:v>23.268493150684932</c:v>
                </c:pt>
                <c:pt idx="280">
                  <c:v>23.353424657534248</c:v>
                </c:pt>
                <c:pt idx="281">
                  <c:v>23.43013698630137</c:v>
                </c:pt>
                <c:pt idx="282">
                  <c:v>23.515068493150686</c:v>
                </c:pt>
                <c:pt idx="283">
                  <c:v>23.597260273972601</c:v>
                </c:pt>
                <c:pt idx="284">
                  <c:v>23.682191780821917</c:v>
                </c:pt>
                <c:pt idx="285">
                  <c:v>23.764383561643836</c:v>
                </c:pt>
                <c:pt idx="286">
                  <c:v>23.849315068493151</c:v>
                </c:pt>
                <c:pt idx="287">
                  <c:v>23.934246575342467</c:v>
                </c:pt>
                <c:pt idx="288">
                  <c:v>24.016438356164382</c:v>
                </c:pt>
                <c:pt idx="289">
                  <c:v>24.101369863013698</c:v>
                </c:pt>
                <c:pt idx="290">
                  <c:v>24.183561643835617</c:v>
                </c:pt>
                <c:pt idx="291">
                  <c:v>24.268493150684932</c:v>
                </c:pt>
                <c:pt idx="292">
                  <c:v>24.353424657534248</c:v>
                </c:pt>
                <c:pt idx="293">
                  <c:v>24.432876712328767</c:v>
                </c:pt>
                <c:pt idx="294">
                  <c:v>24.517808219178082</c:v>
                </c:pt>
                <c:pt idx="295">
                  <c:v>24.6</c:v>
                </c:pt>
                <c:pt idx="296">
                  <c:v>24.684931506849313</c:v>
                </c:pt>
                <c:pt idx="297">
                  <c:v>24.767123287671232</c:v>
                </c:pt>
                <c:pt idx="298">
                  <c:v>24.852054794520548</c:v>
                </c:pt>
                <c:pt idx="299">
                  <c:v>24.936986301369863</c:v>
                </c:pt>
                <c:pt idx="300">
                  <c:v>25.019178082191782</c:v>
                </c:pt>
                <c:pt idx="301">
                  <c:v>25.104109589041094</c:v>
                </c:pt>
                <c:pt idx="302">
                  <c:v>25.186301369863013</c:v>
                </c:pt>
                <c:pt idx="303">
                  <c:v>25.271232876712329</c:v>
                </c:pt>
                <c:pt idx="304">
                  <c:v>25.356164383561644</c:v>
                </c:pt>
                <c:pt idx="305">
                  <c:v>25.432876712328767</c:v>
                </c:pt>
                <c:pt idx="306">
                  <c:v>25.517808219178082</c:v>
                </c:pt>
                <c:pt idx="307">
                  <c:v>25.6</c:v>
                </c:pt>
                <c:pt idx="308">
                  <c:v>25.684931506849313</c:v>
                </c:pt>
                <c:pt idx="309">
                  <c:v>25.767123287671232</c:v>
                </c:pt>
                <c:pt idx="310">
                  <c:v>25.852054794520548</c:v>
                </c:pt>
                <c:pt idx="311">
                  <c:v>25.936986301369863</c:v>
                </c:pt>
                <c:pt idx="312">
                  <c:v>26.019178082191782</c:v>
                </c:pt>
                <c:pt idx="313">
                  <c:v>26.104109589041094</c:v>
                </c:pt>
                <c:pt idx="314">
                  <c:v>26.186301369863013</c:v>
                </c:pt>
                <c:pt idx="315">
                  <c:v>26.271232876712329</c:v>
                </c:pt>
                <c:pt idx="316">
                  <c:v>26.356164383561644</c:v>
                </c:pt>
                <c:pt idx="317">
                  <c:v>26.432876712328767</c:v>
                </c:pt>
                <c:pt idx="318">
                  <c:v>26.517808219178082</c:v>
                </c:pt>
                <c:pt idx="319">
                  <c:v>26.6</c:v>
                </c:pt>
                <c:pt idx="320">
                  <c:v>26.684931506849313</c:v>
                </c:pt>
                <c:pt idx="321">
                  <c:v>26.767123287671232</c:v>
                </c:pt>
                <c:pt idx="322">
                  <c:v>26.852054794520548</c:v>
                </c:pt>
                <c:pt idx="323">
                  <c:v>26.936986301369863</c:v>
                </c:pt>
                <c:pt idx="324">
                  <c:v>27.019178082191782</c:v>
                </c:pt>
                <c:pt idx="325">
                  <c:v>27.104109589041094</c:v>
                </c:pt>
                <c:pt idx="326">
                  <c:v>27.186301369863013</c:v>
                </c:pt>
                <c:pt idx="327">
                  <c:v>27.271232876712329</c:v>
                </c:pt>
                <c:pt idx="328">
                  <c:v>27.356164383561644</c:v>
                </c:pt>
                <c:pt idx="329">
                  <c:v>27.432876712328767</c:v>
                </c:pt>
                <c:pt idx="330">
                  <c:v>27.517808219178082</c:v>
                </c:pt>
                <c:pt idx="331">
                  <c:v>27.6</c:v>
                </c:pt>
                <c:pt idx="332">
                  <c:v>27.684931506849313</c:v>
                </c:pt>
                <c:pt idx="333">
                  <c:v>27.767123287671232</c:v>
                </c:pt>
                <c:pt idx="334">
                  <c:v>27.852054794520548</c:v>
                </c:pt>
                <c:pt idx="335">
                  <c:v>27.936986301369863</c:v>
                </c:pt>
                <c:pt idx="336">
                  <c:v>28.019178082191782</c:v>
                </c:pt>
                <c:pt idx="337">
                  <c:v>28.104109589041094</c:v>
                </c:pt>
                <c:pt idx="338">
                  <c:v>28.186301369863013</c:v>
                </c:pt>
                <c:pt idx="339">
                  <c:v>28.271232876712329</c:v>
                </c:pt>
                <c:pt idx="340">
                  <c:v>28.356164383561644</c:v>
                </c:pt>
                <c:pt idx="341">
                  <c:v>28.435616438356163</c:v>
                </c:pt>
                <c:pt idx="342">
                  <c:v>28.520547945205479</c:v>
                </c:pt>
                <c:pt idx="343">
                  <c:v>28.602739726027398</c:v>
                </c:pt>
                <c:pt idx="344">
                  <c:v>28.687671232876713</c:v>
                </c:pt>
                <c:pt idx="345">
                  <c:v>28.769863013698629</c:v>
                </c:pt>
                <c:pt idx="346">
                  <c:v>28.854794520547944</c:v>
                </c:pt>
                <c:pt idx="347">
                  <c:v>28.93972602739726</c:v>
                </c:pt>
                <c:pt idx="348">
                  <c:v>29.021917808219179</c:v>
                </c:pt>
                <c:pt idx="349">
                  <c:v>29.106849315068494</c:v>
                </c:pt>
                <c:pt idx="350">
                  <c:v>29.18904109589041</c:v>
                </c:pt>
                <c:pt idx="351">
                  <c:v>29.273972602739725</c:v>
                </c:pt>
                <c:pt idx="352">
                  <c:v>29.358904109589041</c:v>
                </c:pt>
                <c:pt idx="353">
                  <c:v>29.435616438356163</c:v>
                </c:pt>
                <c:pt idx="354">
                  <c:v>29.520547945205479</c:v>
                </c:pt>
                <c:pt idx="355">
                  <c:v>29.602739726027398</c:v>
                </c:pt>
                <c:pt idx="356">
                  <c:v>29.687671232876713</c:v>
                </c:pt>
                <c:pt idx="357">
                  <c:v>29.769863013698629</c:v>
                </c:pt>
                <c:pt idx="358">
                  <c:v>29.854794520547944</c:v>
                </c:pt>
                <c:pt idx="359">
                  <c:v>29.93972602739726</c:v>
                </c:pt>
                <c:pt idx="360">
                  <c:v>30.021917808219179</c:v>
                </c:pt>
              </c:numCache>
            </c:numRef>
          </c:xVal>
          <c:yVal>
            <c:numRef>
              <c:f>YieldCurve!$D$26:$D$386</c:f>
              <c:numCache>
                <c:formatCode>0.00%</c:formatCode>
                <c:ptCount val="361"/>
                <c:pt idx="0">
                  <c:v>2.7000000001030824E-2</c:v>
                </c:pt>
                <c:pt idx="1">
                  <c:v>2.7000000001030824E-2</c:v>
                </c:pt>
                <c:pt idx="2">
                  <c:v>2.6999999998810389E-2</c:v>
                </c:pt>
                <c:pt idx="3">
                  <c:v>2.6999999998810389E-2</c:v>
                </c:pt>
                <c:pt idx="4">
                  <c:v>2.7000000001030824E-2</c:v>
                </c:pt>
                <c:pt idx="5">
                  <c:v>2.7000000001030824E-2</c:v>
                </c:pt>
                <c:pt idx="6">
                  <c:v>2.7000000001030824E-2</c:v>
                </c:pt>
                <c:pt idx="7">
                  <c:v>2.6999999998810389E-2</c:v>
                </c:pt>
                <c:pt idx="8">
                  <c:v>2.6999999998810389E-2</c:v>
                </c:pt>
                <c:pt idx="9">
                  <c:v>2.7000000001030824E-2</c:v>
                </c:pt>
                <c:pt idx="10">
                  <c:v>2.6999999998810389E-2</c:v>
                </c:pt>
                <c:pt idx="11">
                  <c:v>2.7000000001030824E-2</c:v>
                </c:pt>
                <c:pt idx="12">
                  <c:v>2.7000006249349139E-2</c:v>
                </c:pt>
                <c:pt idx="13">
                  <c:v>2.7042465752661879E-2</c:v>
                </c:pt>
                <c:pt idx="14">
                  <c:v>2.708356164360071E-2</c:v>
                </c:pt>
                <c:pt idx="15">
                  <c:v>2.7126027397097355E-2</c:v>
                </c:pt>
                <c:pt idx="16">
                  <c:v>2.7168493150413663E-2</c:v>
                </c:pt>
                <c:pt idx="17">
                  <c:v>2.7206849315403885E-2</c:v>
                </c:pt>
                <c:pt idx="18">
                  <c:v>2.7249315068376977E-2</c:v>
                </c:pt>
                <c:pt idx="19">
                  <c:v>2.7290410958465742E-2</c:v>
                </c:pt>
                <c:pt idx="20">
                  <c:v>2.7332876713304421E-2</c:v>
                </c:pt>
                <c:pt idx="21">
                  <c:v>2.7373972603049787E-2</c:v>
                </c:pt>
                <c:pt idx="22">
                  <c:v>2.7416438355313179E-2</c:v>
                </c:pt>
                <c:pt idx="23">
                  <c:v>2.7458904109616673E-2</c:v>
                </c:pt>
                <c:pt idx="24">
                  <c:v>2.7500000001064555E-2</c:v>
                </c:pt>
                <c:pt idx="25">
                  <c:v>2.7542465752792764E-2</c:v>
                </c:pt>
                <c:pt idx="26">
                  <c:v>2.7583561643897241E-2</c:v>
                </c:pt>
                <c:pt idx="27">
                  <c:v>2.7626027397491034E-2</c:v>
                </c:pt>
                <c:pt idx="28">
                  <c:v>2.7668493150904493E-2</c:v>
                </c:pt>
                <c:pt idx="29">
                  <c:v>2.7706849316197345E-2</c:v>
                </c:pt>
                <c:pt idx="30">
                  <c:v>2.7749315069267588E-2</c:v>
                </c:pt>
                <c:pt idx="31">
                  <c:v>2.7790410959522005E-2</c:v>
                </c:pt>
                <c:pt idx="32">
                  <c:v>2.7832876712237397E-2</c:v>
                </c:pt>
                <c:pt idx="33">
                  <c:v>2.7873972602148404E-2</c:v>
                </c:pt>
                <c:pt idx="34">
                  <c:v>2.7916438356729387E-2</c:v>
                </c:pt>
                <c:pt idx="35">
                  <c:v>2.7958904108909593E-2</c:v>
                </c:pt>
                <c:pt idx="36">
                  <c:v>2.8000018878702574E-2</c:v>
                </c:pt>
                <c:pt idx="37">
                  <c:v>2.8170735448623849E-2</c:v>
                </c:pt>
                <c:pt idx="38">
                  <c:v>2.8335963301714107E-2</c:v>
                </c:pt>
                <c:pt idx="39">
                  <c:v>2.8506698750740064E-2</c:v>
                </c:pt>
                <c:pt idx="40">
                  <c:v>2.8677434196850964E-2</c:v>
                </c:pt>
                <c:pt idx="41">
                  <c:v>2.8831646862368259E-2</c:v>
                </c:pt>
                <c:pt idx="42">
                  <c:v>2.9002382309592459E-2</c:v>
                </c:pt>
                <c:pt idx="43">
                  <c:v>2.9167610162264233E-2</c:v>
                </c:pt>
                <c:pt idx="44">
                  <c:v>2.9338345610413673E-2</c:v>
                </c:pt>
                <c:pt idx="45">
                  <c:v>2.9503573464195715E-2</c:v>
                </c:pt>
                <c:pt idx="46">
                  <c:v>2.9674308913270386E-2</c:v>
                </c:pt>
                <c:pt idx="47">
                  <c:v>2.9845044359430001E-2</c:v>
                </c:pt>
                <c:pt idx="48">
                  <c:v>3.0010291327263957E-2</c:v>
                </c:pt>
                <c:pt idx="49">
                  <c:v>3.0310880828786951E-2</c:v>
                </c:pt>
                <c:pt idx="50">
                  <c:v>3.0601792390240381E-2</c:v>
                </c:pt>
                <c:pt idx="51">
                  <c:v>3.0902401005287516E-2</c:v>
                </c:pt>
                <c:pt idx="52">
                  <c:v>3.1203009617959413E-2</c:v>
                </c:pt>
                <c:pt idx="53">
                  <c:v>3.1484224127503749E-2</c:v>
                </c:pt>
                <c:pt idx="54">
                  <c:v>3.1784832742669494E-2</c:v>
                </c:pt>
                <c:pt idx="55">
                  <c:v>3.2075744303432296E-2</c:v>
                </c:pt>
                <c:pt idx="56">
                  <c:v>3.2376352918579952E-2</c:v>
                </c:pt>
                <c:pt idx="57">
                  <c:v>3.2667264479898261E-2</c:v>
                </c:pt>
                <c:pt idx="58">
                  <c:v>3.2967873095027814E-2</c:v>
                </c:pt>
                <c:pt idx="59">
                  <c:v>3.3268481707782134E-2</c:v>
                </c:pt>
                <c:pt idx="60">
                  <c:v>3.3559389024314053E-2</c:v>
                </c:pt>
                <c:pt idx="61">
                  <c:v>3.383115085202381E-2</c:v>
                </c:pt>
                <c:pt idx="62">
                  <c:v>3.4094142062484643E-2</c:v>
                </c:pt>
                <c:pt idx="63">
                  <c:v>3.4365899643506233E-2</c:v>
                </c:pt>
                <c:pt idx="64">
                  <c:v>3.4637657226024347E-2</c:v>
                </c:pt>
                <c:pt idx="65">
                  <c:v>3.4883115685675113E-2</c:v>
                </c:pt>
                <c:pt idx="66">
                  <c:v>3.5154873267460127E-2</c:v>
                </c:pt>
                <c:pt idx="67">
                  <c:v>3.5417864476414804E-2</c:v>
                </c:pt>
                <c:pt idx="68">
                  <c:v>3.5689622059210675E-2</c:v>
                </c:pt>
                <c:pt idx="69">
                  <c:v>3.5952613267424563E-2</c:v>
                </c:pt>
                <c:pt idx="70">
                  <c:v>3.622437084901086E-2</c:v>
                </c:pt>
                <c:pt idx="71">
                  <c:v>3.6496128429873258E-2</c:v>
                </c:pt>
                <c:pt idx="72">
                  <c:v>3.6759116426107491E-2</c:v>
                </c:pt>
                <c:pt idx="73">
                  <c:v>3.7009045867336096E-2</c:v>
                </c:pt>
                <c:pt idx="74">
                  <c:v>3.725090995955161E-2</c:v>
                </c:pt>
                <c:pt idx="75">
                  <c:v>3.7500836186617648E-2</c:v>
                </c:pt>
                <c:pt idx="76">
                  <c:v>3.7750762411878247E-2</c:v>
                </c:pt>
                <c:pt idx="77">
                  <c:v>3.7976502229964904E-2</c:v>
                </c:pt>
                <c:pt idx="78">
                  <c:v>3.8226428458880427E-2</c:v>
                </c:pt>
                <c:pt idx="79">
                  <c:v>3.8468292548297083E-2</c:v>
                </c:pt>
                <c:pt idx="80">
                  <c:v>3.87182187782441E-2</c:v>
                </c:pt>
                <c:pt idx="81">
                  <c:v>3.8960082869088732E-2</c:v>
                </c:pt>
                <c:pt idx="82">
                  <c:v>3.9210009095626372E-2</c:v>
                </c:pt>
                <c:pt idx="83">
                  <c:v>3.9459935322579014E-2</c:v>
                </c:pt>
                <c:pt idx="84">
                  <c:v>3.970179686862662E-2</c:v>
                </c:pt>
                <c:pt idx="85">
                  <c:v>3.9934438241049253E-2</c:v>
                </c:pt>
                <c:pt idx="86">
                  <c:v>4.0159572587673692E-2</c:v>
                </c:pt>
                <c:pt idx="87">
                  <c:v>4.0392211413707427E-2</c:v>
                </c:pt>
                <c:pt idx="88">
                  <c:v>4.0624850238769952E-2</c:v>
                </c:pt>
                <c:pt idx="89">
                  <c:v>4.083497562822181E-2</c:v>
                </c:pt>
                <c:pt idx="90">
                  <c:v>4.1067614454086111E-2</c:v>
                </c:pt>
                <c:pt idx="91">
                  <c:v>4.1292748804064534E-2</c:v>
                </c:pt>
                <c:pt idx="92">
                  <c:v>4.1525387628160992E-2</c:v>
                </c:pt>
                <c:pt idx="93">
                  <c:v>4.1750521976715117E-2</c:v>
                </c:pt>
                <c:pt idx="94">
                  <c:v>4.1983160801264185E-2</c:v>
                </c:pt>
                <c:pt idx="95">
                  <c:v>4.2215799627062484E-2</c:v>
                </c:pt>
                <c:pt idx="96">
                  <c:v>4.2440931892846569E-2</c:v>
                </c:pt>
                <c:pt idx="97">
                  <c:v>4.2659425472302621E-2</c:v>
                </c:pt>
                <c:pt idx="98">
                  <c:v>4.2870868854584153E-2</c:v>
                </c:pt>
                <c:pt idx="99">
                  <c:v>4.3089360352979132E-2</c:v>
                </c:pt>
                <c:pt idx="100">
                  <c:v>4.3307851846600257E-2</c:v>
                </c:pt>
                <c:pt idx="101">
                  <c:v>4.3512247119314777E-2</c:v>
                </c:pt>
                <c:pt idx="102">
                  <c:v>4.3730738617018802E-2</c:v>
                </c:pt>
                <c:pt idx="103">
                  <c:v>4.3942181998852491E-2</c:v>
                </c:pt>
                <c:pt idx="104">
                  <c:v>4.4160673493824111E-2</c:v>
                </c:pt>
                <c:pt idx="105">
                  <c:v>4.4372116879889727E-2</c:v>
                </c:pt>
                <c:pt idx="106">
                  <c:v>4.4590608374349389E-2</c:v>
                </c:pt>
                <c:pt idx="107">
                  <c:v>4.4809099872916931E-2</c:v>
                </c:pt>
                <c:pt idx="108">
                  <c:v>4.5020541513331874E-2</c:v>
                </c:pt>
                <c:pt idx="109">
                  <c:v>4.5227191048696026E-2</c:v>
                </c:pt>
                <c:pt idx="110">
                  <c:v>4.5427172788231725E-2</c:v>
                </c:pt>
                <c:pt idx="111">
                  <c:v>4.563382058325284E-2</c:v>
                </c:pt>
                <c:pt idx="112">
                  <c:v>4.5840468378444493E-2</c:v>
                </c:pt>
                <c:pt idx="113">
                  <c:v>4.6027118000606722E-2</c:v>
                </c:pt>
                <c:pt idx="114">
                  <c:v>4.6233765796552716E-2</c:v>
                </c:pt>
                <c:pt idx="115">
                  <c:v>4.6433747531501819E-2</c:v>
                </c:pt>
                <c:pt idx="116">
                  <c:v>4.6640395325706199E-2</c:v>
                </c:pt>
                <c:pt idx="117">
                  <c:v>4.6840377063625635E-2</c:v>
                </c:pt>
                <c:pt idx="118">
                  <c:v>4.7047024858308854E-2</c:v>
                </c:pt>
                <c:pt idx="119">
                  <c:v>4.7253672653162611E-2</c:v>
                </c:pt>
                <c:pt idx="120">
                  <c:v>4.745362426749164E-2</c:v>
                </c:pt>
                <c:pt idx="121">
                  <c:v>4.7455622492919985E-2</c:v>
                </c:pt>
                <c:pt idx="122">
                  <c:v>4.7457527107007201E-2</c:v>
                </c:pt>
                <c:pt idx="123">
                  <c:v>4.7459495205565749E-2</c:v>
                </c:pt>
                <c:pt idx="124">
                  <c:v>4.746146330856478E-2</c:v>
                </c:pt>
                <c:pt idx="125">
                  <c:v>4.7463240949266669E-2</c:v>
                </c:pt>
                <c:pt idx="126">
                  <c:v>4.7465209050044525E-2</c:v>
                </c:pt>
                <c:pt idx="127">
                  <c:v>4.7467113664129916E-2</c:v>
                </c:pt>
                <c:pt idx="128">
                  <c:v>4.7469081764907016E-2</c:v>
                </c:pt>
                <c:pt idx="129">
                  <c:v>4.7470986378991664E-2</c:v>
                </c:pt>
                <c:pt idx="130">
                  <c:v>4.7472954479768001E-2</c:v>
                </c:pt>
                <c:pt idx="131">
                  <c:v>4.7474922582764388E-2</c:v>
                </c:pt>
                <c:pt idx="132">
                  <c:v>4.7476827194627494E-2</c:v>
                </c:pt>
                <c:pt idx="133">
                  <c:v>4.7478795297623111E-2</c:v>
                </c:pt>
                <c:pt idx="134">
                  <c:v>4.7480699911705906E-2</c:v>
                </c:pt>
                <c:pt idx="135">
                  <c:v>4.7482668010259903E-2</c:v>
                </c:pt>
                <c:pt idx="136">
                  <c:v>4.7484636113254375E-2</c:v>
                </c:pt>
                <c:pt idx="137">
                  <c:v>4.7486413751731703E-2</c:v>
                </c:pt>
                <c:pt idx="138">
                  <c:v>4.7488381856945872E-2</c:v>
                </c:pt>
                <c:pt idx="139">
                  <c:v>4.749028646880641E-2</c:v>
                </c:pt>
                <c:pt idx="140">
                  <c:v>4.7492254569578951E-2</c:v>
                </c:pt>
                <c:pt idx="141">
                  <c:v>4.7494159183659179E-2</c:v>
                </c:pt>
                <c:pt idx="142">
                  <c:v>4.7496127284430964E-2</c:v>
                </c:pt>
                <c:pt idx="143">
                  <c:v>4.7498095387422785E-2</c:v>
                </c:pt>
                <c:pt idx="144">
                  <c:v>4.7499997627856352E-2</c:v>
                </c:pt>
                <c:pt idx="145">
                  <c:v>4.7485857665863766E-2</c:v>
                </c:pt>
                <c:pt idx="146">
                  <c:v>4.7472171534223874E-2</c:v>
                </c:pt>
                <c:pt idx="147">
                  <c:v>4.745802919632594E-2</c:v>
                </c:pt>
                <c:pt idx="148">
                  <c:v>4.7443886860628441E-2</c:v>
                </c:pt>
                <c:pt idx="149">
                  <c:v>4.7430656932951239E-2</c:v>
                </c:pt>
                <c:pt idx="150">
                  <c:v>4.7416514597215034E-2</c:v>
                </c:pt>
                <c:pt idx="151">
                  <c:v>4.7402828467700671E-2</c:v>
                </c:pt>
                <c:pt idx="152">
                  <c:v>4.7388686129704663E-2</c:v>
                </c:pt>
                <c:pt idx="153">
                  <c:v>4.7375000000152219E-2</c:v>
                </c:pt>
                <c:pt idx="154">
                  <c:v>4.7360857664337293E-2</c:v>
                </c:pt>
                <c:pt idx="155">
                  <c:v>4.7346715328502376E-2</c:v>
                </c:pt>
                <c:pt idx="156">
                  <c:v>4.7333029198892485E-2</c:v>
                </c:pt>
                <c:pt idx="157">
                  <c:v>4.7318886860797771E-2</c:v>
                </c:pt>
                <c:pt idx="158">
                  <c:v>4.7305200731149785E-2</c:v>
                </c:pt>
                <c:pt idx="159">
                  <c:v>4.7291058393015721E-2</c:v>
                </c:pt>
                <c:pt idx="160">
                  <c:v>4.7276916059302516E-2</c:v>
                </c:pt>
                <c:pt idx="161">
                  <c:v>4.7264142335432163E-2</c:v>
                </c:pt>
                <c:pt idx="162">
                  <c:v>4.724999999946046E-2</c:v>
                </c:pt>
                <c:pt idx="163">
                  <c:v>4.7236313867497763E-2</c:v>
                </c:pt>
                <c:pt idx="164">
                  <c:v>4.7222171533707141E-2</c:v>
                </c:pt>
                <c:pt idx="165">
                  <c:v>4.7208485401706364E-2</c:v>
                </c:pt>
                <c:pt idx="166">
                  <c:v>4.7194343065655946E-2</c:v>
                </c:pt>
                <c:pt idx="167">
                  <c:v>4.7180200729585536E-2</c:v>
                </c:pt>
                <c:pt idx="168">
                  <c:v>4.7166514597527312E-2</c:v>
                </c:pt>
                <c:pt idx="169">
                  <c:v>4.7152372263637984E-2</c:v>
                </c:pt>
                <c:pt idx="170">
                  <c:v>4.7138686131541679E-2</c:v>
                </c:pt>
                <c:pt idx="171">
                  <c:v>4.7124543793172109E-2</c:v>
                </c:pt>
                <c:pt idx="172">
                  <c:v>4.7110401461443858E-2</c:v>
                </c:pt>
                <c:pt idx="173">
                  <c:v>4.7097627739581233E-2</c:v>
                </c:pt>
                <c:pt idx="174">
                  <c:v>4.7083485398933166E-2</c:v>
                </c:pt>
                <c:pt idx="175">
                  <c:v>4.7069799268963014E-2</c:v>
                </c:pt>
                <c:pt idx="176">
                  <c:v>4.7055656932716468E-2</c:v>
                </c:pt>
                <c:pt idx="177">
                  <c:v>4.7041970804928661E-2</c:v>
                </c:pt>
                <c:pt idx="178">
                  <c:v>4.7027828466422325E-2</c:v>
                </c:pt>
                <c:pt idx="179">
                  <c:v>4.7013686132336863E-2</c:v>
                </c:pt>
                <c:pt idx="180">
                  <c:v>4.6999997082398347E-2</c:v>
                </c:pt>
                <c:pt idx="181">
                  <c:v>4.6966046000093235E-2</c:v>
                </c:pt>
                <c:pt idx="182">
                  <c:v>4.693318729206622E-2</c:v>
                </c:pt>
                <c:pt idx="183">
                  <c:v>4.6899233296322729E-2</c:v>
                </c:pt>
                <c:pt idx="184">
                  <c:v>4.6865279298243509E-2</c:v>
                </c:pt>
                <c:pt idx="185">
                  <c:v>4.6834611171778201E-2</c:v>
                </c:pt>
                <c:pt idx="186">
                  <c:v>4.6800657173479573E-2</c:v>
                </c:pt>
                <c:pt idx="187">
                  <c:v>4.6767798464909104E-2</c:v>
                </c:pt>
                <c:pt idx="188">
                  <c:v>4.6733844468604055E-2</c:v>
                </c:pt>
                <c:pt idx="189">
                  <c:v>4.6700985762034478E-2</c:v>
                </c:pt>
                <c:pt idx="190">
                  <c:v>4.6667031765502569E-2</c:v>
                </c:pt>
                <c:pt idx="191">
                  <c:v>4.6633077766634938E-2</c:v>
                </c:pt>
                <c:pt idx="192">
                  <c:v>4.6600219057513825E-2</c:v>
                </c:pt>
                <c:pt idx="193">
                  <c:v>4.6566265062860206E-2</c:v>
                </c:pt>
                <c:pt idx="194">
                  <c:v>4.6533406351299121E-2</c:v>
                </c:pt>
                <c:pt idx="195">
                  <c:v>4.6499452354198216E-2</c:v>
                </c:pt>
                <c:pt idx="196">
                  <c:v>4.6465498356982014E-2</c:v>
                </c:pt>
                <c:pt idx="197">
                  <c:v>4.6433734939410741E-2</c:v>
                </c:pt>
                <c:pt idx="198">
                  <c:v>4.6399780939750973E-2</c:v>
                </c:pt>
                <c:pt idx="199">
                  <c:v>4.6366922236524583E-2</c:v>
                </c:pt>
                <c:pt idx="200">
                  <c:v>4.6332968236637961E-2</c:v>
                </c:pt>
                <c:pt idx="201">
                  <c:v>4.630010952875116E-2</c:v>
                </c:pt>
                <c:pt idx="202">
                  <c:v>4.6266155530858118E-2</c:v>
                </c:pt>
                <c:pt idx="203">
                  <c:v>4.623220153062934E-2</c:v>
                </c:pt>
                <c:pt idx="204">
                  <c:v>4.6199342824631881E-2</c:v>
                </c:pt>
                <c:pt idx="205">
                  <c:v>4.6165388826396689E-2</c:v>
                </c:pt>
                <c:pt idx="206">
                  <c:v>4.6132530122400123E-2</c:v>
                </c:pt>
                <c:pt idx="207">
                  <c:v>4.609857612393807E-2</c:v>
                </c:pt>
                <c:pt idx="208">
                  <c:v>4.6064622125360735E-2</c:v>
                </c:pt>
                <c:pt idx="209">
                  <c:v>4.6033953996439982E-2</c:v>
                </c:pt>
                <c:pt idx="210">
                  <c:v>4.5999999997643232E-2</c:v>
                </c:pt>
                <c:pt idx="211">
                  <c:v>4.5967141293103218E-2</c:v>
                </c:pt>
                <c:pt idx="212">
                  <c:v>4.5933187294079608E-2</c:v>
                </c:pt>
                <c:pt idx="213">
                  <c:v>4.5900328584879184E-2</c:v>
                </c:pt>
                <c:pt idx="214">
                  <c:v>4.5866374590069592E-2</c:v>
                </c:pt>
                <c:pt idx="215">
                  <c:v>4.5832420592924278E-2</c:v>
                </c:pt>
                <c:pt idx="216">
                  <c:v>4.5799561881172311E-2</c:v>
                </c:pt>
                <c:pt idx="217">
                  <c:v>4.5765607886020569E-2</c:v>
                </c:pt>
                <c:pt idx="218">
                  <c:v>4.5732749178489941E-2</c:v>
                </c:pt>
                <c:pt idx="219">
                  <c:v>4.5698795180890921E-2</c:v>
                </c:pt>
                <c:pt idx="220">
                  <c:v>4.5664841183176604E-2</c:v>
                </c:pt>
                <c:pt idx="221">
                  <c:v>4.5634173055250221E-2</c:v>
                </c:pt>
                <c:pt idx="222">
                  <c:v>4.5600219059536928E-2</c:v>
                </c:pt>
                <c:pt idx="223">
                  <c:v>4.5567360351462853E-2</c:v>
                </c:pt>
                <c:pt idx="224">
                  <c:v>4.5533406351081829E-2</c:v>
                </c:pt>
                <c:pt idx="225">
                  <c:v>4.5500547645008646E-2</c:v>
                </c:pt>
                <c:pt idx="226">
                  <c:v>4.546659364884164E-2</c:v>
                </c:pt>
                <c:pt idx="227">
                  <c:v>4.5432639648118472E-2</c:v>
                </c:pt>
                <c:pt idx="228">
                  <c:v>4.539978094171418E-2</c:v>
                </c:pt>
                <c:pt idx="229">
                  <c:v>4.5365826942984598E-2</c:v>
                </c:pt>
                <c:pt idx="230">
                  <c:v>4.5332968236360772E-2</c:v>
                </c:pt>
                <c:pt idx="231">
                  <c:v>4.529901423962477E-2</c:v>
                </c:pt>
                <c:pt idx="232">
                  <c:v>4.5265060242773478E-2</c:v>
                </c:pt>
                <c:pt idx="233">
                  <c:v>4.5234392113621034E-2</c:v>
                </c:pt>
                <c:pt idx="234">
                  <c:v>4.5200438116550327E-2</c:v>
                </c:pt>
                <c:pt idx="235">
                  <c:v>4.5167579407162615E-2</c:v>
                </c:pt>
                <c:pt idx="236">
                  <c:v>4.5133625409865048E-2</c:v>
                </c:pt>
                <c:pt idx="237">
                  <c:v>4.5100766702478243E-2</c:v>
                </c:pt>
                <c:pt idx="238">
                  <c:v>4.5066812704953822E-2</c:v>
                </c:pt>
                <c:pt idx="239">
                  <c:v>4.5032858707314112E-2</c:v>
                </c:pt>
                <c:pt idx="240">
                  <c:v>4.5000000001816629E-2</c:v>
                </c:pt>
                <c:pt idx="241">
                  <c:v>4.4966064586779493E-2</c:v>
                </c:pt>
                <c:pt idx="242">
                  <c:v>4.4933223866594721E-2</c:v>
                </c:pt>
                <c:pt idx="243">
                  <c:v>4.4899288449110529E-2</c:v>
                </c:pt>
                <c:pt idx="244">
                  <c:v>4.4865353035952064E-2</c:v>
                </c:pt>
                <c:pt idx="245">
                  <c:v>4.4833607005974108E-2</c:v>
                </c:pt>
                <c:pt idx="246">
                  <c:v>4.4799671592592745E-2</c:v>
                </c:pt>
                <c:pt idx="247">
                  <c:v>4.4766830869641082E-2</c:v>
                </c:pt>
                <c:pt idx="248">
                  <c:v>4.4732895456033116E-2</c:v>
                </c:pt>
                <c:pt idx="249">
                  <c:v>4.4700054732862156E-2</c:v>
                </c:pt>
                <c:pt idx="250">
                  <c:v>4.4666119321248011E-2</c:v>
                </c:pt>
                <c:pt idx="251">
                  <c:v>4.463218390729827E-2</c:v>
                </c:pt>
                <c:pt idx="252">
                  <c:v>4.4599343186017014E-2</c:v>
                </c:pt>
                <c:pt idx="253">
                  <c:v>4.4565407771840662E-2</c:v>
                </c:pt>
                <c:pt idx="254">
                  <c:v>4.4532567048119663E-2</c:v>
                </c:pt>
                <c:pt idx="255">
                  <c:v>4.4498631635937147E-2</c:v>
                </c:pt>
                <c:pt idx="256">
                  <c:v>4.4464696223639466E-2</c:v>
                </c:pt>
                <c:pt idx="257">
                  <c:v>4.4434044882970883E-2</c:v>
                </c:pt>
                <c:pt idx="258">
                  <c:v>4.4400109468233584E-2</c:v>
                </c:pt>
                <c:pt idx="259">
                  <c:v>4.4367268746190174E-2</c:v>
                </c:pt>
                <c:pt idx="260">
                  <c:v>4.4333333333446703E-2</c:v>
                </c:pt>
                <c:pt idx="261">
                  <c:v>4.4300492611183996E-2</c:v>
                </c:pt>
                <c:pt idx="262">
                  <c:v>4.426655719599349E-2</c:v>
                </c:pt>
                <c:pt idx="263">
                  <c:v>4.4232621785128684E-2</c:v>
                </c:pt>
                <c:pt idx="264">
                  <c:v>4.4199781060314795E-2</c:v>
                </c:pt>
                <c:pt idx="265">
                  <c:v>4.416584564700296E-2</c:v>
                </c:pt>
                <c:pt idx="266">
                  <c:v>4.4133004926410639E-2</c:v>
                </c:pt>
                <c:pt idx="267">
                  <c:v>4.4099069512872187E-2</c:v>
                </c:pt>
                <c:pt idx="268">
                  <c:v>4.4065134099218577E-2</c:v>
                </c:pt>
                <c:pt idx="269">
                  <c:v>4.4034482757325286E-2</c:v>
                </c:pt>
                <c:pt idx="270">
                  <c:v>4.4000547345672922E-2</c:v>
                </c:pt>
                <c:pt idx="271">
                  <c:v>4.3967706622317325E-2</c:v>
                </c:pt>
                <c:pt idx="272">
                  <c:v>4.3933771208217932E-2</c:v>
                </c:pt>
                <c:pt idx="273">
                  <c:v>4.3900930489083903E-2</c:v>
                </c:pt>
                <c:pt idx="274">
                  <c:v>4.3866995076978339E-2</c:v>
                </c:pt>
                <c:pt idx="275">
                  <c:v>4.3833059660316726E-2</c:v>
                </c:pt>
                <c:pt idx="276">
                  <c:v>4.3800218938631529E-2</c:v>
                </c:pt>
                <c:pt idx="277">
                  <c:v>4.376628352396375E-2</c:v>
                </c:pt>
                <c:pt idx="278">
                  <c:v>4.3733442802059243E-2</c:v>
                </c:pt>
                <c:pt idx="279">
                  <c:v>4.3699507389385293E-2</c:v>
                </c:pt>
                <c:pt idx="280">
                  <c:v>4.3665571974375754E-2</c:v>
                </c:pt>
                <c:pt idx="281">
                  <c:v>4.363492063347818E-2</c:v>
                </c:pt>
                <c:pt idx="282">
                  <c:v>4.3600985220469901E-2</c:v>
                </c:pt>
                <c:pt idx="283">
                  <c:v>4.3568144500242975E-2</c:v>
                </c:pt>
                <c:pt idx="284">
                  <c:v>4.3534209087008092E-2</c:v>
                </c:pt>
                <c:pt idx="285">
                  <c:v>4.3501368359900559E-2</c:v>
                </c:pt>
                <c:pt idx="286">
                  <c:v>4.3467432948659492E-2</c:v>
                </c:pt>
                <c:pt idx="287">
                  <c:v>4.343349753730328E-2</c:v>
                </c:pt>
                <c:pt idx="288">
                  <c:v>4.3400656814305875E-2</c:v>
                </c:pt>
                <c:pt idx="289">
                  <c:v>4.3366721398282168E-2</c:v>
                </c:pt>
                <c:pt idx="290">
                  <c:v>4.3333880677285913E-2</c:v>
                </c:pt>
                <c:pt idx="291">
                  <c:v>4.3299945263256034E-2</c:v>
                </c:pt>
                <c:pt idx="292">
                  <c:v>4.3266009851331437E-2</c:v>
                </c:pt>
                <c:pt idx="293">
                  <c:v>4.3234263820717073E-2</c:v>
                </c:pt>
                <c:pt idx="294">
                  <c:v>4.3200328408569584E-2</c:v>
                </c:pt>
                <c:pt idx="295">
                  <c:v>4.3167487684806438E-2</c:v>
                </c:pt>
                <c:pt idx="296">
                  <c:v>4.3133552272432332E-2</c:v>
                </c:pt>
                <c:pt idx="297">
                  <c:v>4.3100711548449896E-2</c:v>
                </c:pt>
                <c:pt idx="298">
                  <c:v>4.3066776135849187E-2</c:v>
                </c:pt>
                <c:pt idx="299">
                  <c:v>4.3032840723133313E-2</c:v>
                </c:pt>
                <c:pt idx="300">
                  <c:v>4.3000004994802263E-2</c:v>
                </c:pt>
                <c:pt idx="301">
                  <c:v>4.2999999998820135E-2</c:v>
                </c:pt>
                <c:pt idx="302">
                  <c:v>4.2999999998820135E-2</c:v>
                </c:pt>
                <c:pt idx="303">
                  <c:v>4.3000000001040574E-2</c:v>
                </c:pt>
                <c:pt idx="304">
                  <c:v>4.2999999998820135E-2</c:v>
                </c:pt>
                <c:pt idx="305">
                  <c:v>4.3000000001040574E-2</c:v>
                </c:pt>
                <c:pt idx="306">
                  <c:v>4.3000000001040574E-2</c:v>
                </c:pt>
                <c:pt idx="307">
                  <c:v>4.3000000001040574E-2</c:v>
                </c:pt>
                <c:pt idx="308">
                  <c:v>4.3000000001040574E-2</c:v>
                </c:pt>
                <c:pt idx="309">
                  <c:v>4.3000000001040574E-2</c:v>
                </c:pt>
                <c:pt idx="310">
                  <c:v>4.2999999996599696E-2</c:v>
                </c:pt>
                <c:pt idx="311">
                  <c:v>4.3000000001040574E-2</c:v>
                </c:pt>
                <c:pt idx="312">
                  <c:v>4.3000000001040574E-2</c:v>
                </c:pt>
                <c:pt idx="313">
                  <c:v>4.3000000001040574E-2</c:v>
                </c:pt>
                <c:pt idx="314">
                  <c:v>4.3000000001040574E-2</c:v>
                </c:pt>
                <c:pt idx="315">
                  <c:v>4.3000000001040574E-2</c:v>
                </c:pt>
                <c:pt idx="316">
                  <c:v>4.2999999998820135E-2</c:v>
                </c:pt>
                <c:pt idx="317">
                  <c:v>4.2999999998820135E-2</c:v>
                </c:pt>
                <c:pt idx="318">
                  <c:v>4.2999999998820135E-2</c:v>
                </c:pt>
                <c:pt idx="319">
                  <c:v>4.2999999998820135E-2</c:v>
                </c:pt>
                <c:pt idx="320">
                  <c:v>4.3000000001040574E-2</c:v>
                </c:pt>
                <c:pt idx="321">
                  <c:v>4.2999999996599696E-2</c:v>
                </c:pt>
                <c:pt idx="322">
                  <c:v>4.3000000001040574E-2</c:v>
                </c:pt>
                <c:pt idx="323">
                  <c:v>4.3000000001040574E-2</c:v>
                </c:pt>
                <c:pt idx="324">
                  <c:v>4.3000000001040574E-2</c:v>
                </c:pt>
                <c:pt idx="325">
                  <c:v>4.3000000001040574E-2</c:v>
                </c:pt>
                <c:pt idx="326">
                  <c:v>4.3000000001040574E-2</c:v>
                </c:pt>
                <c:pt idx="327">
                  <c:v>4.2999999998820135E-2</c:v>
                </c:pt>
                <c:pt idx="328">
                  <c:v>4.3000000001040574E-2</c:v>
                </c:pt>
                <c:pt idx="329">
                  <c:v>4.2999999998820135E-2</c:v>
                </c:pt>
                <c:pt idx="330">
                  <c:v>4.2999999998820135E-2</c:v>
                </c:pt>
                <c:pt idx="331">
                  <c:v>4.3000000001040574E-2</c:v>
                </c:pt>
                <c:pt idx="332">
                  <c:v>4.3000000001040574E-2</c:v>
                </c:pt>
                <c:pt idx="333">
                  <c:v>4.2999999998820135E-2</c:v>
                </c:pt>
                <c:pt idx="334">
                  <c:v>4.2999999998820135E-2</c:v>
                </c:pt>
                <c:pt idx="335">
                  <c:v>4.3000000001040574E-2</c:v>
                </c:pt>
                <c:pt idx="336">
                  <c:v>4.2999999998820135E-2</c:v>
                </c:pt>
                <c:pt idx="337">
                  <c:v>4.2999999998820135E-2</c:v>
                </c:pt>
                <c:pt idx="338">
                  <c:v>4.2999999998820135E-2</c:v>
                </c:pt>
                <c:pt idx="339">
                  <c:v>4.3000000001040574E-2</c:v>
                </c:pt>
                <c:pt idx="340">
                  <c:v>4.3000000001040574E-2</c:v>
                </c:pt>
                <c:pt idx="341">
                  <c:v>4.3000000001040574E-2</c:v>
                </c:pt>
                <c:pt idx="342">
                  <c:v>4.3000000001040574E-2</c:v>
                </c:pt>
                <c:pt idx="343">
                  <c:v>4.3000000001040574E-2</c:v>
                </c:pt>
                <c:pt idx="344">
                  <c:v>4.3000000001040574E-2</c:v>
                </c:pt>
                <c:pt idx="345">
                  <c:v>4.2999999998820135E-2</c:v>
                </c:pt>
                <c:pt idx="346">
                  <c:v>4.3000000001040574E-2</c:v>
                </c:pt>
                <c:pt idx="347">
                  <c:v>4.2999999998820135E-2</c:v>
                </c:pt>
                <c:pt idx="348">
                  <c:v>4.2999999998820135E-2</c:v>
                </c:pt>
                <c:pt idx="349">
                  <c:v>4.3000000001040574E-2</c:v>
                </c:pt>
                <c:pt idx="350">
                  <c:v>4.3000000001040574E-2</c:v>
                </c:pt>
                <c:pt idx="351">
                  <c:v>4.2999999998820135E-2</c:v>
                </c:pt>
                <c:pt idx="352">
                  <c:v>4.3000000001040574E-2</c:v>
                </c:pt>
                <c:pt idx="353">
                  <c:v>4.2999999998820135E-2</c:v>
                </c:pt>
                <c:pt idx="354">
                  <c:v>4.2999999998820135E-2</c:v>
                </c:pt>
                <c:pt idx="355">
                  <c:v>4.2999999998820135E-2</c:v>
                </c:pt>
                <c:pt idx="356">
                  <c:v>4.2999999998820135E-2</c:v>
                </c:pt>
                <c:pt idx="357">
                  <c:v>4.3000000001040574E-2</c:v>
                </c:pt>
                <c:pt idx="358">
                  <c:v>4.3000000001040574E-2</c:v>
                </c:pt>
                <c:pt idx="359">
                  <c:v>4.2999999998820135E-2</c:v>
                </c:pt>
                <c:pt idx="360">
                  <c:v>4.2999999996599696E-2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7E-466E-A4C0-535C9D586608}"/>
            </c:ext>
          </c:extLst>
        </c:ser>
        <c:ser>
          <c:idx val="2"/>
          <c:order val="2"/>
          <c:tx>
            <c:strRef>
              <c:f>YieldCurve!$E$25</c:f>
              <c:strCache>
                <c:ptCount val="1"/>
                <c:pt idx="0">
                  <c:v>ContZeroRate</c:v>
                </c:pt>
              </c:strCache>
            </c:strRef>
          </c:tx>
          <c:marker>
            <c:symbol val="none"/>
          </c:marker>
          <c:xVal>
            <c:numRef>
              <c:f>YieldCurve!$C$26:$C$386</c:f>
              <c:numCache>
                <c:formatCode>0.00</c:formatCode>
                <c:ptCount val="361"/>
                <c:pt idx="0">
                  <c:v>0</c:v>
                </c:pt>
                <c:pt idx="1">
                  <c:v>8.4931506849315067E-2</c:v>
                </c:pt>
                <c:pt idx="2">
                  <c:v>0.16712328767123288</c:v>
                </c:pt>
                <c:pt idx="3">
                  <c:v>0.25205479452054796</c:v>
                </c:pt>
                <c:pt idx="4">
                  <c:v>0.33698630136986302</c:v>
                </c:pt>
                <c:pt idx="5">
                  <c:v>0.41643835616438357</c:v>
                </c:pt>
                <c:pt idx="6">
                  <c:v>0.50136986301369868</c:v>
                </c:pt>
                <c:pt idx="7">
                  <c:v>0.58356164383561648</c:v>
                </c:pt>
                <c:pt idx="8">
                  <c:v>0.66849315068493154</c:v>
                </c:pt>
                <c:pt idx="9">
                  <c:v>0.75068493150684934</c:v>
                </c:pt>
                <c:pt idx="10">
                  <c:v>0.83561643835616439</c:v>
                </c:pt>
                <c:pt idx="11">
                  <c:v>0.92054794520547945</c:v>
                </c:pt>
                <c:pt idx="12">
                  <c:v>1.0027397260273974</c:v>
                </c:pt>
                <c:pt idx="13">
                  <c:v>1.0876712328767124</c:v>
                </c:pt>
                <c:pt idx="14">
                  <c:v>1.1698630136986301</c:v>
                </c:pt>
                <c:pt idx="15">
                  <c:v>1.2547945205479452</c:v>
                </c:pt>
                <c:pt idx="16">
                  <c:v>1.3397260273972602</c:v>
                </c:pt>
                <c:pt idx="17">
                  <c:v>1.4164383561643836</c:v>
                </c:pt>
                <c:pt idx="18">
                  <c:v>1.5013698630136987</c:v>
                </c:pt>
                <c:pt idx="19">
                  <c:v>1.5835616438356164</c:v>
                </c:pt>
                <c:pt idx="20">
                  <c:v>1.6684931506849314</c:v>
                </c:pt>
                <c:pt idx="21">
                  <c:v>1.7506849315068493</c:v>
                </c:pt>
                <c:pt idx="22">
                  <c:v>1.8356164383561644</c:v>
                </c:pt>
                <c:pt idx="23">
                  <c:v>1.9205479452054794</c:v>
                </c:pt>
                <c:pt idx="24">
                  <c:v>2.0027397260273974</c:v>
                </c:pt>
                <c:pt idx="25">
                  <c:v>2.0876712328767124</c:v>
                </c:pt>
                <c:pt idx="26">
                  <c:v>2.1698630136986301</c:v>
                </c:pt>
                <c:pt idx="27">
                  <c:v>2.2547945205479452</c:v>
                </c:pt>
                <c:pt idx="28">
                  <c:v>2.3397260273972602</c:v>
                </c:pt>
                <c:pt idx="29">
                  <c:v>2.4164383561643836</c:v>
                </c:pt>
                <c:pt idx="30">
                  <c:v>2.5013698630136987</c:v>
                </c:pt>
                <c:pt idx="31">
                  <c:v>2.5835616438356164</c:v>
                </c:pt>
                <c:pt idx="32">
                  <c:v>2.6684931506849314</c:v>
                </c:pt>
                <c:pt idx="33">
                  <c:v>2.7506849315068491</c:v>
                </c:pt>
                <c:pt idx="34">
                  <c:v>2.8356164383561642</c:v>
                </c:pt>
                <c:pt idx="35">
                  <c:v>2.9205479452054797</c:v>
                </c:pt>
                <c:pt idx="36">
                  <c:v>3.0027397260273974</c:v>
                </c:pt>
                <c:pt idx="37">
                  <c:v>3.0876712328767124</c:v>
                </c:pt>
                <c:pt idx="38">
                  <c:v>3.1698630136986301</c:v>
                </c:pt>
                <c:pt idx="39">
                  <c:v>3.2547945205479452</c:v>
                </c:pt>
                <c:pt idx="40">
                  <c:v>3.3397260273972602</c:v>
                </c:pt>
                <c:pt idx="41">
                  <c:v>3.4164383561643836</c:v>
                </c:pt>
                <c:pt idx="42">
                  <c:v>3.5013698630136987</c:v>
                </c:pt>
                <c:pt idx="43">
                  <c:v>3.5835616438356164</c:v>
                </c:pt>
                <c:pt idx="44">
                  <c:v>3.6684931506849314</c:v>
                </c:pt>
                <c:pt idx="45">
                  <c:v>3.7506849315068491</c:v>
                </c:pt>
                <c:pt idx="46">
                  <c:v>3.8356164383561642</c:v>
                </c:pt>
                <c:pt idx="47">
                  <c:v>3.9205479452054797</c:v>
                </c:pt>
                <c:pt idx="48">
                  <c:v>4.0027397260273974</c:v>
                </c:pt>
                <c:pt idx="49">
                  <c:v>4.087671232876712</c:v>
                </c:pt>
                <c:pt idx="50">
                  <c:v>4.1698630136986301</c:v>
                </c:pt>
                <c:pt idx="51">
                  <c:v>4.2547945205479456</c:v>
                </c:pt>
                <c:pt idx="52">
                  <c:v>4.3397260273972602</c:v>
                </c:pt>
                <c:pt idx="53">
                  <c:v>4.419178082191781</c:v>
                </c:pt>
                <c:pt idx="54">
                  <c:v>4.5041095890410956</c:v>
                </c:pt>
                <c:pt idx="55">
                  <c:v>4.5863013698630137</c:v>
                </c:pt>
                <c:pt idx="56">
                  <c:v>4.6712328767123283</c:v>
                </c:pt>
                <c:pt idx="57">
                  <c:v>4.7534246575342465</c:v>
                </c:pt>
                <c:pt idx="58">
                  <c:v>4.838356164383562</c:v>
                </c:pt>
                <c:pt idx="59">
                  <c:v>4.9232876712328766</c:v>
                </c:pt>
                <c:pt idx="60">
                  <c:v>5.0054794520547947</c:v>
                </c:pt>
                <c:pt idx="61">
                  <c:v>5.0904109589041093</c:v>
                </c:pt>
                <c:pt idx="62">
                  <c:v>5.1726027397260275</c:v>
                </c:pt>
                <c:pt idx="63">
                  <c:v>5.2575342465753421</c:v>
                </c:pt>
                <c:pt idx="64">
                  <c:v>5.3424657534246576</c:v>
                </c:pt>
                <c:pt idx="65">
                  <c:v>5.419178082191781</c:v>
                </c:pt>
                <c:pt idx="66">
                  <c:v>5.5041095890410956</c:v>
                </c:pt>
                <c:pt idx="67">
                  <c:v>5.5863013698630137</c:v>
                </c:pt>
                <c:pt idx="68">
                  <c:v>5.6712328767123283</c:v>
                </c:pt>
                <c:pt idx="69">
                  <c:v>5.7534246575342465</c:v>
                </c:pt>
                <c:pt idx="70">
                  <c:v>5.838356164383562</c:v>
                </c:pt>
                <c:pt idx="71">
                  <c:v>5.9232876712328766</c:v>
                </c:pt>
                <c:pt idx="72">
                  <c:v>6.0054794520547947</c:v>
                </c:pt>
                <c:pt idx="73">
                  <c:v>6.0904109589041093</c:v>
                </c:pt>
                <c:pt idx="74">
                  <c:v>6.1726027397260275</c:v>
                </c:pt>
                <c:pt idx="75">
                  <c:v>6.2575342465753421</c:v>
                </c:pt>
                <c:pt idx="76">
                  <c:v>6.3424657534246576</c:v>
                </c:pt>
                <c:pt idx="77">
                  <c:v>6.419178082191781</c:v>
                </c:pt>
                <c:pt idx="78">
                  <c:v>6.5041095890410956</c:v>
                </c:pt>
                <c:pt idx="79">
                  <c:v>6.5863013698630137</c:v>
                </c:pt>
                <c:pt idx="80">
                  <c:v>6.6712328767123283</c:v>
                </c:pt>
                <c:pt idx="81">
                  <c:v>6.7534246575342465</c:v>
                </c:pt>
                <c:pt idx="82">
                  <c:v>6.838356164383562</c:v>
                </c:pt>
                <c:pt idx="83">
                  <c:v>6.9232876712328766</c:v>
                </c:pt>
                <c:pt idx="84">
                  <c:v>7.0054794520547947</c:v>
                </c:pt>
                <c:pt idx="85">
                  <c:v>7.0904109589041093</c:v>
                </c:pt>
                <c:pt idx="86">
                  <c:v>7.1726027397260275</c:v>
                </c:pt>
                <c:pt idx="87">
                  <c:v>7.2575342465753421</c:v>
                </c:pt>
                <c:pt idx="88">
                  <c:v>7.3424657534246576</c:v>
                </c:pt>
                <c:pt idx="89">
                  <c:v>7.419178082191781</c:v>
                </c:pt>
                <c:pt idx="90">
                  <c:v>7.5041095890410956</c:v>
                </c:pt>
                <c:pt idx="91">
                  <c:v>7.5863013698630137</c:v>
                </c:pt>
                <c:pt idx="92">
                  <c:v>7.6712328767123283</c:v>
                </c:pt>
                <c:pt idx="93">
                  <c:v>7.7534246575342465</c:v>
                </c:pt>
                <c:pt idx="94">
                  <c:v>7.838356164383562</c:v>
                </c:pt>
                <c:pt idx="95">
                  <c:v>7.9232876712328766</c:v>
                </c:pt>
                <c:pt idx="96">
                  <c:v>8.0054794520547947</c:v>
                </c:pt>
                <c:pt idx="97">
                  <c:v>8.0904109589041102</c:v>
                </c:pt>
                <c:pt idx="98">
                  <c:v>8.1726027397260275</c:v>
                </c:pt>
                <c:pt idx="99">
                  <c:v>8.257534246575343</c:v>
                </c:pt>
                <c:pt idx="100">
                  <c:v>8.3424657534246567</c:v>
                </c:pt>
                <c:pt idx="101">
                  <c:v>8.4219178082191775</c:v>
                </c:pt>
                <c:pt idx="102">
                  <c:v>8.506849315068493</c:v>
                </c:pt>
                <c:pt idx="103">
                  <c:v>8.5890410958904102</c:v>
                </c:pt>
                <c:pt idx="104">
                  <c:v>8.6739726027397257</c:v>
                </c:pt>
                <c:pt idx="105">
                  <c:v>8.7561643835616429</c:v>
                </c:pt>
                <c:pt idx="106">
                  <c:v>8.8410958904109584</c:v>
                </c:pt>
                <c:pt idx="107">
                  <c:v>8.9260273972602739</c:v>
                </c:pt>
                <c:pt idx="108">
                  <c:v>9.0082191780821912</c:v>
                </c:pt>
                <c:pt idx="109">
                  <c:v>9.0931506849315067</c:v>
                </c:pt>
                <c:pt idx="110">
                  <c:v>9.1753424657534239</c:v>
                </c:pt>
                <c:pt idx="111">
                  <c:v>9.2602739726027394</c:v>
                </c:pt>
                <c:pt idx="112">
                  <c:v>9.3452054794520549</c:v>
                </c:pt>
                <c:pt idx="113">
                  <c:v>9.4219178082191775</c:v>
                </c:pt>
                <c:pt idx="114">
                  <c:v>9.506849315068493</c:v>
                </c:pt>
                <c:pt idx="115">
                  <c:v>9.5890410958904102</c:v>
                </c:pt>
                <c:pt idx="116">
                  <c:v>9.6739726027397257</c:v>
                </c:pt>
                <c:pt idx="117">
                  <c:v>9.7561643835616429</c:v>
                </c:pt>
                <c:pt idx="118">
                  <c:v>9.8410958904109584</c:v>
                </c:pt>
                <c:pt idx="119">
                  <c:v>9.9260273972602739</c:v>
                </c:pt>
                <c:pt idx="120">
                  <c:v>10.008219178082191</c:v>
                </c:pt>
                <c:pt idx="121">
                  <c:v>10.093150684931507</c:v>
                </c:pt>
                <c:pt idx="122">
                  <c:v>10.175342465753424</c:v>
                </c:pt>
                <c:pt idx="123">
                  <c:v>10.260273972602739</c:v>
                </c:pt>
                <c:pt idx="124">
                  <c:v>10.345205479452055</c:v>
                </c:pt>
                <c:pt idx="125">
                  <c:v>10.421917808219177</c:v>
                </c:pt>
                <c:pt idx="126">
                  <c:v>10.506849315068493</c:v>
                </c:pt>
                <c:pt idx="127">
                  <c:v>10.58904109589041</c:v>
                </c:pt>
                <c:pt idx="128">
                  <c:v>10.673972602739726</c:v>
                </c:pt>
                <c:pt idx="129">
                  <c:v>10.756164383561643</c:v>
                </c:pt>
                <c:pt idx="130">
                  <c:v>10.841095890410958</c:v>
                </c:pt>
                <c:pt idx="131">
                  <c:v>10.926027397260274</c:v>
                </c:pt>
                <c:pt idx="132">
                  <c:v>11.008219178082191</c:v>
                </c:pt>
                <c:pt idx="133">
                  <c:v>11.093150684931507</c:v>
                </c:pt>
                <c:pt idx="134">
                  <c:v>11.175342465753424</c:v>
                </c:pt>
                <c:pt idx="135">
                  <c:v>11.260273972602739</c:v>
                </c:pt>
                <c:pt idx="136">
                  <c:v>11.345205479452055</c:v>
                </c:pt>
                <c:pt idx="137">
                  <c:v>11.421917808219177</c:v>
                </c:pt>
                <c:pt idx="138">
                  <c:v>11.506849315068493</c:v>
                </c:pt>
                <c:pt idx="139">
                  <c:v>11.58904109589041</c:v>
                </c:pt>
                <c:pt idx="140">
                  <c:v>11.673972602739726</c:v>
                </c:pt>
                <c:pt idx="141">
                  <c:v>11.756164383561643</c:v>
                </c:pt>
                <c:pt idx="142">
                  <c:v>11.841095890410958</c:v>
                </c:pt>
                <c:pt idx="143">
                  <c:v>11.926027397260274</c:v>
                </c:pt>
                <c:pt idx="144">
                  <c:v>12.008219178082191</c:v>
                </c:pt>
                <c:pt idx="145">
                  <c:v>12.093150684931507</c:v>
                </c:pt>
                <c:pt idx="146">
                  <c:v>12.175342465753424</c:v>
                </c:pt>
                <c:pt idx="147">
                  <c:v>12.260273972602739</c:v>
                </c:pt>
                <c:pt idx="148">
                  <c:v>12.345205479452055</c:v>
                </c:pt>
                <c:pt idx="149">
                  <c:v>12.424657534246576</c:v>
                </c:pt>
                <c:pt idx="150">
                  <c:v>12.509589041095891</c:v>
                </c:pt>
                <c:pt idx="151">
                  <c:v>12.591780821917808</c:v>
                </c:pt>
                <c:pt idx="152">
                  <c:v>12.676712328767124</c:v>
                </c:pt>
                <c:pt idx="153">
                  <c:v>12.758904109589041</c:v>
                </c:pt>
                <c:pt idx="154">
                  <c:v>12.843835616438357</c:v>
                </c:pt>
                <c:pt idx="155">
                  <c:v>12.92876712328767</c:v>
                </c:pt>
                <c:pt idx="156">
                  <c:v>13.010958904109589</c:v>
                </c:pt>
                <c:pt idx="157">
                  <c:v>13.095890410958905</c:v>
                </c:pt>
                <c:pt idx="158">
                  <c:v>13.178082191780822</c:v>
                </c:pt>
                <c:pt idx="159">
                  <c:v>13.263013698630138</c:v>
                </c:pt>
                <c:pt idx="160">
                  <c:v>13.347945205479451</c:v>
                </c:pt>
                <c:pt idx="161">
                  <c:v>13.424657534246576</c:v>
                </c:pt>
                <c:pt idx="162">
                  <c:v>13.509589041095891</c:v>
                </c:pt>
                <c:pt idx="163">
                  <c:v>13.591780821917808</c:v>
                </c:pt>
                <c:pt idx="164">
                  <c:v>13.676712328767124</c:v>
                </c:pt>
                <c:pt idx="165">
                  <c:v>13.758904109589041</c:v>
                </c:pt>
                <c:pt idx="166">
                  <c:v>13.843835616438357</c:v>
                </c:pt>
                <c:pt idx="167">
                  <c:v>13.92876712328767</c:v>
                </c:pt>
                <c:pt idx="168">
                  <c:v>14.010958904109589</c:v>
                </c:pt>
                <c:pt idx="169">
                  <c:v>14.095890410958905</c:v>
                </c:pt>
                <c:pt idx="170">
                  <c:v>14.178082191780822</c:v>
                </c:pt>
                <c:pt idx="171">
                  <c:v>14.263013698630138</c:v>
                </c:pt>
                <c:pt idx="172">
                  <c:v>14.347945205479451</c:v>
                </c:pt>
                <c:pt idx="173">
                  <c:v>14.424657534246576</c:v>
                </c:pt>
                <c:pt idx="174">
                  <c:v>14.509589041095891</c:v>
                </c:pt>
                <c:pt idx="175">
                  <c:v>14.591780821917808</c:v>
                </c:pt>
                <c:pt idx="176">
                  <c:v>14.676712328767124</c:v>
                </c:pt>
                <c:pt idx="177">
                  <c:v>14.758904109589041</c:v>
                </c:pt>
                <c:pt idx="178">
                  <c:v>14.843835616438357</c:v>
                </c:pt>
                <c:pt idx="179">
                  <c:v>14.92876712328767</c:v>
                </c:pt>
                <c:pt idx="180">
                  <c:v>15.010958904109589</c:v>
                </c:pt>
                <c:pt idx="181">
                  <c:v>15.095890410958905</c:v>
                </c:pt>
                <c:pt idx="182">
                  <c:v>15.178082191780822</c:v>
                </c:pt>
                <c:pt idx="183">
                  <c:v>15.263013698630138</c:v>
                </c:pt>
                <c:pt idx="184">
                  <c:v>15.347945205479451</c:v>
                </c:pt>
                <c:pt idx="185">
                  <c:v>15.424657534246576</c:v>
                </c:pt>
                <c:pt idx="186">
                  <c:v>15.509589041095891</c:v>
                </c:pt>
                <c:pt idx="187">
                  <c:v>15.591780821917808</c:v>
                </c:pt>
                <c:pt idx="188">
                  <c:v>15.676712328767124</c:v>
                </c:pt>
                <c:pt idx="189">
                  <c:v>15.758904109589041</c:v>
                </c:pt>
                <c:pt idx="190">
                  <c:v>15.843835616438357</c:v>
                </c:pt>
                <c:pt idx="191">
                  <c:v>15.92876712328767</c:v>
                </c:pt>
                <c:pt idx="192">
                  <c:v>16.010958904109589</c:v>
                </c:pt>
                <c:pt idx="193">
                  <c:v>16.095890410958905</c:v>
                </c:pt>
                <c:pt idx="194">
                  <c:v>16.17808219178082</c:v>
                </c:pt>
                <c:pt idx="195">
                  <c:v>16.263013698630136</c:v>
                </c:pt>
                <c:pt idx="196">
                  <c:v>16.347945205479451</c:v>
                </c:pt>
                <c:pt idx="197">
                  <c:v>16.427397260273974</c:v>
                </c:pt>
                <c:pt idx="198">
                  <c:v>16.512328767123286</c:v>
                </c:pt>
                <c:pt idx="199">
                  <c:v>16.594520547945205</c:v>
                </c:pt>
                <c:pt idx="200">
                  <c:v>16.67945205479452</c:v>
                </c:pt>
                <c:pt idx="201">
                  <c:v>16.761643835616439</c:v>
                </c:pt>
                <c:pt idx="202">
                  <c:v>16.846575342465755</c:v>
                </c:pt>
                <c:pt idx="203">
                  <c:v>16.931506849315067</c:v>
                </c:pt>
                <c:pt idx="204">
                  <c:v>17.013698630136986</c:v>
                </c:pt>
                <c:pt idx="205">
                  <c:v>17.098630136986301</c:v>
                </c:pt>
                <c:pt idx="206">
                  <c:v>17.18082191780822</c:v>
                </c:pt>
                <c:pt idx="207">
                  <c:v>17.265753424657536</c:v>
                </c:pt>
                <c:pt idx="208">
                  <c:v>17.350684931506848</c:v>
                </c:pt>
                <c:pt idx="209">
                  <c:v>17.427397260273974</c:v>
                </c:pt>
                <c:pt idx="210">
                  <c:v>17.512328767123286</c:v>
                </c:pt>
                <c:pt idx="211">
                  <c:v>17.594520547945205</c:v>
                </c:pt>
                <c:pt idx="212">
                  <c:v>17.67945205479452</c:v>
                </c:pt>
                <c:pt idx="213">
                  <c:v>17.761643835616439</c:v>
                </c:pt>
                <c:pt idx="214">
                  <c:v>17.846575342465755</c:v>
                </c:pt>
                <c:pt idx="215">
                  <c:v>17.931506849315067</c:v>
                </c:pt>
                <c:pt idx="216">
                  <c:v>18.013698630136986</c:v>
                </c:pt>
                <c:pt idx="217">
                  <c:v>18.098630136986301</c:v>
                </c:pt>
                <c:pt idx="218">
                  <c:v>18.18082191780822</c:v>
                </c:pt>
                <c:pt idx="219">
                  <c:v>18.265753424657536</c:v>
                </c:pt>
                <c:pt idx="220">
                  <c:v>18.350684931506848</c:v>
                </c:pt>
                <c:pt idx="221">
                  <c:v>18.427397260273974</c:v>
                </c:pt>
                <c:pt idx="222">
                  <c:v>18.512328767123286</c:v>
                </c:pt>
                <c:pt idx="223">
                  <c:v>18.594520547945205</c:v>
                </c:pt>
                <c:pt idx="224">
                  <c:v>18.67945205479452</c:v>
                </c:pt>
                <c:pt idx="225">
                  <c:v>18.761643835616439</c:v>
                </c:pt>
                <c:pt idx="226">
                  <c:v>18.846575342465755</c:v>
                </c:pt>
                <c:pt idx="227">
                  <c:v>18.931506849315067</c:v>
                </c:pt>
                <c:pt idx="228">
                  <c:v>19.013698630136986</c:v>
                </c:pt>
                <c:pt idx="229">
                  <c:v>19.098630136986301</c:v>
                </c:pt>
                <c:pt idx="230">
                  <c:v>19.18082191780822</c:v>
                </c:pt>
                <c:pt idx="231">
                  <c:v>19.265753424657536</c:v>
                </c:pt>
                <c:pt idx="232">
                  <c:v>19.350684931506848</c:v>
                </c:pt>
                <c:pt idx="233">
                  <c:v>19.427397260273974</c:v>
                </c:pt>
                <c:pt idx="234">
                  <c:v>19.512328767123286</c:v>
                </c:pt>
                <c:pt idx="235">
                  <c:v>19.594520547945205</c:v>
                </c:pt>
                <c:pt idx="236">
                  <c:v>19.67945205479452</c:v>
                </c:pt>
                <c:pt idx="237">
                  <c:v>19.761643835616439</c:v>
                </c:pt>
                <c:pt idx="238">
                  <c:v>19.846575342465755</c:v>
                </c:pt>
                <c:pt idx="239">
                  <c:v>19.931506849315067</c:v>
                </c:pt>
                <c:pt idx="240">
                  <c:v>20.013698630136986</c:v>
                </c:pt>
                <c:pt idx="241">
                  <c:v>20.098630136986301</c:v>
                </c:pt>
                <c:pt idx="242">
                  <c:v>20.18082191780822</c:v>
                </c:pt>
                <c:pt idx="243">
                  <c:v>20.265753424657536</c:v>
                </c:pt>
                <c:pt idx="244">
                  <c:v>20.350684931506848</c:v>
                </c:pt>
                <c:pt idx="245">
                  <c:v>20.43013698630137</c:v>
                </c:pt>
                <c:pt idx="246">
                  <c:v>20.515068493150686</c:v>
                </c:pt>
                <c:pt idx="247">
                  <c:v>20.597260273972601</c:v>
                </c:pt>
                <c:pt idx="248">
                  <c:v>20.682191780821917</c:v>
                </c:pt>
                <c:pt idx="249">
                  <c:v>20.764383561643836</c:v>
                </c:pt>
                <c:pt idx="250">
                  <c:v>20.849315068493151</c:v>
                </c:pt>
                <c:pt idx="251">
                  <c:v>20.934246575342467</c:v>
                </c:pt>
                <c:pt idx="252">
                  <c:v>21.016438356164382</c:v>
                </c:pt>
                <c:pt idx="253">
                  <c:v>21.101369863013698</c:v>
                </c:pt>
                <c:pt idx="254">
                  <c:v>21.183561643835617</c:v>
                </c:pt>
                <c:pt idx="255">
                  <c:v>21.268493150684932</c:v>
                </c:pt>
                <c:pt idx="256">
                  <c:v>21.353424657534248</c:v>
                </c:pt>
                <c:pt idx="257">
                  <c:v>21.43013698630137</c:v>
                </c:pt>
                <c:pt idx="258">
                  <c:v>21.515068493150686</c:v>
                </c:pt>
                <c:pt idx="259">
                  <c:v>21.597260273972601</c:v>
                </c:pt>
                <c:pt idx="260">
                  <c:v>21.682191780821917</c:v>
                </c:pt>
                <c:pt idx="261">
                  <c:v>21.764383561643836</c:v>
                </c:pt>
                <c:pt idx="262">
                  <c:v>21.849315068493151</c:v>
                </c:pt>
                <c:pt idx="263">
                  <c:v>21.934246575342467</c:v>
                </c:pt>
                <c:pt idx="264">
                  <c:v>22.016438356164382</c:v>
                </c:pt>
                <c:pt idx="265">
                  <c:v>22.101369863013698</c:v>
                </c:pt>
                <c:pt idx="266">
                  <c:v>22.183561643835617</c:v>
                </c:pt>
                <c:pt idx="267">
                  <c:v>22.268493150684932</c:v>
                </c:pt>
                <c:pt idx="268">
                  <c:v>22.353424657534248</c:v>
                </c:pt>
                <c:pt idx="269">
                  <c:v>22.43013698630137</c:v>
                </c:pt>
                <c:pt idx="270">
                  <c:v>22.515068493150686</c:v>
                </c:pt>
                <c:pt idx="271">
                  <c:v>22.597260273972601</c:v>
                </c:pt>
                <c:pt idx="272">
                  <c:v>22.682191780821917</c:v>
                </c:pt>
                <c:pt idx="273">
                  <c:v>22.764383561643836</c:v>
                </c:pt>
                <c:pt idx="274">
                  <c:v>22.849315068493151</c:v>
                </c:pt>
                <c:pt idx="275">
                  <c:v>22.934246575342467</c:v>
                </c:pt>
                <c:pt idx="276">
                  <c:v>23.016438356164382</c:v>
                </c:pt>
                <c:pt idx="277">
                  <c:v>23.101369863013698</c:v>
                </c:pt>
                <c:pt idx="278">
                  <c:v>23.183561643835617</c:v>
                </c:pt>
                <c:pt idx="279">
                  <c:v>23.268493150684932</c:v>
                </c:pt>
                <c:pt idx="280">
                  <c:v>23.353424657534248</c:v>
                </c:pt>
                <c:pt idx="281">
                  <c:v>23.43013698630137</c:v>
                </c:pt>
                <c:pt idx="282">
                  <c:v>23.515068493150686</c:v>
                </c:pt>
                <c:pt idx="283">
                  <c:v>23.597260273972601</c:v>
                </c:pt>
                <c:pt idx="284">
                  <c:v>23.682191780821917</c:v>
                </c:pt>
                <c:pt idx="285">
                  <c:v>23.764383561643836</c:v>
                </c:pt>
                <c:pt idx="286">
                  <c:v>23.849315068493151</c:v>
                </c:pt>
                <c:pt idx="287">
                  <c:v>23.934246575342467</c:v>
                </c:pt>
                <c:pt idx="288">
                  <c:v>24.016438356164382</c:v>
                </c:pt>
                <c:pt idx="289">
                  <c:v>24.101369863013698</c:v>
                </c:pt>
                <c:pt idx="290">
                  <c:v>24.183561643835617</c:v>
                </c:pt>
                <c:pt idx="291">
                  <c:v>24.268493150684932</c:v>
                </c:pt>
                <c:pt idx="292">
                  <c:v>24.353424657534248</c:v>
                </c:pt>
                <c:pt idx="293">
                  <c:v>24.432876712328767</c:v>
                </c:pt>
                <c:pt idx="294">
                  <c:v>24.517808219178082</c:v>
                </c:pt>
                <c:pt idx="295">
                  <c:v>24.6</c:v>
                </c:pt>
                <c:pt idx="296">
                  <c:v>24.684931506849313</c:v>
                </c:pt>
                <c:pt idx="297">
                  <c:v>24.767123287671232</c:v>
                </c:pt>
                <c:pt idx="298">
                  <c:v>24.852054794520548</c:v>
                </c:pt>
                <c:pt idx="299">
                  <c:v>24.936986301369863</c:v>
                </c:pt>
                <c:pt idx="300">
                  <c:v>25.019178082191782</c:v>
                </c:pt>
                <c:pt idx="301">
                  <c:v>25.104109589041094</c:v>
                </c:pt>
                <c:pt idx="302">
                  <c:v>25.186301369863013</c:v>
                </c:pt>
                <c:pt idx="303">
                  <c:v>25.271232876712329</c:v>
                </c:pt>
                <c:pt idx="304">
                  <c:v>25.356164383561644</c:v>
                </c:pt>
                <c:pt idx="305">
                  <c:v>25.432876712328767</c:v>
                </c:pt>
                <c:pt idx="306">
                  <c:v>25.517808219178082</c:v>
                </c:pt>
                <c:pt idx="307">
                  <c:v>25.6</c:v>
                </c:pt>
                <c:pt idx="308">
                  <c:v>25.684931506849313</c:v>
                </c:pt>
                <c:pt idx="309">
                  <c:v>25.767123287671232</c:v>
                </c:pt>
                <c:pt idx="310">
                  <c:v>25.852054794520548</c:v>
                </c:pt>
                <c:pt idx="311">
                  <c:v>25.936986301369863</c:v>
                </c:pt>
                <c:pt idx="312">
                  <c:v>26.019178082191782</c:v>
                </c:pt>
                <c:pt idx="313">
                  <c:v>26.104109589041094</c:v>
                </c:pt>
                <c:pt idx="314">
                  <c:v>26.186301369863013</c:v>
                </c:pt>
                <c:pt idx="315">
                  <c:v>26.271232876712329</c:v>
                </c:pt>
                <c:pt idx="316">
                  <c:v>26.356164383561644</c:v>
                </c:pt>
                <c:pt idx="317">
                  <c:v>26.432876712328767</c:v>
                </c:pt>
                <c:pt idx="318">
                  <c:v>26.517808219178082</c:v>
                </c:pt>
                <c:pt idx="319">
                  <c:v>26.6</c:v>
                </c:pt>
                <c:pt idx="320">
                  <c:v>26.684931506849313</c:v>
                </c:pt>
                <c:pt idx="321">
                  <c:v>26.767123287671232</c:v>
                </c:pt>
                <c:pt idx="322">
                  <c:v>26.852054794520548</c:v>
                </c:pt>
                <c:pt idx="323">
                  <c:v>26.936986301369863</c:v>
                </c:pt>
                <c:pt idx="324">
                  <c:v>27.019178082191782</c:v>
                </c:pt>
                <c:pt idx="325">
                  <c:v>27.104109589041094</c:v>
                </c:pt>
                <c:pt idx="326">
                  <c:v>27.186301369863013</c:v>
                </c:pt>
                <c:pt idx="327">
                  <c:v>27.271232876712329</c:v>
                </c:pt>
                <c:pt idx="328">
                  <c:v>27.356164383561644</c:v>
                </c:pt>
                <c:pt idx="329">
                  <c:v>27.432876712328767</c:v>
                </c:pt>
                <c:pt idx="330">
                  <c:v>27.517808219178082</c:v>
                </c:pt>
                <c:pt idx="331">
                  <c:v>27.6</c:v>
                </c:pt>
                <c:pt idx="332">
                  <c:v>27.684931506849313</c:v>
                </c:pt>
                <c:pt idx="333">
                  <c:v>27.767123287671232</c:v>
                </c:pt>
                <c:pt idx="334">
                  <c:v>27.852054794520548</c:v>
                </c:pt>
                <c:pt idx="335">
                  <c:v>27.936986301369863</c:v>
                </c:pt>
                <c:pt idx="336">
                  <c:v>28.019178082191782</c:v>
                </c:pt>
                <c:pt idx="337">
                  <c:v>28.104109589041094</c:v>
                </c:pt>
                <c:pt idx="338">
                  <c:v>28.186301369863013</c:v>
                </c:pt>
                <c:pt idx="339">
                  <c:v>28.271232876712329</c:v>
                </c:pt>
                <c:pt idx="340">
                  <c:v>28.356164383561644</c:v>
                </c:pt>
                <c:pt idx="341">
                  <c:v>28.435616438356163</c:v>
                </c:pt>
                <c:pt idx="342">
                  <c:v>28.520547945205479</c:v>
                </c:pt>
                <c:pt idx="343">
                  <c:v>28.602739726027398</c:v>
                </c:pt>
                <c:pt idx="344">
                  <c:v>28.687671232876713</c:v>
                </c:pt>
                <c:pt idx="345">
                  <c:v>28.769863013698629</c:v>
                </c:pt>
                <c:pt idx="346">
                  <c:v>28.854794520547944</c:v>
                </c:pt>
                <c:pt idx="347">
                  <c:v>28.93972602739726</c:v>
                </c:pt>
                <c:pt idx="348">
                  <c:v>29.021917808219179</c:v>
                </c:pt>
                <c:pt idx="349">
                  <c:v>29.106849315068494</c:v>
                </c:pt>
                <c:pt idx="350">
                  <c:v>29.18904109589041</c:v>
                </c:pt>
                <c:pt idx="351">
                  <c:v>29.273972602739725</c:v>
                </c:pt>
                <c:pt idx="352">
                  <c:v>29.358904109589041</c:v>
                </c:pt>
                <c:pt idx="353">
                  <c:v>29.435616438356163</c:v>
                </c:pt>
                <c:pt idx="354">
                  <c:v>29.520547945205479</c:v>
                </c:pt>
                <c:pt idx="355">
                  <c:v>29.602739726027398</c:v>
                </c:pt>
                <c:pt idx="356">
                  <c:v>29.687671232876713</c:v>
                </c:pt>
                <c:pt idx="357">
                  <c:v>29.769863013698629</c:v>
                </c:pt>
                <c:pt idx="358">
                  <c:v>29.854794520547944</c:v>
                </c:pt>
                <c:pt idx="359">
                  <c:v>29.93972602739726</c:v>
                </c:pt>
                <c:pt idx="360">
                  <c:v>30.021917808219179</c:v>
                </c:pt>
              </c:numCache>
            </c:numRef>
          </c:xVal>
          <c:yVal>
            <c:numRef>
              <c:f>YieldCurve!$E$26:$E$386</c:f>
              <c:numCache>
                <c:formatCode>0.00%</c:formatCode>
                <c:ptCount val="361"/>
                <c:pt idx="0">
                  <c:v>2.7000000001030824E-2</c:v>
                </c:pt>
                <c:pt idx="1">
                  <c:v>2.6999999999999559E-2</c:v>
                </c:pt>
                <c:pt idx="2">
                  <c:v>2.6999999999999337E-2</c:v>
                </c:pt>
                <c:pt idx="3">
                  <c:v>2.7000000000000215E-2</c:v>
                </c:pt>
                <c:pt idx="4">
                  <c:v>2.7000000000000152E-2</c:v>
                </c:pt>
                <c:pt idx="5">
                  <c:v>2.7000000000000055E-2</c:v>
                </c:pt>
                <c:pt idx="6">
                  <c:v>2.6999999999999892E-2</c:v>
                </c:pt>
                <c:pt idx="7">
                  <c:v>2.7000000000000045E-2</c:v>
                </c:pt>
                <c:pt idx="8">
                  <c:v>2.6999999999999812E-2</c:v>
                </c:pt>
                <c:pt idx="9">
                  <c:v>2.6999999999999958E-2</c:v>
                </c:pt>
                <c:pt idx="10">
                  <c:v>2.7000000000000114E-2</c:v>
                </c:pt>
                <c:pt idx="11">
                  <c:v>2.6999999999999951E-2</c:v>
                </c:pt>
                <c:pt idx="12">
                  <c:v>2.6999999999999892E-2</c:v>
                </c:pt>
                <c:pt idx="13">
                  <c:v>2.700165798281624E-2</c:v>
                </c:pt>
                <c:pt idx="14">
                  <c:v>2.7005968688845437E-2</c:v>
                </c:pt>
                <c:pt idx="15">
                  <c:v>2.7012657773523976E-2</c:v>
                </c:pt>
                <c:pt idx="16">
                  <c:v>2.7021190856374565E-2</c:v>
                </c:pt>
                <c:pt idx="17">
                  <c:v>2.7030207201716987E-2</c:v>
                </c:pt>
                <c:pt idx="18">
                  <c:v>2.7041400859914064E-2</c:v>
                </c:pt>
                <c:pt idx="19">
                  <c:v>2.7053258757169258E-2</c:v>
                </c:pt>
                <c:pt idx="20">
                  <c:v>2.7066411363789795E-2</c:v>
                </c:pt>
                <c:pt idx="21">
                  <c:v>2.7079886166312968E-2</c:v>
                </c:pt>
                <c:pt idx="22">
                  <c:v>2.709447556736869E-2</c:v>
                </c:pt>
                <c:pt idx="23">
                  <c:v>2.7109652551149985E-2</c:v>
                </c:pt>
                <c:pt idx="24">
                  <c:v>2.7124829001367992E-2</c:v>
                </c:pt>
                <c:pt idx="25">
                  <c:v>2.7140955668212691E-2</c:v>
                </c:pt>
                <c:pt idx="26">
                  <c:v>2.7156942714819405E-2</c:v>
                </c:pt>
                <c:pt idx="27">
                  <c:v>2.7173811980891797E-2</c:v>
                </c:pt>
                <c:pt idx="28">
                  <c:v>2.719099804305284E-2</c:v>
                </c:pt>
                <c:pt idx="29">
                  <c:v>2.7206765445904346E-2</c:v>
                </c:pt>
                <c:pt idx="30">
                  <c:v>2.7224466233551885E-2</c:v>
                </c:pt>
                <c:pt idx="31">
                  <c:v>2.7241817138540677E-2</c:v>
                </c:pt>
                <c:pt idx="32">
                  <c:v>2.7259953306517402E-2</c:v>
                </c:pt>
                <c:pt idx="33">
                  <c:v>2.727768651421713E-2</c:v>
                </c:pt>
                <c:pt idx="34">
                  <c:v>2.7296182251340104E-2</c:v>
                </c:pt>
                <c:pt idx="35">
                  <c:v>2.7314837184199015E-2</c:v>
                </c:pt>
                <c:pt idx="36">
                  <c:v>2.7333029197080267E-2</c:v>
                </c:pt>
                <c:pt idx="37">
                  <c:v>2.7353723513264254E-2</c:v>
                </c:pt>
                <c:pt idx="38">
                  <c:v>2.7377050026530791E-2</c:v>
                </c:pt>
                <c:pt idx="39">
                  <c:v>2.7404299783242245E-2</c:v>
                </c:pt>
                <c:pt idx="40">
                  <c:v>2.7434505498921232E-2</c:v>
                </c:pt>
                <c:pt idx="41">
                  <c:v>2.7464145419418183E-2</c:v>
                </c:pt>
                <c:pt idx="42">
                  <c:v>2.749938715974801E-2</c:v>
                </c:pt>
                <c:pt idx="43">
                  <c:v>2.7535754340396665E-2</c:v>
                </c:pt>
                <c:pt idx="44">
                  <c:v>2.7575510822799975E-2</c:v>
                </c:pt>
                <c:pt idx="45">
                  <c:v>2.7615951627359678E-2</c:v>
                </c:pt>
                <c:pt idx="46">
                  <c:v>2.7659639253351881E-2</c:v>
                </c:pt>
                <c:pt idx="47">
                  <c:v>2.7705132725665556E-2</c:v>
                </c:pt>
                <c:pt idx="48">
                  <c:v>2.775076980085437E-2</c:v>
                </c:pt>
                <c:pt idx="49">
                  <c:v>2.7800839511528078E-2</c:v>
                </c:pt>
                <c:pt idx="50">
                  <c:v>2.7853181767064975E-2</c:v>
                </c:pt>
                <c:pt idx="51">
                  <c:v>2.7911048066378254E-2</c:v>
                </c:pt>
                <c:pt idx="52">
                  <c:v>2.7972532520035072E-2</c:v>
                </c:pt>
                <c:pt idx="53">
                  <c:v>2.8033140980199885E-2</c:v>
                </c:pt>
                <c:pt idx="54">
                  <c:v>2.8101050354354815E-2</c:v>
                </c:pt>
                <c:pt idx="55">
                  <c:v>2.816967469430302E-2</c:v>
                </c:pt>
                <c:pt idx="56">
                  <c:v>2.8243426947343782E-2</c:v>
                </c:pt>
                <c:pt idx="57">
                  <c:v>2.8317404729803937E-2</c:v>
                </c:pt>
                <c:pt idx="58">
                  <c:v>2.8396399682122715E-2</c:v>
                </c:pt>
                <c:pt idx="59">
                  <c:v>2.8477854946068522E-2</c:v>
                </c:pt>
                <c:pt idx="60">
                  <c:v>2.8558907204587869E-2</c:v>
                </c:pt>
                <c:pt idx="61">
                  <c:v>2.8644605434177687E-2</c:v>
                </c:pt>
                <c:pt idx="62">
                  <c:v>2.8729108204670128E-2</c:v>
                </c:pt>
                <c:pt idx="63">
                  <c:v>2.8817971306327021E-2</c:v>
                </c:pt>
                <c:pt idx="64">
                  <c:v>2.8908329265799476E-2</c:v>
                </c:pt>
                <c:pt idx="65">
                  <c:v>2.8991169306915282E-2</c:v>
                </c:pt>
                <c:pt idx="66">
                  <c:v>2.9084182039764102E-2</c:v>
                </c:pt>
                <c:pt idx="67">
                  <c:v>2.9175435401703233E-2</c:v>
                </c:pt>
                <c:pt idx="68">
                  <c:v>2.9270955954292174E-2</c:v>
                </c:pt>
                <c:pt idx="69">
                  <c:v>2.9364529692993049E-2</c:v>
                </c:pt>
                <c:pt idx="70">
                  <c:v>2.9462344255796094E-2</c:v>
                </c:pt>
                <c:pt idx="71">
                  <c:v>2.956125039221125E-2</c:v>
                </c:pt>
                <c:pt idx="72">
                  <c:v>2.9657961710326766E-2</c:v>
                </c:pt>
                <c:pt idx="73">
                  <c:v>2.975873082969073E-2</c:v>
                </c:pt>
                <c:pt idx="74">
                  <c:v>2.9856883254234728E-2</c:v>
                </c:pt>
                <c:pt idx="75">
                  <c:v>2.9958936093269377E-2</c:v>
                </c:pt>
                <c:pt idx="76">
                  <c:v>3.0061602512013976E-2</c:v>
                </c:pt>
                <c:pt idx="77">
                  <c:v>3.0154840597668826E-2</c:v>
                </c:pt>
                <c:pt idx="78">
                  <c:v>3.0258608654607628E-2</c:v>
                </c:pt>
                <c:pt idx="79">
                  <c:v>3.0359549817458233E-2</c:v>
                </c:pt>
                <c:pt idx="80">
                  <c:v>3.0464373177306034E-2</c:v>
                </c:pt>
                <c:pt idx="81">
                  <c:v>3.0566297448853145E-2</c:v>
                </c:pt>
                <c:pt idx="82">
                  <c:v>3.0672099213487045E-2</c:v>
                </c:pt>
                <c:pt idx="83">
                  <c:v>3.0778371102237044E-2</c:v>
                </c:pt>
                <c:pt idx="84">
                  <c:v>3.0881646381075056E-2</c:v>
                </c:pt>
                <c:pt idx="85">
                  <c:v>3.0988690680078604E-2</c:v>
                </c:pt>
                <c:pt idx="86">
                  <c:v>3.1092491078094087E-2</c:v>
                </c:pt>
                <c:pt idx="87">
                  <c:v>3.1199960096057626E-2</c:v>
                </c:pt>
                <c:pt idx="88">
                  <c:v>3.1307633861963377E-2</c:v>
                </c:pt>
                <c:pt idx="89">
                  <c:v>3.1405057722386984E-2</c:v>
                </c:pt>
                <c:pt idx="90">
                  <c:v>3.1513102029408338E-2</c:v>
                </c:pt>
                <c:pt idx="91">
                  <c:v>3.1617837453026862E-2</c:v>
                </c:pt>
                <c:pt idx="92">
                  <c:v>3.1726240365045948E-2</c:v>
                </c:pt>
                <c:pt idx="93">
                  <c:v>3.1831311542830094E-2</c:v>
                </c:pt>
                <c:pt idx="94">
                  <c:v>3.1940050244417428E-2</c:v>
                </c:pt>
                <c:pt idx="95">
                  <c:v>3.2048951464711685E-2</c:v>
                </c:pt>
                <c:pt idx="96">
                  <c:v>3.2154489609855688E-2</c:v>
                </c:pt>
                <c:pt idx="97">
                  <c:v>3.2263621473563653E-2</c:v>
                </c:pt>
                <c:pt idx="98">
                  <c:v>3.2369235208295752E-2</c:v>
                </c:pt>
                <c:pt idx="99">
                  <c:v>3.2478371658614523E-2</c:v>
                </c:pt>
                <c:pt idx="100">
                  <c:v>3.2587510334374938E-2</c:v>
                </c:pt>
                <c:pt idx="101">
                  <c:v>3.268960976031382E-2</c:v>
                </c:pt>
                <c:pt idx="102">
                  <c:v>3.2798752554621113E-2</c:v>
                </c:pt>
                <c:pt idx="103">
                  <c:v>3.290437655225719E-2</c:v>
                </c:pt>
                <c:pt idx="104">
                  <c:v>3.3013523294852486E-2</c:v>
                </c:pt>
                <c:pt idx="105">
                  <c:v>3.3119151003483546E-2</c:v>
                </c:pt>
                <c:pt idx="106">
                  <c:v>3.3228301471519332E-2</c:v>
                </c:pt>
                <c:pt idx="107">
                  <c:v>3.333745375274462E-2</c:v>
                </c:pt>
                <c:pt idx="108">
                  <c:v>3.3443086670732446E-2</c:v>
                </c:pt>
                <c:pt idx="109">
                  <c:v>3.3552187060900358E-2</c:v>
                </c:pt>
                <c:pt idx="110">
                  <c:v>3.3657666262381966E-2</c:v>
                </c:pt>
                <c:pt idx="111">
                  <c:v>3.3766559085791195E-2</c:v>
                </c:pt>
                <c:pt idx="112">
                  <c:v>3.3875350685686666E-2</c:v>
                </c:pt>
                <c:pt idx="113">
                  <c:v>3.3973529339391351E-2</c:v>
                </c:pt>
                <c:pt idx="114">
                  <c:v>3.4082135762817489E-2</c:v>
                </c:pt>
                <c:pt idx="115">
                  <c:v>3.4187149656249104E-2</c:v>
                </c:pt>
                <c:pt idx="116">
                  <c:v>3.4295574344712164E-2</c:v>
                </c:pt>
                <c:pt idx="117">
                  <c:v>3.4400416904532008E-2</c:v>
                </c:pt>
                <c:pt idx="118">
                  <c:v>3.4508669077628666E-2</c:v>
                </c:pt>
                <c:pt idx="119">
                  <c:v>3.4616836913688075E-2</c:v>
                </c:pt>
                <c:pt idx="120">
                  <c:v>3.4721437186960719E-2</c:v>
                </c:pt>
                <c:pt idx="121">
                  <c:v>3.4828584103056399E-2</c:v>
                </c:pt>
                <c:pt idx="122">
                  <c:v>3.4930587258922785E-2</c:v>
                </c:pt>
                <c:pt idx="123">
                  <c:v>3.5034289699734232E-2</c:v>
                </c:pt>
                <c:pt idx="124">
                  <c:v>3.5136305556808099E-2</c:v>
                </c:pt>
                <c:pt idx="125">
                  <c:v>3.522703355470809E-2</c:v>
                </c:pt>
                <c:pt idx="126">
                  <c:v>3.5325952181768733E-2</c:v>
                </c:pt>
                <c:pt idx="127">
                  <c:v>3.5420184077046932E-2</c:v>
                </c:pt>
                <c:pt idx="128">
                  <c:v>3.5516047866255937E-2</c:v>
                </c:pt>
                <c:pt idx="129">
                  <c:v>3.5607392641134591E-2</c:v>
                </c:pt>
                <c:pt idx="130">
                  <c:v>3.5700342328131004E-2</c:v>
                </c:pt>
                <c:pt idx="131">
                  <c:v>3.579186225849338E-2</c:v>
                </c:pt>
                <c:pt idx="132">
                  <c:v>3.5879099784352129E-2</c:v>
                </c:pt>
                <c:pt idx="133">
                  <c:v>3.5967901971389792E-2</c:v>
                </c:pt>
                <c:pt idx="134">
                  <c:v>3.6052568646793487E-2</c:v>
                </c:pt>
                <c:pt idx="135">
                  <c:v>3.6138773652816106E-2</c:v>
                </c:pt>
                <c:pt idx="136">
                  <c:v>3.6223702711184511E-2</c:v>
                </c:pt>
                <c:pt idx="137">
                  <c:v>3.6299339799746241E-2</c:v>
                </c:pt>
                <c:pt idx="138">
                  <c:v>3.6381918323108033E-2</c:v>
                </c:pt>
                <c:pt idx="139">
                  <c:v>3.6460694321959995E-2</c:v>
                </c:pt>
                <c:pt idx="140">
                  <c:v>3.6540944934986087E-2</c:v>
                </c:pt>
                <c:pt idx="141">
                  <c:v>3.6617516330522203E-2</c:v>
                </c:pt>
                <c:pt idx="142">
                  <c:v>3.6695537254634189E-2</c:v>
                </c:pt>
                <c:pt idx="143">
                  <c:v>3.6772460938645592E-2</c:v>
                </c:pt>
                <c:pt idx="144">
                  <c:v>3.6845880423617014E-2</c:v>
                </c:pt>
                <c:pt idx="145">
                  <c:v>3.6920655797577917E-2</c:v>
                </c:pt>
                <c:pt idx="146">
                  <c:v>3.699193184708937E-2</c:v>
                </c:pt>
                <c:pt idx="147">
                  <c:v>3.7064483405537224E-2</c:v>
                </c:pt>
                <c:pt idx="148">
                  <c:v>3.7135939400506919E-2</c:v>
                </c:pt>
                <c:pt idx="149">
                  <c:v>3.7201813412066291E-2</c:v>
                </c:pt>
                <c:pt idx="150">
                  <c:v>3.7271212216925052E-2</c:v>
                </c:pt>
                <c:pt idx="151">
                  <c:v>3.7337390149796597E-2</c:v>
                </c:pt>
                <c:pt idx="152">
                  <c:v>3.7404779253240227E-2</c:v>
                </c:pt>
                <c:pt idx="153">
                  <c:v>3.7469050654222319E-2</c:v>
                </c:pt>
                <c:pt idx="154">
                  <c:v>3.7534508253094921E-2</c:v>
                </c:pt>
                <c:pt idx="155">
                  <c:v>3.7599012941702877E-2</c:v>
                </c:pt>
                <c:pt idx="156">
                  <c:v>3.76605471130299E-2</c:v>
                </c:pt>
                <c:pt idx="157">
                  <c:v>3.772323074031049E-2</c:v>
                </c:pt>
                <c:pt idx="158">
                  <c:v>3.778303622714195E-2</c:v>
                </c:pt>
                <c:pt idx="159">
                  <c:v>3.7843967417677364E-2</c:v>
                </c:pt>
                <c:pt idx="160">
                  <c:v>3.7904033225162309E-2</c:v>
                </c:pt>
                <c:pt idx="161">
                  <c:v>3.7957556059287544E-2</c:v>
                </c:pt>
                <c:pt idx="162">
                  <c:v>3.8016019853318476E-2</c:v>
                </c:pt>
                <c:pt idx="163">
                  <c:v>3.8071817900572978E-2</c:v>
                </c:pt>
                <c:pt idx="164">
                  <c:v>3.8128684921567541E-2</c:v>
                </c:pt>
                <c:pt idx="165">
                  <c:v>3.8182965946332088E-2</c:v>
                </c:pt>
                <c:pt idx="166">
                  <c:v>3.8238293849934817E-2</c:v>
                </c:pt>
                <c:pt idx="167">
                  <c:v>3.8292860789251128E-2</c:v>
                </c:pt>
                <c:pt idx="168">
                  <c:v>3.8344955999702723E-2</c:v>
                </c:pt>
                <c:pt idx="169">
                  <c:v>3.8398065642143861E-2</c:v>
                </c:pt>
                <c:pt idx="170">
                  <c:v>3.8448775575795659E-2</c:v>
                </c:pt>
                <c:pt idx="171">
                  <c:v>3.8500478998964874E-2</c:v>
                </c:pt>
                <c:pt idx="172">
                  <c:v>3.8551486599211572E-2</c:v>
                </c:pt>
                <c:pt idx="173">
                  <c:v>3.8596970128932609E-2</c:v>
                </c:pt>
                <c:pt idx="174">
                  <c:v>3.8646687119048298E-2</c:v>
                </c:pt>
                <c:pt idx="175">
                  <c:v>3.8694170907351264E-2</c:v>
                </c:pt>
                <c:pt idx="176">
                  <c:v>3.8742598249714509E-2</c:v>
                </c:pt>
                <c:pt idx="177">
                  <c:v>3.8788855251490451E-2</c:v>
                </c:pt>
                <c:pt idx="178">
                  <c:v>3.8836036383991343E-2</c:v>
                </c:pt>
                <c:pt idx="179">
                  <c:v>3.888260022109425E-2</c:v>
                </c:pt>
                <c:pt idx="180">
                  <c:v>3.8927084120590136E-2</c:v>
                </c:pt>
                <c:pt idx="181">
                  <c:v>3.8972407914654672E-2</c:v>
                </c:pt>
                <c:pt idx="182">
                  <c:v>3.9015605795884409E-2</c:v>
                </c:pt>
                <c:pt idx="183">
                  <c:v>3.9059568951421139E-2</c:v>
                </c:pt>
                <c:pt idx="184">
                  <c:v>3.9102857653267181E-2</c:v>
                </c:pt>
                <c:pt idx="185">
                  <c:v>3.9141386685647664E-2</c:v>
                </c:pt>
                <c:pt idx="186">
                  <c:v>3.9183422310468306E-2</c:v>
                </c:pt>
                <c:pt idx="187">
                  <c:v>3.9223489814474141E-2</c:v>
                </c:pt>
                <c:pt idx="188">
                  <c:v>3.926427053472048E-2</c:v>
                </c:pt>
                <c:pt idx="189">
                  <c:v>3.9303142985591247E-2</c:v>
                </c:pt>
                <c:pt idx="190">
                  <c:v>3.9342708408222862E-2</c:v>
                </c:pt>
                <c:pt idx="191">
                  <c:v>3.9381670867294924E-2</c:v>
                </c:pt>
                <c:pt idx="192">
                  <c:v>3.9418811409104644E-2</c:v>
                </c:pt>
                <c:pt idx="193">
                  <c:v>3.9456615213385705E-2</c:v>
                </c:pt>
                <c:pt idx="194">
                  <c:v>3.9492651896669756E-2</c:v>
                </c:pt>
                <c:pt idx="195">
                  <c:v>3.952933267516881E-2</c:v>
                </c:pt>
                <c:pt idx="196">
                  <c:v>3.9565455923552394E-2</c:v>
                </c:pt>
                <c:pt idx="197">
                  <c:v>3.9598751564149617E-2</c:v>
                </c:pt>
                <c:pt idx="198">
                  <c:v>3.9633820121919273E-2</c:v>
                </c:pt>
                <c:pt idx="199">
                  <c:v>3.9667250193569863E-2</c:v>
                </c:pt>
                <c:pt idx="200">
                  <c:v>3.9701278371345718E-2</c:v>
                </c:pt>
                <c:pt idx="201">
                  <c:v>3.9733716719718357E-2</c:v>
                </c:pt>
                <c:pt idx="202">
                  <c:v>3.9766735404077193E-2</c:v>
                </c:pt>
                <c:pt idx="203">
                  <c:v>3.9799252513620112E-2</c:v>
                </c:pt>
                <c:pt idx="204">
                  <c:v>3.9830250193166043E-2</c:v>
                </c:pt>
                <c:pt idx="205">
                  <c:v>3.9861802121486364E-2</c:v>
                </c:pt>
                <c:pt idx="206">
                  <c:v>3.9891879417066532E-2</c:v>
                </c:pt>
                <c:pt idx="207">
                  <c:v>3.9922494124276904E-2</c:v>
                </c:pt>
                <c:pt idx="208">
                  <c:v>3.995264290921046E-2</c:v>
                </c:pt>
                <c:pt idx="209">
                  <c:v>3.9979479265798978E-2</c:v>
                </c:pt>
                <c:pt idx="210">
                  <c:v>4.0008759996356898E-2</c:v>
                </c:pt>
                <c:pt idx="211">
                  <c:v>4.0036670977281225E-2</c:v>
                </c:pt>
                <c:pt idx="212">
                  <c:v>4.0065079204896901E-2</c:v>
                </c:pt>
                <c:pt idx="213">
                  <c:v>4.009215777378148E-2</c:v>
                </c:pt>
                <c:pt idx="214">
                  <c:v>4.0119717953125363E-2</c:v>
                </c:pt>
                <c:pt idx="215">
                  <c:v>4.0146856237121435E-2</c:v>
                </c:pt>
                <c:pt idx="216">
                  <c:v>4.0172723012789374E-2</c:v>
                </c:pt>
                <c:pt idx="217">
                  <c:v>4.0199048431808201E-2</c:v>
                </c:pt>
                <c:pt idx="218">
                  <c:v>4.0224139435879186E-2</c:v>
                </c:pt>
                <c:pt idx="219">
                  <c:v>4.024967425139684E-2</c:v>
                </c:pt>
                <c:pt idx="220">
                  <c:v>4.0274815556539126E-2</c:v>
                </c:pt>
                <c:pt idx="221">
                  <c:v>4.0297190127422236E-2</c:v>
                </c:pt>
                <c:pt idx="222">
                  <c:v>4.0321597435963821E-2</c:v>
                </c:pt>
                <c:pt idx="223">
                  <c:v>4.0344857457777474E-2</c:v>
                </c:pt>
                <c:pt idx="224">
                  <c:v>4.0368525879999263E-2</c:v>
                </c:pt>
                <c:pt idx="225">
                  <c:v>4.0391080426372974E-2</c:v>
                </c:pt>
                <c:pt idx="226">
                  <c:v>4.0414029575495704E-2</c:v>
                </c:pt>
                <c:pt idx="227">
                  <c:v>4.0436620487110816E-2</c:v>
                </c:pt>
                <c:pt idx="228">
                  <c:v>4.0458146091470831E-2</c:v>
                </c:pt>
                <c:pt idx="229">
                  <c:v>4.0480046018798156E-2</c:v>
                </c:pt>
                <c:pt idx="230">
                  <c:v>4.0500911687580736E-2</c:v>
                </c:pt>
                <c:pt idx="231">
                  <c:v>4.052213857410706E-2</c:v>
                </c:pt>
                <c:pt idx="232">
                  <c:v>4.0543030101593755E-2</c:v>
                </c:pt>
                <c:pt idx="233">
                  <c:v>4.0561615278596107E-2</c:v>
                </c:pt>
                <c:pt idx="234">
                  <c:v>4.0581880624696733E-2</c:v>
                </c:pt>
                <c:pt idx="235">
                  <c:v>4.0601184853461945E-2</c:v>
                </c:pt>
                <c:pt idx="236">
                  <c:v>4.0620818981854184E-2</c:v>
                </c:pt>
                <c:pt idx="237">
                  <c:v>4.0639520120389183E-2</c:v>
                </c:pt>
                <c:pt idx="238">
                  <c:v>4.0658538943843137E-2</c:v>
                </c:pt>
                <c:pt idx="239">
                  <c:v>4.0677250998776636E-2</c:v>
                </c:pt>
                <c:pt idx="240">
                  <c:v>4.0695071033088746E-2</c:v>
                </c:pt>
                <c:pt idx="241">
                  <c:v>4.0713190825764453E-2</c:v>
                </c:pt>
                <c:pt idx="242">
                  <c:v>4.0730444912377567E-2</c:v>
                </c:pt>
                <c:pt idx="243">
                  <c:v>4.0747987179324034E-2</c:v>
                </c:pt>
                <c:pt idx="244">
                  <c:v>4.0765241398564349E-2</c:v>
                </c:pt>
                <c:pt idx="245">
                  <c:v>4.078112485304692E-2</c:v>
                </c:pt>
                <c:pt idx="246">
                  <c:v>4.0797831710396935E-2</c:v>
                </c:pt>
                <c:pt idx="247">
                  <c:v>4.0813735220058267E-2</c:v>
                </c:pt>
                <c:pt idx="248">
                  <c:v>4.0829898945883084E-2</c:v>
                </c:pt>
                <c:pt idx="249">
                  <c:v>4.0845283202974668E-2</c:v>
                </c:pt>
                <c:pt idx="250">
                  <c:v>4.0860916832222115E-2</c:v>
                </c:pt>
                <c:pt idx="251">
                  <c:v>4.0876285930279428E-2</c:v>
                </c:pt>
                <c:pt idx="252">
                  <c:v>4.0890910402772644E-2</c:v>
                </c:pt>
                <c:pt idx="253">
                  <c:v>4.0905768286096558E-2</c:v>
                </c:pt>
                <c:pt idx="254">
                  <c:v>4.0919903900911457E-2</c:v>
                </c:pt>
                <c:pt idx="255">
                  <c:v>4.0934262597125619E-2</c:v>
                </c:pt>
                <c:pt idx="256">
                  <c:v>4.0948372096909706E-2</c:v>
                </c:pt>
                <c:pt idx="257">
                  <c:v>4.0960904436051299E-2</c:v>
                </c:pt>
                <c:pt idx="258">
                  <c:v>4.0974547802271728E-2</c:v>
                </c:pt>
                <c:pt idx="259">
                  <c:v>4.0987521827283352E-2</c:v>
                </c:pt>
                <c:pt idx="260">
                  <c:v>4.1000694199736336E-2</c:v>
                </c:pt>
                <c:pt idx="261">
                  <c:v>4.101321768452617E-2</c:v>
                </c:pt>
                <c:pt idx="262">
                  <c:v>4.1025929850521191E-2</c:v>
                </c:pt>
                <c:pt idx="263">
                  <c:v>4.1038412169888398E-2</c:v>
                </c:pt>
                <c:pt idx="264">
                  <c:v>4.1050275494626622E-2</c:v>
                </c:pt>
                <c:pt idx="265">
                  <c:v>4.1062313262530251E-2</c:v>
                </c:pt>
                <c:pt idx="266">
                  <c:v>4.1073751247060912E-2</c:v>
                </c:pt>
                <c:pt idx="267">
                  <c:v>4.1085354453894725E-2</c:v>
                </c:pt>
                <c:pt idx="268">
                  <c:v>4.1096740551201091E-2</c:v>
                </c:pt>
                <c:pt idx="269">
                  <c:v>4.1106840209266526E-2</c:v>
                </c:pt>
                <c:pt idx="270">
                  <c:v>4.1117819878300925E-2</c:v>
                </c:pt>
                <c:pt idx="271">
                  <c:v>4.1128245340616001E-2</c:v>
                </c:pt>
                <c:pt idx="272">
                  <c:v>4.1138813923880267E-2</c:v>
                </c:pt>
                <c:pt idx="273">
                  <c:v>4.1148845950325703E-2</c:v>
                </c:pt>
                <c:pt idx="274">
                  <c:v>4.1159012451732875E-2</c:v>
                </c:pt>
                <c:pt idx="275">
                  <c:v>4.116897798301726E-2</c:v>
                </c:pt>
                <c:pt idx="276">
                  <c:v>4.1178432790717708E-2</c:v>
                </c:pt>
                <c:pt idx="277">
                  <c:v>4.1188009329103048E-2</c:v>
                </c:pt>
                <c:pt idx="278">
                  <c:v>4.1197091770019678E-2</c:v>
                </c:pt>
                <c:pt idx="279">
                  <c:v>4.1206287682312014E-2</c:v>
                </c:pt>
                <c:pt idx="280">
                  <c:v>4.1215293291416544E-2</c:v>
                </c:pt>
                <c:pt idx="281">
                  <c:v>4.1223265541696252E-2</c:v>
                </c:pt>
                <c:pt idx="282">
                  <c:v>4.1231914651446301E-2</c:v>
                </c:pt>
                <c:pt idx="283">
                  <c:v>4.1240109183696319E-2</c:v>
                </c:pt>
                <c:pt idx="284">
                  <c:v>4.1248397371557805E-2</c:v>
                </c:pt>
                <c:pt idx="285">
                  <c:v>4.1256246315596747E-2</c:v>
                </c:pt>
                <c:pt idx="286">
                  <c:v>4.126418115586989E-2</c:v>
                </c:pt>
                <c:pt idx="287">
                  <c:v>4.1271939261034583E-2</c:v>
                </c:pt>
                <c:pt idx="288">
                  <c:v>4.1279280595444785E-2</c:v>
                </c:pt>
                <c:pt idx="289">
                  <c:v>4.1286696380812962E-2</c:v>
                </c:pt>
                <c:pt idx="290">
                  <c:v>4.1293709878011814E-2</c:v>
                </c:pt>
                <c:pt idx="291">
                  <c:v>4.1300790403628919E-2</c:v>
                </c:pt>
                <c:pt idx="292">
                  <c:v>4.1307703194922822E-2</c:v>
                </c:pt>
                <c:pt idx="293">
                  <c:v>4.131401969812995E-2</c:v>
                </c:pt>
                <c:pt idx="294">
                  <c:v>4.1320612788853753E-2</c:v>
                </c:pt>
                <c:pt idx="295">
                  <c:v>4.1326838299235051E-2</c:v>
                </c:pt>
                <c:pt idx="296">
                  <c:v>4.1333112897686229E-2</c:v>
                </c:pt>
                <c:pt idx="297">
                  <c:v>4.1339033314763261E-2</c:v>
                </c:pt>
                <c:pt idx="298">
                  <c:v>4.1344995835582966E-2</c:v>
                </c:pt>
                <c:pt idx="299">
                  <c:v>4.1350802162807718E-2</c:v>
                </c:pt>
                <c:pt idx="300">
                  <c:v>4.1356273970292741E-2</c:v>
                </c:pt>
                <c:pt idx="301">
                  <c:v>4.1361834977268731E-2</c:v>
                </c:pt>
                <c:pt idx="302">
                  <c:v>4.1367180887274375E-2</c:v>
                </c:pt>
                <c:pt idx="303">
                  <c:v>4.1372668462349667E-2</c:v>
                </c:pt>
                <c:pt idx="304">
                  <c:v>4.1378119275711868E-2</c:v>
                </c:pt>
                <c:pt idx="305">
                  <c:v>4.1383011299872159E-2</c:v>
                </c:pt>
                <c:pt idx="306">
                  <c:v>4.1388393160480291E-2</c:v>
                </c:pt>
                <c:pt idx="307">
                  <c:v>4.1393567411891416E-2</c:v>
                </c:pt>
                <c:pt idx="308">
                  <c:v>4.1398879348982752E-2</c:v>
                </c:pt>
                <c:pt idx="309">
                  <c:v>4.1403986591888708E-2</c:v>
                </c:pt>
                <c:pt idx="310">
                  <c:v>4.1409229959380386E-2</c:v>
                </c:pt>
                <c:pt idx="311">
                  <c:v>4.1414438987716629E-2</c:v>
                </c:pt>
                <c:pt idx="312">
                  <c:v>4.1419447604160609E-2</c:v>
                </c:pt>
                <c:pt idx="313">
                  <c:v>4.1424590039537502E-2</c:v>
                </c:pt>
                <c:pt idx="314">
                  <c:v>4.1429534829118361E-2</c:v>
                </c:pt>
                <c:pt idx="315">
                  <c:v>4.1434611940422708E-2</c:v>
                </c:pt>
                <c:pt idx="316">
                  <c:v>4.1439656330219683E-2</c:v>
                </c:pt>
                <c:pt idx="317">
                  <c:v>4.1444184690787034E-2</c:v>
                </c:pt>
                <c:pt idx="318">
                  <c:v>4.144916767194063E-2</c:v>
                </c:pt>
                <c:pt idx="319">
                  <c:v>4.1453959614451884E-2</c:v>
                </c:pt>
                <c:pt idx="320">
                  <c:v>4.1458880276869954E-2</c:v>
                </c:pt>
                <c:pt idx="321">
                  <c:v>4.1463612476633917E-2</c:v>
                </c:pt>
                <c:pt idx="322">
                  <c:v>4.146847198211543E-2</c:v>
                </c:pt>
                <c:pt idx="323">
                  <c:v>4.1473300843847982E-2</c:v>
                </c:pt>
                <c:pt idx="324">
                  <c:v>4.1477945031100527E-2</c:v>
                </c:pt>
                <c:pt idx="325">
                  <c:v>4.1482714434116379E-2</c:v>
                </c:pt>
                <c:pt idx="326">
                  <c:v>4.1487301612084387E-2</c:v>
                </c:pt>
                <c:pt idx="327">
                  <c:v>4.1492012647851448E-2</c:v>
                </c:pt>
                <c:pt idx="328">
                  <c:v>4.1496694431318308E-2</c:v>
                </c:pt>
                <c:pt idx="329">
                  <c:v>4.150089822198276E-2</c:v>
                </c:pt>
                <c:pt idx="330">
                  <c:v>4.1505525079322314E-2</c:v>
                </c:pt>
                <c:pt idx="331">
                  <c:v>4.1509975570450004E-2</c:v>
                </c:pt>
                <c:pt idx="332">
                  <c:v>4.1514546649847932E-2</c:v>
                </c:pt>
                <c:pt idx="333">
                  <c:v>4.1518943650391056E-2</c:v>
                </c:pt>
                <c:pt idx="334">
                  <c:v>4.1523459954427827E-2</c:v>
                </c:pt>
                <c:pt idx="335">
                  <c:v>4.1527948798343955E-2</c:v>
                </c:pt>
                <c:pt idx="336">
                  <c:v>4.1532266930352335E-2</c:v>
                </c:pt>
                <c:pt idx="337">
                  <c:v>4.1536702466047314E-2</c:v>
                </c:pt>
                <c:pt idx="338">
                  <c:v>4.1540969468965142E-2</c:v>
                </c:pt>
                <c:pt idx="339">
                  <c:v>4.1545352640441256E-2</c:v>
                </c:pt>
                <c:pt idx="340">
                  <c:v>4.1549709555238006E-2</c:v>
                </c:pt>
                <c:pt idx="341">
                  <c:v>4.1553761816814083E-2</c:v>
                </c:pt>
                <c:pt idx="342">
                  <c:v>4.1558068577974387E-2</c:v>
                </c:pt>
                <c:pt idx="343">
                  <c:v>4.1562212059072165E-2</c:v>
                </c:pt>
                <c:pt idx="344">
                  <c:v>4.1566468713276031E-2</c:v>
                </c:pt>
                <c:pt idx="345">
                  <c:v>4.1570564126912991E-2</c:v>
                </c:pt>
                <c:pt idx="346">
                  <c:v>4.1574771543554247E-2</c:v>
                </c:pt>
                <c:pt idx="347">
                  <c:v>4.1578954264575724E-2</c:v>
                </c:pt>
                <c:pt idx="348">
                  <c:v>4.1582978749807736E-2</c:v>
                </c:pt>
                <c:pt idx="349">
                  <c:v>4.1587113506844249E-2</c:v>
                </c:pt>
                <c:pt idx="350">
                  <c:v>4.1591091974536643E-2</c:v>
                </c:pt>
                <c:pt idx="351">
                  <c:v>4.1595179587900169E-2</c:v>
                </c:pt>
                <c:pt idx="352">
                  <c:v>4.1599243551391683E-2</c:v>
                </c:pt>
                <c:pt idx="353">
                  <c:v>4.1602894070803552E-2</c:v>
                </c:pt>
                <c:pt idx="354">
                  <c:v>4.1606913586701932E-2</c:v>
                </c:pt>
                <c:pt idx="355">
                  <c:v>4.1610781480491743E-2</c:v>
                </c:pt>
                <c:pt idx="356">
                  <c:v>4.1614755804421685E-2</c:v>
                </c:pt>
                <c:pt idx="357">
                  <c:v>4.1618580332846801E-2</c:v>
                </c:pt>
                <c:pt idx="358">
                  <c:v>4.1622510222695537E-2</c:v>
                </c:pt>
                <c:pt idx="359">
                  <c:v>4.1626417816317103E-2</c:v>
                </c:pt>
                <c:pt idx="360">
                  <c:v>4.1630178307785488E-2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7E-466E-A4C0-535C9D586608}"/>
            </c:ext>
          </c:extLst>
        </c:ser>
        <c:ser>
          <c:idx val="3"/>
          <c:order val="3"/>
          <c:tx>
            <c:strRef>
              <c:f>YieldCurve!$F$25</c:f>
              <c:strCache>
                <c:ptCount val="1"/>
                <c:pt idx="0">
                  <c:v>AnnualZeroRate</c:v>
                </c:pt>
              </c:strCache>
            </c:strRef>
          </c:tx>
          <c:marker>
            <c:symbol val="none"/>
          </c:marker>
          <c:xVal>
            <c:numRef>
              <c:f>YieldCurve!$C$26:$C$386</c:f>
              <c:numCache>
                <c:formatCode>0.00</c:formatCode>
                <c:ptCount val="361"/>
                <c:pt idx="0">
                  <c:v>0</c:v>
                </c:pt>
                <c:pt idx="1">
                  <c:v>8.4931506849315067E-2</c:v>
                </c:pt>
                <c:pt idx="2">
                  <c:v>0.16712328767123288</c:v>
                </c:pt>
                <c:pt idx="3">
                  <c:v>0.25205479452054796</c:v>
                </c:pt>
                <c:pt idx="4">
                  <c:v>0.33698630136986302</c:v>
                </c:pt>
                <c:pt idx="5">
                  <c:v>0.41643835616438357</c:v>
                </c:pt>
                <c:pt idx="6">
                  <c:v>0.50136986301369868</c:v>
                </c:pt>
                <c:pt idx="7">
                  <c:v>0.58356164383561648</c:v>
                </c:pt>
                <c:pt idx="8">
                  <c:v>0.66849315068493154</c:v>
                </c:pt>
                <c:pt idx="9">
                  <c:v>0.75068493150684934</c:v>
                </c:pt>
                <c:pt idx="10">
                  <c:v>0.83561643835616439</c:v>
                </c:pt>
                <c:pt idx="11">
                  <c:v>0.92054794520547945</c:v>
                </c:pt>
                <c:pt idx="12">
                  <c:v>1.0027397260273974</c:v>
                </c:pt>
                <c:pt idx="13">
                  <c:v>1.0876712328767124</c:v>
                </c:pt>
                <c:pt idx="14">
                  <c:v>1.1698630136986301</c:v>
                </c:pt>
                <c:pt idx="15">
                  <c:v>1.2547945205479452</c:v>
                </c:pt>
                <c:pt idx="16">
                  <c:v>1.3397260273972602</c:v>
                </c:pt>
                <c:pt idx="17">
                  <c:v>1.4164383561643836</c:v>
                </c:pt>
                <c:pt idx="18">
                  <c:v>1.5013698630136987</c:v>
                </c:pt>
                <c:pt idx="19">
                  <c:v>1.5835616438356164</c:v>
                </c:pt>
                <c:pt idx="20">
                  <c:v>1.6684931506849314</c:v>
                </c:pt>
                <c:pt idx="21">
                  <c:v>1.7506849315068493</c:v>
                </c:pt>
                <c:pt idx="22">
                  <c:v>1.8356164383561644</c:v>
                </c:pt>
                <c:pt idx="23">
                  <c:v>1.9205479452054794</c:v>
                </c:pt>
                <c:pt idx="24">
                  <c:v>2.0027397260273974</c:v>
                </c:pt>
                <c:pt idx="25">
                  <c:v>2.0876712328767124</c:v>
                </c:pt>
                <c:pt idx="26">
                  <c:v>2.1698630136986301</c:v>
                </c:pt>
                <c:pt idx="27">
                  <c:v>2.2547945205479452</c:v>
                </c:pt>
                <c:pt idx="28">
                  <c:v>2.3397260273972602</c:v>
                </c:pt>
                <c:pt idx="29">
                  <c:v>2.4164383561643836</c:v>
                </c:pt>
                <c:pt idx="30">
                  <c:v>2.5013698630136987</c:v>
                </c:pt>
                <c:pt idx="31">
                  <c:v>2.5835616438356164</c:v>
                </c:pt>
                <c:pt idx="32">
                  <c:v>2.6684931506849314</c:v>
                </c:pt>
                <c:pt idx="33">
                  <c:v>2.7506849315068491</c:v>
                </c:pt>
                <c:pt idx="34">
                  <c:v>2.8356164383561642</c:v>
                </c:pt>
                <c:pt idx="35">
                  <c:v>2.9205479452054797</c:v>
                </c:pt>
                <c:pt idx="36">
                  <c:v>3.0027397260273974</c:v>
                </c:pt>
                <c:pt idx="37">
                  <c:v>3.0876712328767124</c:v>
                </c:pt>
                <c:pt idx="38">
                  <c:v>3.1698630136986301</c:v>
                </c:pt>
                <c:pt idx="39">
                  <c:v>3.2547945205479452</c:v>
                </c:pt>
                <c:pt idx="40">
                  <c:v>3.3397260273972602</c:v>
                </c:pt>
                <c:pt idx="41">
                  <c:v>3.4164383561643836</c:v>
                </c:pt>
                <c:pt idx="42">
                  <c:v>3.5013698630136987</c:v>
                </c:pt>
                <c:pt idx="43">
                  <c:v>3.5835616438356164</c:v>
                </c:pt>
                <c:pt idx="44">
                  <c:v>3.6684931506849314</c:v>
                </c:pt>
                <c:pt idx="45">
                  <c:v>3.7506849315068491</c:v>
                </c:pt>
                <c:pt idx="46">
                  <c:v>3.8356164383561642</c:v>
                </c:pt>
                <c:pt idx="47">
                  <c:v>3.9205479452054797</c:v>
                </c:pt>
                <c:pt idx="48">
                  <c:v>4.0027397260273974</c:v>
                </c:pt>
                <c:pt idx="49">
                  <c:v>4.087671232876712</c:v>
                </c:pt>
                <c:pt idx="50">
                  <c:v>4.1698630136986301</c:v>
                </c:pt>
                <c:pt idx="51">
                  <c:v>4.2547945205479456</c:v>
                </c:pt>
                <c:pt idx="52">
                  <c:v>4.3397260273972602</c:v>
                </c:pt>
                <c:pt idx="53">
                  <c:v>4.419178082191781</c:v>
                </c:pt>
                <c:pt idx="54">
                  <c:v>4.5041095890410956</c:v>
                </c:pt>
                <c:pt idx="55">
                  <c:v>4.5863013698630137</c:v>
                </c:pt>
                <c:pt idx="56">
                  <c:v>4.6712328767123283</c:v>
                </c:pt>
                <c:pt idx="57">
                  <c:v>4.7534246575342465</c:v>
                </c:pt>
                <c:pt idx="58">
                  <c:v>4.838356164383562</c:v>
                </c:pt>
                <c:pt idx="59">
                  <c:v>4.9232876712328766</c:v>
                </c:pt>
                <c:pt idx="60">
                  <c:v>5.0054794520547947</c:v>
                </c:pt>
                <c:pt idx="61">
                  <c:v>5.0904109589041093</c:v>
                </c:pt>
                <c:pt idx="62">
                  <c:v>5.1726027397260275</c:v>
                </c:pt>
                <c:pt idx="63">
                  <c:v>5.2575342465753421</c:v>
                </c:pt>
                <c:pt idx="64">
                  <c:v>5.3424657534246576</c:v>
                </c:pt>
                <c:pt idx="65">
                  <c:v>5.419178082191781</c:v>
                </c:pt>
                <c:pt idx="66">
                  <c:v>5.5041095890410956</c:v>
                </c:pt>
                <c:pt idx="67">
                  <c:v>5.5863013698630137</c:v>
                </c:pt>
                <c:pt idx="68">
                  <c:v>5.6712328767123283</c:v>
                </c:pt>
                <c:pt idx="69">
                  <c:v>5.7534246575342465</c:v>
                </c:pt>
                <c:pt idx="70">
                  <c:v>5.838356164383562</c:v>
                </c:pt>
                <c:pt idx="71">
                  <c:v>5.9232876712328766</c:v>
                </c:pt>
                <c:pt idx="72">
                  <c:v>6.0054794520547947</c:v>
                </c:pt>
                <c:pt idx="73">
                  <c:v>6.0904109589041093</c:v>
                </c:pt>
                <c:pt idx="74">
                  <c:v>6.1726027397260275</c:v>
                </c:pt>
                <c:pt idx="75">
                  <c:v>6.2575342465753421</c:v>
                </c:pt>
                <c:pt idx="76">
                  <c:v>6.3424657534246576</c:v>
                </c:pt>
                <c:pt idx="77">
                  <c:v>6.419178082191781</c:v>
                </c:pt>
                <c:pt idx="78">
                  <c:v>6.5041095890410956</c:v>
                </c:pt>
                <c:pt idx="79">
                  <c:v>6.5863013698630137</c:v>
                </c:pt>
                <c:pt idx="80">
                  <c:v>6.6712328767123283</c:v>
                </c:pt>
                <c:pt idx="81">
                  <c:v>6.7534246575342465</c:v>
                </c:pt>
                <c:pt idx="82">
                  <c:v>6.838356164383562</c:v>
                </c:pt>
                <c:pt idx="83">
                  <c:v>6.9232876712328766</c:v>
                </c:pt>
                <c:pt idx="84">
                  <c:v>7.0054794520547947</c:v>
                </c:pt>
                <c:pt idx="85">
                  <c:v>7.0904109589041093</c:v>
                </c:pt>
                <c:pt idx="86">
                  <c:v>7.1726027397260275</c:v>
                </c:pt>
                <c:pt idx="87">
                  <c:v>7.2575342465753421</c:v>
                </c:pt>
                <c:pt idx="88">
                  <c:v>7.3424657534246576</c:v>
                </c:pt>
                <c:pt idx="89">
                  <c:v>7.419178082191781</c:v>
                </c:pt>
                <c:pt idx="90">
                  <c:v>7.5041095890410956</c:v>
                </c:pt>
                <c:pt idx="91">
                  <c:v>7.5863013698630137</c:v>
                </c:pt>
                <c:pt idx="92">
                  <c:v>7.6712328767123283</c:v>
                </c:pt>
                <c:pt idx="93">
                  <c:v>7.7534246575342465</c:v>
                </c:pt>
                <c:pt idx="94">
                  <c:v>7.838356164383562</c:v>
                </c:pt>
                <c:pt idx="95">
                  <c:v>7.9232876712328766</c:v>
                </c:pt>
                <c:pt idx="96">
                  <c:v>8.0054794520547947</c:v>
                </c:pt>
                <c:pt idx="97">
                  <c:v>8.0904109589041102</c:v>
                </c:pt>
                <c:pt idx="98">
                  <c:v>8.1726027397260275</c:v>
                </c:pt>
                <c:pt idx="99">
                  <c:v>8.257534246575343</c:v>
                </c:pt>
                <c:pt idx="100">
                  <c:v>8.3424657534246567</c:v>
                </c:pt>
                <c:pt idx="101">
                  <c:v>8.4219178082191775</c:v>
                </c:pt>
                <c:pt idx="102">
                  <c:v>8.506849315068493</c:v>
                </c:pt>
                <c:pt idx="103">
                  <c:v>8.5890410958904102</c:v>
                </c:pt>
                <c:pt idx="104">
                  <c:v>8.6739726027397257</c:v>
                </c:pt>
                <c:pt idx="105">
                  <c:v>8.7561643835616429</c:v>
                </c:pt>
                <c:pt idx="106">
                  <c:v>8.8410958904109584</c:v>
                </c:pt>
                <c:pt idx="107">
                  <c:v>8.9260273972602739</c:v>
                </c:pt>
                <c:pt idx="108">
                  <c:v>9.0082191780821912</c:v>
                </c:pt>
                <c:pt idx="109">
                  <c:v>9.0931506849315067</c:v>
                </c:pt>
                <c:pt idx="110">
                  <c:v>9.1753424657534239</c:v>
                </c:pt>
                <c:pt idx="111">
                  <c:v>9.2602739726027394</c:v>
                </c:pt>
                <c:pt idx="112">
                  <c:v>9.3452054794520549</c:v>
                </c:pt>
                <c:pt idx="113">
                  <c:v>9.4219178082191775</c:v>
                </c:pt>
                <c:pt idx="114">
                  <c:v>9.506849315068493</c:v>
                </c:pt>
                <c:pt idx="115">
                  <c:v>9.5890410958904102</c:v>
                </c:pt>
                <c:pt idx="116">
                  <c:v>9.6739726027397257</c:v>
                </c:pt>
                <c:pt idx="117">
                  <c:v>9.7561643835616429</c:v>
                </c:pt>
                <c:pt idx="118">
                  <c:v>9.8410958904109584</c:v>
                </c:pt>
                <c:pt idx="119">
                  <c:v>9.9260273972602739</c:v>
                </c:pt>
                <c:pt idx="120">
                  <c:v>10.008219178082191</c:v>
                </c:pt>
                <c:pt idx="121">
                  <c:v>10.093150684931507</c:v>
                </c:pt>
                <c:pt idx="122">
                  <c:v>10.175342465753424</c:v>
                </c:pt>
                <c:pt idx="123">
                  <c:v>10.260273972602739</c:v>
                </c:pt>
                <c:pt idx="124">
                  <c:v>10.345205479452055</c:v>
                </c:pt>
                <c:pt idx="125">
                  <c:v>10.421917808219177</c:v>
                </c:pt>
                <c:pt idx="126">
                  <c:v>10.506849315068493</c:v>
                </c:pt>
                <c:pt idx="127">
                  <c:v>10.58904109589041</c:v>
                </c:pt>
                <c:pt idx="128">
                  <c:v>10.673972602739726</c:v>
                </c:pt>
                <c:pt idx="129">
                  <c:v>10.756164383561643</c:v>
                </c:pt>
                <c:pt idx="130">
                  <c:v>10.841095890410958</c:v>
                </c:pt>
                <c:pt idx="131">
                  <c:v>10.926027397260274</c:v>
                </c:pt>
                <c:pt idx="132">
                  <c:v>11.008219178082191</c:v>
                </c:pt>
                <c:pt idx="133">
                  <c:v>11.093150684931507</c:v>
                </c:pt>
                <c:pt idx="134">
                  <c:v>11.175342465753424</c:v>
                </c:pt>
                <c:pt idx="135">
                  <c:v>11.260273972602739</c:v>
                </c:pt>
                <c:pt idx="136">
                  <c:v>11.345205479452055</c:v>
                </c:pt>
                <c:pt idx="137">
                  <c:v>11.421917808219177</c:v>
                </c:pt>
                <c:pt idx="138">
                  <c:v>11.506849315068493</c:v>
                </c:pt>
                <c:pt idx="139">
                  <c:v>11.58904109589041</c:v>
                </c:pt>
                <c:pt idx="140">
                  <c:v>11.673972602739726</c:v>
                </c:pt>
                <c:pt idx="141">
                  <c:v>11.756164383561643</c:v>
                </c:pt>
                <c:pt idx="142">
                  <c:v>11.841095890410958</c:v>
                </c:pt>
                <c:pt idx="143">
                  <c:v>11.926027397260274</c:v>
                </c:pt>
                <c:pt idx="144">
                  <c:v>12.008219178082191</c:v>
                </c:pt>
                <c:pt idx="145">
                  <c:v>12.093150684931507</c:v>
                </c:pt>
                <c:pt idx="146">
                  <c:v>12.175342465753424</c:v>
                </c:pt>
                <c:pt idx="147">
                  <c:v>12.260273972602739</c:v>
                </c:pt>
                <c:pt idx="148">
                  <c:v>12.345205479452055</c:v>
                </c:pt>
                <c:pt idx="149">
                  <c:v>12.424657534246576</c:v>
                </c:pt>
                <c:pt idx="150">
                  <c:v>12.509589041095891</c:v>
                </c:pt>
                <c:pt idx="151">
                  <c:v>12.591780821917808</c:v>
                </c:pt>
                <c:pt idx="152">
                  <c:v>12.676712328767124</c:v>
                </c:pt>
                <c:pt idx="153">
                  <c:v>12.758904109589041</c:v>
                </c:pt>
                <c:pt idx="154">
                  <c:v>12.843835616438357</c:v>
                </c:pt>
                <c:pt idx="155">
                  <c:v>12.92876712328767</c:v>
                </c:pt>
                <c:pt idx="156">
                  <c:v>13.010958904109589</c:v>
                </c:pt>
                <c:pt idx="157">
                  <c:v>13.095890410958905</c:v>
                </c:pt>
                <c:pt idx="158">
                  <c:v>13.178082191780822</c:v>
                </c:pt>
                <c:pt idx="159">
                  <c:v>13.263013698630138</c:v>
                </c:pt>
                <c:pt idx="160">
                  <c:v>13.347945205479451</c:v>
                </c:pt>
                <c:pt idx="161">
                  <c:v>13.424657534246576</c:v>
                </c:pt>
                <c:pt idx="162">
                  <c:v>13.509589041095891</c:v>
                </c:pt>
                <c:pt idx="163">
                  <c:v>13.591780821917808</c:v>
                </c:pt>
                <c:pt idx="164">
                  <c:v>13.676712328767124</c:v>
                </c:pt>
                <c:pt idx="165">
                  <c:v>13.758904109589041</c:v>
                </c:pt>
                <c:pt idx="166">
                  <c:v>13.843835616438357</c:v>
                </c:pt>
                <c:pt idx="167">
                  <c:v>13.92876712328767</c:v>
                </c:pt>
                <c:pt idx="168">
                  <c:v>14.010958904109589</c:v>
                </c:pt>
                <c:pt idx="169">
                  <c:v>14.095890410958905</c:v>
                </c:pt>
                <c:pt idx="170">
                  <c:v>14.178082191780822</c:v>
                </c:pt>
                <c:pt idx="171">
                  <c:v>14.263013698630138</c:v>
                </c:pt>
                <c:pt idx="172">
                  <c:v>14.347945205479451</c:v>
                </c:pt>
                <c:pt idx="173">
                  <c:v>14.424657534246576</c:v>
                </c:pt>
                <c:pt idx="174">
                  <c:v>14.509589041095891</c:v>
                </c:pt>
                <c:pt idx="175">
                  <c:v>14.591780821917808</c:v>
                </c:pt>
                <c:pt idx="176">
                  <c:v>14.676712328767124</c:v>
                </c:pt>
                <c:pt idx="177">
                  <c:v>14.758904109589041</c:v>
                </c:pt>
                <c:pt idx="178">
                  <c:v>14.843835616438357</c:v>
                </c:pt>
                <c:pt idx="179">
                  <c:v>14.92876712328767</c:v>
                </c:pt>
                <c:pt idx="180">
                  <c:v>15.010958904109589</c:v>
                </c:pt>
                <c:pt idx="181">
                  <c:v>15.095890410958905</c:v>
                </c:pt>
                <c:pt idx="182">
                  <c:v>15.178082191780822</c:v>
                </c:pt>
                <c:pt idx="183">
                  <c:v>15.263013698630138</c:v>
                </c:pt>
                <c:pt idx="184">
                  <c:v>15.347945205479451</c:v>
                </c:pt>
                <c:pt idx="185">
                  <c:v>15.424657534246576</c:v>
                </c:pt>
                <c:pt idx="186">
                  <c:v>15.509589041095891</c:v>
                </c:pt>
                <c:pt idx="187">
                  <c:v>15.591780821917808</c:v>
                </c:pt>
                <c:pt idx="188">
                  <c:v>15.676712328767124</c:v>
                </c:pt>
                <c:pt idx="189">
                  <c:v>15.758904109589041</c:v>
                </c:pt>
                <c:pt idx="190">
                  <c:v>15.843835616438357</c:v>
                </c:pt>
                <c:pt idx="191">
                  <c:v>15.92876712328767</c:v>
                </c:pt>
                <c:pt idx="192">
                  <c:v>16.010958904109589</c:v>
                </c:pt>
                <c:pt idx="193">
                  <c:v>16.095890410958905</c:v>
                </c:pt>
                <c:pt idx="194">
                  <c:v>16.17808219178082</c:v>
                </c:pt>
                <c:pt idx="195">
                  <c:v>16.263013698630136</c:v>
                </c:pt>
                <c:pt idx="196">
                  <c:v>16.347945205479451</c:v>
                </c:pt>
                <c:pt idx="197">
                  <c:v>16.427397260273974</c:v>
                </c:pt>
                <c:pt idx="198">
                  <c:v>16.512328767123286</c:v>
                </c:pt>
                <c:pt idx="199">
                  <c:v>16.594520547945205</c:v>
                </c:pt>
                <c:pt idx="200">
                  <c:v>16.67945205479452</c:v>
                </c:pt>
                <c:pt idx="201">
                  <c:v>16.761643835616439</c:v>
                </c:pt>
                <c:pt idx="202">
                  <c:v>16.846575342465755</c:v>
                </c:pt>
                <c:pt idx="203">
                  <c:v>16.931506849315067</c:v>
                </c:pt>
                <c:pt idx="204">
                  <c:v>17.013698630136986</c:v>
                </c:pt>
                <c:pt idx="205">
                  <c:v>17.098630136986301</c:v>
                </c:pt>
                <c:pt idx="206">
                  <c:v>17.18082191780822</c:v>
                </c:pt>
                <c:pt idx="207">
                  <c:v>17.265753424657536</c:v>
                </c:pt>
                <c:pt idx="208">
                  <c:v>17.350684931506848</c:v>
                </c:pt>
                <c:pt idx="209">
                  <c:v>17.427397260273974</c:v>
                </c:pt>
                <c:pt idx="210">
                  <c:v>17.512328767123286</c:v>
                </c:pt>
                <c:pt idx="211">
                  <c:v>17.594520547945205</c:v>
                </c:pt>
                <c:pt idx="212">
                  <c:v>17.67945205479452</c:v>
                </c:pt>
                <c:pt idx="213">
                  <c:v>17.761643835616439</c:v>
                </c:pt>
                <c:pt idx="214">
                  <c:v>17.846575342465755</c:v>
                </c:pt>
                <c:pt idx="215">
                  <c:v>17.931506849315067</c:v>
                </c:pt>
                <c:pt idx="216">
                  <c:v>18.013698630136986</c:v>
                </c:pt>
                <c:pt idx="217">
                  <c:v>18.098630136986301</c:v>
                </c:pt>
                <c:pt idx="218">
                  <c:v>18.18082191780822</c:v>
                </c:pt>
                <c:pt idx="219">
                  <c:v>18.265753424657536</c:v>
                </c:pt>
                <c:pt idx="220">
                  <c:v>18.350684931506848</c:v>
                </c:pt>
                <c:pt idx="221">
                  <c:v>18.427397260273974</c:v>
                </c:pt>
                <c:pt idx="222">
                  <c:v>18.512328767123286</c:v>
                </c:pt>
                <c:pt idx="223">
                  <c:v>18.594520547945205</c:v>
                </c:pt>
                <c:pt idx="224">
                  <c:v>18.67945205479452</c:v>
                </c:pt>
                <c:pt idx="225">
                  <c:v>18.761643835616439</c:v>
                </c:pt>
                <c:pt idx="226">
                  <c:v>18.846575342465755</c:v>
                </c:pt>
                <c:pt idx="227">
                  <c:v>18.931506849315067</c:v>
                </c:pt>
                <c:pt idx="228">
                  <c:v>19.013698630136986</c:v>
                </c:pt>
                <c:pt idx="229">
                  <c:v>19.098630136986301</c:v>
                </c:pt>
                <c:pt idx="230">
                  <c:v>19.18082191780822</c:v>
                </c:pt>
                <c:pt idx="231">
                  <c:v>19.265753424657536</c:v>
                </c:pt>
                <c:pt idx="232">
                  <c:v>19.350684931506848</c:v>
                </c:pt>
                <c:pt idx="233">
                  <c:v>19.427397260273974</c:v>
                </c:pt>
                <c:pt idx="234">
                  <c:v>19.512328767123286</c:v>
                </c:pt>
                <c:pt idx="235">
                  <c:v>19.594520547945205</c:v>
                </c:pt>
                <c:pt idx="236">
                  <c:v>19.67945205479452</c:v>
                </c:pt>
                <c:pt idx="237">
                  <c:v>19.761643835616439</c:v>
                </c:pt>
                <c:pt idx="238">
                  <c:v>19.846575342465755</c:v>
                </c:pt>
                <c:pt idx="239">
                  <c:v>19.931506849315067</c:v>
                </c:pt>
                <c:pt idx="240">
                  <c:v>20.013698630136986</c:v>
                </c:pt>
                <c:pt idx="241">
                  <c:v>20.098630136986301</c:v>
                </c:pt>
                <c:pt idx="242">
                  <c:v>20.18082191780822</c:v>
                </c:pt>
                <c:pt idx="243">
                  <c:v>20.265753424657536</c:v>
                </c:pt>
                <c:pt idx="244">
                  <c:v>20.350684931506848</c:v>
                </c:pt>
                <c:pt idx="245">
                  <c:v>20.43013698630137</c:v>
                </c:pt>
                <c:pt idx="246">
                  <c:v>20.515068493150686</c:v>
                </c:pt>
                <c:pt idx="247">
                  <c:v>20.597260273972601</c:v>
                </c:pt>
                <c:pt idx="248">
                  <c:v>20.682191780821917</c:v>
                </c:pt>
                <c:pt idx="249">
                  <c:v>20.764383561643836</c:v>
                </c:pt>
                <c:pt idx="250">
                  <c:v>20.849315068493151</c:v>
                </c:pt>
                <c:pt idx="251">
                  <c:v>20.934246575342467</c:v>
                </c:pt>
                <c:pt idx="252">
                  <c:v>21.016438356164382</c:v>
                </c:pt>
                <c:pt idx="253">
                  <c:v>21.101369863013698</c:v>
                </c:pt>
                <c:pt idx="254">
                  <c:v>21.183561643835617</c:v>
                </c:pt>
                <c:pt idx="255">
                  <c:v>21.268493150684932</c:v>
                </c:pt>
                <c:pt idx="256">
                  <c:v>21.353424657534248</c:v>
                </c:pt>
                <c:pt idx="257">
                  <c:v>21.43013698630137</c:v>
                </c:pt>
                <c:pt idx="258">
                  <c:v>21.515068493150686</c:v>
                </c:pt>
                <c:pt idx="259">
                  <c:v>21.597260273972601</c:v>
                </c:pt>
                <c:pt idx="260">
                  <c:v>21.682191780821917</c:v>
                </c:pt>
                <c:pt idx="261">
                  <c:v>21.764383561643836</c:v>
                </c:pt>
                <c:pt idx="262">
                  <c:v>21.849315068493151</c:v>
                </c:pt>
                <c:pt idx="263">
                  <c:v>21.934246575342467</c:v>
                </c:pt>
                <c:pt idx="264">
                  <c:v>22.016438356164382</c:v>
                </c:pt>
                <c:pt idx="265">
                  <c:v>22.101369863013698</c:v>
                </c:pt>
                <c:pt idx="266">
                  <c:v>22.183561643835617</c:v>
                </c:pt>
                <c:pt idx="267">
                  <c:v>22.268493150684932</c:v>
                </c:pt>
                <c:pt idx="268">
                  <c:v>22.353424657534248</c:v>
                </c:pt>
                <c:pt idx="269">
                  <c:v>22.43013698630137</c:v>
                </c:pt>
                <c:pt idx="270">
                  <c:v>22.515068493150686</c:v>
                </c:pt>
                <c:pt idx="271">
                  <c:v>22.597260273972601</c:v>
                </c:pt>
                <c:pt idx="272">
                  <c:v>22.682191780821917</c:v>
                </c:pt>
                <c:pt idx="273">
                  <c:v>22.764383561643836</c:v>
                </c:pt>
                <c:pt idx="274">
                  <c:v>22.849315068493151</c:v>
                </c:pt>
                <c:pt idx="275">
                  <c:v>22.934246575342467</c:v>
                </c:pt>
                <c:pt idx="276">
                  <c:v>23.016438356164382</c:v>
                </c:pt>
                <c:pt idx="277">
                  <c:v>23.101369863013698</c:v>
                </c:pt>
                <c:pt idx="278">
                  <c:v>23.183561643835617</c:v>
                </c:pt>
                <c:pt idx="279">
                  <c:v>23.268493150684932</c:v>
                </c:pt>
                <c:pt idx="280">
                  <c:v>23.353424657534248</c:v>
                </c:pt>
                <c:pt idx="281">
                  <c:v>23.43013698630137</c:v>
                </c:pt>
                <c:pt idx="282">
                  <c:v>23.515068493150686</c:v>
                </c:pt>
                <c:pt idx="283">
                  <c:v>23.597260273972601</c:v>
                </c:pt>
                <c:pt idx="284">
                  <c:v>23.682191780821917</c:v>
                </c:pt>
                <c:pt idx="285">
                  <c:v>23.764383561643836</c:v>
                </c:pt>
                <c:pt idx="286">
                  <c:v>23.849315068493151</c:v>
                </c:pt>
                <c:pt idx="287">
                  <c:v>23.934246575342467</c:v>
                </c:pt>
                <c:pt idx="288">
                  <c:v>24.016438356164382</c:v>
                </c:pt>
                <c:pt idx="289">
                  <c:v>24.101369863013698</c:v>
                </c:pt>
                <c:pt idx="290">
                  <c:v>24.183561643835617</c:v>
                </c:pt>
                <c:pt idx="291">
                  <c:v>24.268493150684932</c:v>
                </c:pt>
                <c:pt idx="292">
                  <c:v>24.353424657534248</c:v>
                </c:pt>
                <c:pt idx="293">
                  <c:v>24.432876712328767</c:v>
                </c:pt>
                <c:pt idx="294">
                  <c:v>24.517808219178082</c:v>
                </c:pt>
                <c:pt idx="295">
                  <c:v>24.6</c:v>
                </c:pt>
                <c:pt idx="296">
                  <c:v>24.684931506849313</c:v>
                </c:pt>
                <c:pt idx="297">
                  <c:v>24.767123287671232</c:v>
                </c:pt>
                <c:pt idx="298">
                  <c:v>24.852054794520548</c:v>
                </c:pt>
                <c:pt idx="299">
                  <c:v>24.936986301369863</c:v>
                </c:pt>
                <c:pt idx="300">
                  <c:v>25.019178082191782</c:v>
                </c:pt>
                <c:pt idx="301">
                  <c:v>25.104109589041094</c:v>
                </c:pt>
                <c:pt idx="302">
                  <c:v>25.186301369863013</c:v>
                </c:pt>
                <c:pt idx="303">
                  <c:v>25.271232876712329</c:v>
                </c:pt>
                <c:pt idx="304">
                  <c:v>25.356164383561644</c:v>
                </c:pt>
                <c:pt idx="305">
                  <c:v>25.432876712328767</c:v>
                </c:pt>
                <c:pt idx="306">
                  <c:v>25.517808219178082</c:v>
                </c:pt>
                <c:pt idx="307">
                  <c:v>25.6</c:v>
                </c:pt>
                <c:pt idx="308">
                  <c:v>25.684931506849313</c:v>
                </c:pt>
                <c:pt idx="309">
                  <c:v>25.767123287671232</c:v>
                </c:pt>
                <c:pt idx="310">
                  <c:v>25.852054794520548</c:v>
                </c:pt>
                <c:pt idx="311">
                  <c:v>25.936986301369863</c:v>
                </c:pt>
                <c:pt idx="312">
                  <c:v>26.019178082191782</c:v>
                </c:pt>
                <c:pt idx="313">
                  <c:v>26.104109589041094</c:v>
                </c:pt>
                <c:pt idx="314">
                  <c:v>26.186301369863013</c:v>
                </c:pt>
                <c:pt idx="315">
                  <c:v>26.271232876712329</c:v>
                </c:pt>
                <c:pt idx="316">
                  <c:v>26.356164383561644</c:v>
                </c:pt>
                <c:pt idx="317">
                  <c:v>26.432876712328767</c:v>
                </c:pt>
                <c:pt idx="318">
                  <c:v>26.517808219178082</c:v>
                </c:pt>
                <c:pt idx="319">
                  <c:v>26.6</c:v>
                </c:pt>
                <c:pt idx="320">
                  <c:v>26.684931506849313</c:v>
                </c:pt>
                <c:pt idx="321">
                  <c:v>26.767123287671232</c:v>
                </c:pt>
                <c:pt idx="322">
                  <c:v>26.852054794520548</c:v>
                </c:pt>
                <c:pt idx="323">
                  <c:v>26.936986301369863</c:v>
                </c:pt>
                <c:pt idx="324">
                  <c:v>27.019178082191782</c:v>
                </c:pt>
                <c:pt idx="325">
                  <c:v>27.104109589041094</c:v>
                </c:pt>
                <c:pt idx="326">
                  <c:v>27.186301369863013</c:v>
                </c:pt>
                <c:pt idx="327">
                  <c:v>27.271232876712329</c:v>
                </c:pt>
                <c:pt idx="328">
                  <c:v>27.356164383561644</c:v>
                </c:pt>
                <c:pt idx="329">
                  <c:v>27.432876712328767</c:v>
                </c:pt>
                <c:pt idx="330">
                  <c:v>27.517808219178082</c:v>
                </c:pt>
                <c:pt idx="331">
                  <c:v>27.6</c:v>
                </c:pt>
                <c:pt idx="332">
                  <c:v>27.684931506849313</c:v>
                </c:pt>
                <c:pt idx="333">
                  <c:v>27.767123287671232</c:v>
                </c:pt>
                <c:pt idx="334">
                  <c:v>27.852054794520548</c:v>
                </c:pt>
                <c:pt idx="335">
                  <c:v>27.936986301369863</c:v>
                </c:pt>
                <c:pt idx="336">
                  <c:v>28.019178082191782</c:v>
                </c:pt>
                <c:pt idx="337">
                  <c:v>28.104109589041094</c:v>
                </c:pt>
                <c:pt idx="338">
                  <c:v>28.186301369863013</c:v>
                </c:pt>
                <c:pt idx="339">
                  <c:v>28.271232876712329</c:v>
                </c:pt>
                <c:pt idx="340">
                  <c:v>28.356164383561644</c:v>
                </c:pt>
                <c:pt idx="341">
                  <c:v>28.435616438356163</c:v>
                </c:pt>
                <c:pt idx="342">
                  <c:v>28.520547945205479</c:v>
                </c:pt>
                <c:pt idx="343">
                  <c:v>28.602739726027398</c:v>
                </c:pt>
                <c:pt idx="344">
                  <c:v>28.687671232876713</c:v>
                </c:pt>
                <c:pt idx="345">
                  <c:v>28.769863013698629</c:v>
                </c:pt>
                <c:pt idx="346">
                  <c:v>28.854794520547944</c:v>
                </c:pt>
                <c:pt idx="347">
                  <c:v>28.93972602739726</c:v>
                </c:pt>
                <c:pt idx="348">
                  <c:v>29.021917808219179</c:v>
                </c:pt>
                <c:pt idx="349">
                  <c:v>29.106849315068494</c:v>
                </c:pt>
                <c:pt idx="350">
                  <c:v>29.18904109589041</c:v>
                </c:pt>
                <c:pt idx="351">
                  <c:v>29.273972602739725</c:v>
                </c:pt>
                <c:pt idx="352">
                  <c:v>29.358904109589041</c:v>
                </c:pt>
                <c:pt idx="353">
                  <c:v>29.435616438356163</c:v>
                </c:pt>
                <c:pt idx="354">
                  <c:v>29.520547945205479</c:v>
                </c:pt>
                <c:pt idx="355">
                  <c:v>29.602739726027398</c:v>
                </c:pt>
                <c:pt idx="356">
                  <c:v>29.687671232876713</c:v>
                </c:pt>
                <c:pt idx="357">
                  <c:v>29.769863013698629</c:v>
                </c:pt>
                <c:pt idx="358">
                  <c:v>29.854794520547944</c:v>
                </c:pt>
                <c:pt idx="359">
                  <c:v>29.93972602739726</c:v>
                </c:pt>
                <c:pt idx="360">
                  <c:v>30.021917808219179</c:v>
                </c:pt>
              </c:numCache>
            </c:numRef>
          </c:xVal>
          <c:yVal>
            <c:numRef>
              <c:f>YieldCurve!$F$26:$F$386</c:f>
              <c:numCache>
                <c:formatCode>0.00%</c:formatCode>
                <c:ptCount val="361"/>
                <c:pt idx="0">
                  <c:v>2.7000036451063636E-2</c:v>
                </c:pt>
                <c:pt idx="1">
                  <c:v>2.7367802763488935E-2</c:v>
                </c:pt>
                <c:pt idx="2">
                  <c:v>2.7367802763488713E-2</c:v>
                </c:pt>
                <c:pt idx="3">
                  <c:v>2.7367802763489602E-2</c:v>
                </c:pt>
                <c:pt idx="4">
                  <c:v>2.7367802763489602E-2</c:v>
                </c:pt>
                <c:pt idx="5">
                  <c:v>2.7367802763489379E-2</c:v>
                </c:pt>
                <c:pt idx="6">
                  <c:v>2.7367802763489379E-2</c:v>
                </c:pt>
                <c:pt idx="7">
                  <c:v>2.7367802763489379E-2</c:v>
                </c:pt>
                <c:pt idx="8">
                  <c:v>2.7367802763489157E-2</c:v>
                </c:pt>
                <c:pt idx="9">
                  <c:v>2.7367802763489379E-2</c:v>
                </c:pt>
                <c:pt idx="10">
                  <c:v>2.7367802763489602E-2</c:v>
                </c:pt>
                <c:pt idx="11">
                  <c:v>2.7367802763489379E-2</c:v>
                </c:pt>
                <c:pt idx="12">
                  <c:v>2.7367802763489379E-2</c:v>
                </c:pt>
                <c:pt idx="13">
                  <c:v>2.7369506123064324E-2</c:v>
                </c:pt>
                <c:pt idx="14">
                  <c:v>2.7373934820533963E-2</c:v>
                </c:pt>
                <c:pt idx="15">
                  <c:v>2.7380807034764976E-2</c:v>
                </c:pt>
                <c:pt idx="16">
                  <c:v>2.7389573797714117E-2</c:v>
                </c:pt>
                <c:pt idx="17">
                  <c:v>2.7398837138673526E-2</c:v>
                </c:pt>
                <c:pt idx="18">
                  <c:v>2.7410337554454101E-2</c:v>
                </c:pt>
                <c:pt idx="19">
                  <c:v>2.7422520552908169E-2</c:v>
                </c:pt>
                <c:pt idx="20">
                  <c:v>2.7436033926021786E-2</c:v>
                </c:pt>
                <c:pt idx="21">
                  <c:v>2.7449878516960569E-2</c:v>
                </c:pt>
                <c:pt idx="22">
                  <c:v>2.7464868504650131E-2</c:v>
                </c:pt>
                <c:pt idx="23">
                  <c:v>2.7480462440629294E-2</c:v>
                </c:pt>
                <c:pt idx="24">
                  <c:v>2.7496056065045238E-2</c:v>
                </c:pt>
                <c:pt idx="25">
                  <c:v>2.7512626285236541E-2</c:v>
                </c:pt>
                <c:pt idx="26">
                  <c:v>2.7529053308791296E-2</c:v>
                </c:pt>
                <c:pt idx="27">
                  <c:v>2.7546387115992665E-2</c:v>
                </c:pt>
                <c:pt idx="28">
                  <c:v>2.7564046743824289E-2</c:v>
                </c:pt>
                <c:pt idx="29">
                  <c:v>2.7580248887837389E-2</c:v>
                </c:pt>
                <c:pt idx="30">
                  <c:v>2.7598438028594519E-2</c:v>
                </c:pt>
                <c:pt idx="31">
                  <c:v>2.761626794614136E-2</c:v>
                </c:pt>
                <c:pt idx="32">
                  <c:v>2.7634905136395549E-2</c:v>
                </c:pt>
                <c:pt idx="33">
                  <c:v>2.7653128561187401E-2</c:v>
                </c:pt>
                <c:pt idx="34">
                  <c:v>2.7672135939083908E-2</c:v>
                </c:pt>
                <c:pt idx="35">
                  <c:v>2.7691307272600385E-2</c:v>
                </c:pt>
                <c:pt idx="36">
                  <c:v>2.771000321615813E-2</c:v>
                </c:pt>
                <c:pt idx="37">
                  <c:v>2.7731271191972384E-2</c:v>
                </c:pt>
                <c:pt idx="38">
                  <c:v>2.7755244858714168E-2</c:v>
                </c:pt>
                <c:pt idx="39">
                  <c:v>2.7783251320678604E-2</c:v>
                </c:pt>
                <c:pt idx="40">
                  <c:v>2.7814296718219333E-2</c:v>
                </c:pt>
                <c:pt idx="41">
                  <c:v>2.7844761503744486E-2</c:v>
                </c:pt>
                <c:pt idx="42">
                  <c:v>2.7880985180217754E-2</c:v>
                </c:pt>
                <c:pt idx="43">
                  <c:v>2.7918366993422428E-2</c:v>
                </c:pt>
                <c:pt idx="44">
                  <c:v>2.7959234224255169E-2</c:v>
                </c:pt>
                <c:pt idx="45">
                  <c:v>2.8000806563345471E-2</c:v>
                </c:pt>
                <c:pt idx="46">
                  <c:v>2.8045718459142277E-2</c:v>
                </c:pt>
                <c:pt idx="47">
                  <c:v>2.8092488892438761E-2</c:v>
                </c:pt>
                <c:pt idx="48">
                  <c:v>2.813940909729773E-2</c:v>
                </c:pt>
                <c:pt idx="49">
                  <c:v>2.8190889028825383E-2</c:v>
                </c:pt>
                <c:pt idx="50">
                  <c:v>2.8244708267577634E-2</c:v>
                </c:pt>
                <c:pt idx="51">
                  <c:v>2.8304210705209831E-2</c:v>
                </c:pt>
                <c:pt idx="52">
                  <c:v>2.8367437371506599E-2</c:v>
                </c:pt>
                <c:pt idx="53">
                  <c:v>2.8429767027202457E-2</c:v>
                </c:pt>
                <c:pt idx="54">
                  <c:v>2.8499609420493455E-2</c:v>
                </c:pt>
                <c:pt idx="55">
                  <c:v>2.857019194913879E-2</c:v>
                </c:pt>
                <c:pt idx="56">
                  <c:v>2.8646054115674113E-2</c:v>
                </c:pt>
                <c:pt idx="57">
                  <c:v>2.8722153884505275E-2</c:v>
                </c:pt>
                <c:pt idx="58">
                  <c:v>2.8803420951802439E-2</c:v>
                </c:pt>
                <c:pt idx="59">
                  <c:v>2.8887225819131945E-2</c:v>
                </c:pt>
                <c:pt idx="60">
                  <c:v>2.8970622832258819E-2</c:v>
                </c:pt>
                <c:pt idx="61">
                  <c:v>2.9058807571519463E-2</c:v>
                </c:pt>
                <c:pt idx="62">
                  <c:v>2.9145769565971813E-2</c:v>
                </c:pt>
                <c:pt idx="63">
                  <c:v>2.9237226714635467E-2</c:v>
                </c:pt>
                <c:pt idx="64">
                  <c:v>2.9330230692016013E-2</c:v>
                </c:pt>
                <c:pt idx="65">
                  <c:v>2.9415503982620939E-2</c:v>
                </c:pt>
                <c:pt idx="66">
                  <c:v>2.9511257184947626E-2</c:v>
                </c:pt>
                <c:pt idx="67">
                  <c:v>2.9605207834911162E-2</c:v>
                </c:pt>
                <c:pt idx="68">
                  <c:v>2.9703560990611111E-2</c:v>
                </c:pt>
                <c:pt idx="69">
                  <c:v>2.9799918710772477E-2</c:v>
                </c:pt>
                <c:pt idx="70">
                  <c:v>2.9900653066158744E-2</c:v>
                </c:pt>
                <c:pt idx="71">
                  <c:v>3.0002521598273546E-2</c:v>
                </c:pt>
                <c:pt idx="72">
                  <c:v>3.010213931680239E-2</c:v>
                </c:pt>
                <c:pt idx="73">
                  <c:v>3.0205947032454494E-2</c:v>
                </c:pt>
                <c:pt idx="74">
                  <c:v>3.0307069206547466E-2</c:v>
                </c:pt>
                <c:pt idx="75">
                  <c:v>3.0412220333431605E-2</c:v>
                </c:pt>
                <c:pt idx="76">
                  <c:v>3.0518014496584867E-2</c:v>
                </c:pt>
                <c:pt idx="77">
                  <c:v>3.0614102502950713E-2</c:v>
                </c:pt>
                <c:pt idx="78">
                  <c:v>3.072105287474125E-2</c:v>
                </c:pt>
                <c:pt idx="79">
                  <c:v>3.0825100307639186E-2</c:v>
                </c:pt>
                <c:pt idx="80">
                  <c:v>3.0933160521587233E-2</c:v>
                </c:pt>
                <c:pt idx="81">
                  <c:v>3.1038242988123299E-2</c:v>
                </c:pt>
                <c:pt idx="82">
                  <c:v>3.1147334424567852E-2</c:v>
                </c:pt>
                <c:pt idx="83">
                  <c:v>3.1256922222324679E-2</c:v>
                </c:pt>
                <c:pt idx="84">
                  <c:v>3.1363431068291536E-2</c:v>
                </c:pt>
                <c:pt idx="85">
                  <c:v>3.1473838552928513E-2</c:v>
                </c:pt>
                <c:pt idx="86">
                  <c:v>3.1580911504924369E-2</c:v>
                </c:pt>
                <c:pt idx="87">
                  <c:v>3.1691780449815354E-2</c:v>
                </c:pt>
                <c:pt idx="88">
                  <c:v>3.1802872569816509E-2</c:v>
                </c:pt>
                <c:pt idx="89">
                  <c:v>3.1903399685648814E-2</c:v>
                </c:pt>
                <c:pt idx="90">
                  <c:v>3.2014896996597209E-2</c:v>
                </c:pt>
                <c:pt idx="91">
                  <c:v>3.2122991174560633E-2</c:v>
                </c:pt>
                <c:pt idx="92">
                  <c:v>3.2234882376922291E-2</c:v>
                </c:pt>
                <c:pt idx="93">
                  <c:v>3.2343346209875001E-2</c:v>
                </c:pt>
                <c:pt idx="94">
                  <c:v>3.2455607988423729E-2</c:v>
                </c:pt>
                <c:pt idx="95">
                  <c:v>3.2568049786446673E-2</c:v>
                </c:pt>
                <c:pt idx="96">
                  <c:v>3.2677030853884848E-2</c:v>
                </c:pt>
                <c:pt idx="97">
                  <c:v>3.2789734972563656E-2</c:v>
                </c:pt>
                <c:pt idx="98">
                  <c:v>3.2898817513872913E-2</c:v>
                </c:pt>
                <c:pt idx="99">
                  <c:v>3.3011550575886117E-2</c:v>
                </c:pt>
                <c:pt idx="100">
                  <c:v>3.3124298241014705E-2</c:v>
                </c:pt>
                <c:pt idx="101">
                  <c:v>3.3229785023767056E-2</c:v>
                </c:pt>
                <c:pt idx="102">
                  <c:v>3.3342560763883755E-2</c:v>
                </c:pt>
                <c:pt idx="103">
                  <c:v>3.345171230048849E-2</c:v>
                </c:pt>
                <c:pt idx="104">
                  <c:v>3.3564516344500639E-2</c:v>
                </c:pt>
                <c:pt idx="105">
                  <c:v>3.367369516213703E-2</c:v>
                </c:pt>
                <c:pt idx="106">
                  <c:v>3.3786527287487989E-2</c:v>
                </c:pt>
                <c:pt idx="107">
                  <c:v>3.3899373603845762E-2</c:v>
                </c:pt>
                <c:pt idx="108">
                  <c:v>3.4008593180075097E-2</c:v>
                </c:pt>
                <c:pt idx="109">
                  <c:v>3.4121410075099723E-2</c:v>
                </c:pt>
                <c:pt idx="110">
                  <c:v>3.4230494128617783E-2</c:v>
                </c:pt>
                <c:pt idx="111">
                  <c:v>3.434312053917199E-2</c:v>
                </c:pt>
                <c:pt idx="112">
                  <c:v>3.44556545033603E-2</c:v>
                </c:pt>
                <c:pt idx="113">
                  <c:v>3.4557220952583734E-2</c:v>
                </c:pt>
                <c:pt idx="114">
                  <c:v>3.466958661388686E-2</c:v>
                </c:pt>
                <c:pt idx="115">
                  <c:v>3.4778247000917695E-2</c:v>
                </c:pt>
                <c:pt idx="116">
                  <c:v>3.4890448592578505E-2</c:v>
                </c:pt>
                <c:pt idx="117">
                  <c:v>3.4998954844279284E-2</c:v>
                </c:pt>
                <c:pt idx="118">
                  <c:v>3.5111001794847496E-2</c:v>
                </c:pt>
                <c:pt idx="119">
                  <c:v>3.5222973567755833E-2</c:v>
                </c:pt>
                <c:pt idx="120">
                  <c:v>3.5331263837186322E-2</c:v>
                </c:pt>
                <c:pt idx="121">
                  <c:v>3.5442202332496731E-2</c:v>
                </c:pt>
                <c:pt idx="122">
                  <c:v>3.5547826091738566E-2</c:v>
                </c:pt>
                <c:pt idx="123">
                  <c:v>3.5655220497316176E-2</c:v>
                </c:pt>
                <c:pt idx="124">
                  <c:v>3.5760879141605084E-2</c:v>
                </c:pt>
                <c:pt idx="125">
                  <c:v>3.5854855915570472E-2</c:v>
                </c:pt>
                <c:pt idx="126">
                  <c:v>3.5957326323784233E-2</c:v>
                </c:pt>
                <c:pt idx="127">
                  <c:v>3.605495114568491E-2</c:v>
                </c:pt>
                <c:pt idx="128">
                  <c:v>3.6154276059885637E-2</c:v>
                </c:pt>
                <c:pt idx="129">
                  <c:v>3.6248927661870711E-2</c:v>
                </c:pt>
                <c:pt idx="130">
                  <c:v>3.6345251151897129E-2</c:v>
                </c:pt>
                <c:pt idx="131">
                  <c:v>3.6440101737407193E-2</c:v>
                </c:pt>
                <c:pt idx="132">
                  <c:v>3.6530522151552836E-2</c:v>
                </c:pt>
                <c:pt idx="133">
                  <c:v>3.6622572415923038E-2</c:v>
                </c:pt>
                <c:pt idx="134">
                  <c:v>3.6710343518369326E-2</c:v>
                </c:pt>
                <c:pt idx="135">
                  <c:v>3.6799716991940956E-2</c:v>
                </c:pt>
                <c:pt idx="136">
                  <c:v>3.6887775154917257E-2</c:v>
                </c:pt>
                <c:pt idx="137">
                  <c:v>3.696620529347161E-2</c:v>
                </c:pt>
                <c:pt idx="138">
                  <c:v>3.7051839967224609E-2</c:v>
                </c:pt>
                <c:pt idx="139">
                  <c:v>3.7133537979658238E-2</c:v>
                </c:pt>
                <c:pt idx="140">
                  <c:v>3.7216771921613878E-2</c:v>
                </c:pt>
                <c:pt idx="141">
                  <c:v>3.7296196098084433E-2</c:v>
                </c:pt>
                <c:pt idx="142">
                  <c:v>3.7377130063112274E-2</c:v>
                </c:pt>
                <c:pt idx="143">
                  <c:v>3.7456932002956078E-2</c:v>
                </c:pt>
                <c:pt idx="144">
                  <c:v>3.7533104352816871E-2</c:v>
                </c:pt>
                <c:pt idx="145">
                  <c:v>3.7610689179372825E-2</c:v>
                </c:pt>
                <c:pt idx="146">
                  <c:v>3.7684648605964988E-2</c:v>
                </c:pt>
                <c:pt idx="147">
                  <c:v>3.7759936975509945E-2</c:v>
                </c:pt>
                <c:pt idx="148">
                  <c:v>3.7834093793789325E-2</c:v>
                </c:pt>
                <c:pt idx="149">
                  <c:v>3.7902462340711152E-2</c:v>
                </c:pt>
                <c:pt idx="150">
                  <c:v>3.797449403058506E-2</c:v>
                </c:pt>
                <c:pt idx="151">
                  <c:v>3.8043187309938054E-2</c:v>
                </c:pt>
                <c:pt idx="152">
                  <c:v>3.8113142466747796E-2</c:v>
                </c:pt>
                <c:pt idx="153">
                  <c:v>3.8179865596963625E-2</c:v>
                </c:pt>
                <c:pt idx="154">
                  <c:v>3.8247824582355205E-2</c:v>
                </c:pt>
                <c:pt idx="155">
                  <c:v>3.8314798595023403E-2</c:v>
                </c:pt>
                <c:pt idx="156">
                  <c:v>3.8378692401537684E-2</c:v>
                </c:pt>
                <c:pt idx="157">
                  <c:v>3.8443783784529062E-2</c:v>
                </c:pt>
                <c:pt idx="158">
                  <c:v>3.8505890277701349E-2</c:v>
                </c:pt>
                <c:pt idx="159">
                  <c:v>3.8569169605796816E-2</c:v>
                </c:pt>
                <c:pt idx="160">
                  <c:v>3.8631553975163158E-2</c:v>
                </c:pt>
                <c:pt idx="161">
                  <c:v>3.8687145967251091E-2</c:v>
                </c:pt>
                <c:pt idx="162">
                  <c:v>3.8747873333774274E-2</c:v>
                </c:pt>
                <c:pt idx="163">
                  <c:v>3.8805835053756343E-2</c:v>
                </c:pt>
                <c:pt idx="164">
                  <c:v>3.8864910526694718E-2</c:v>
                </c:pt>
                <c:pt idx="165">
                  <c:v>3.892130270912908E-2</c:v>
                </c:pt>
                <c:pt idx="166">
                  <c:v>3.8978785637006519E-2</c:v>
                </c:pt>
                <c:pt idx="167">
                  <c:v>3.9035481076187484E-2</c:v>
                </c:pt>
                <c:pt idx="168">
                  <c:v>3.9089611258190216E-2</c:v>
                </c:pt>
                <c:pt idx="169">
                  <c:v>3.9144798401380188E-2</c:v>
                </c:pt>
                <c:pt idx="170">
                  <c:v>3.9197494701263214E-2</c:v>
                </c:pt>
                <c:pt idx="171">
                  <c:v>3.9251226158126373E-2</c:v>
                </c:pt>
                <c:pt idx="172">
                  <c:v>3.9304237221198246E-2</c:v>
                </c:pt>
                <c:pt idx="173">
                  <c:v>3.9351509521408534E-2</c:v>
                </c:pt>
                <c:pt idx="174">
                  <c:v>3.9403184234678923E-2</c:v>
                </c:pt>
                <c:pt idx="175">
                  <c:v>3.9452540207235653E-2</c:v>
                </c:pt>
                <c:pt idx="176">
                  <c:v>3.9502879350156173E-2</c:v>
                </c:pt>
                <c:pt idx="177">
                  <c:v>3.9550964748827022E-2</c:v>
                </c:pt>
                <c:pt idx="178">
                  <c:v>3.9600013097705444E-2</c:v>
                </c:pt>
                <c:pt idx="179">
                  <c:v>3.9648421990410743E-2</c:v>
                </c:pt>
                <c:pt idx="180">
                  <c:v>3.9694670634977891E-2</c:v>
                </c:pt>
                <c:pt idx="181">
                  <c:v>3.9741794610030468E-2</c:v>
                </c:pt>
                <c:pt idx="182">
                  <c:v>3.9786710222706301E-2</c:v>
                </c:pt>
                <c:pt idx="183">
                  <c:v>3.9832423532416117E-2</c:v>
                </c:pt>
                <c:pt idx="184">
                  <c:v>3.9877437502459312E-2</c:v>
                </c:pt>
                <c:pt idx="185">
                  <c:v>3.9917503745772409E-2</c:v>
                </c:pt>
                <c:pt idx="186">
                  <c:v>3.9961218246581165E-2</c:v>
                </c:pt>
                <c:pt idx="187">
                  <c:v>4.0002887731649617E-2</c:v>
                </c:pt>
                <c:pt idx="188">
                  <c:v>4.0045300663278827E-2</c:v>
                </c:pt>
                <c:pt idx="189">
                  <c:v>4.0085730558931498E-2</c:v>
                </c:pt>
                <c:pt idx="190">
                  <c:v>4.0126882804531805E-2</c:v>
                </c:pt>
                <c:pt idx="191">
                  <c:v>4.016740949513764E-2</c:v>
                </c:pt>
                <c:pt idx="192">
                  <c:v>4.0206042593721625E-2</c:v>
                </c:pt>
                <c:pt idx="193">
                  <c:v>4.0245367082670791E-2</c:v>
                </c:pt>
                <c:pt idx="194">
                  <c:v>4.0282854750963715E-2</c:v>
                </c:pt>
                <c:pt idx="195">
                  <c:v>4.0321013835783237E-2</c:v>
                </c:pt>
                <c:pt idx="196">
                  <c:v>4.0358594288924632E-2</c:v>
                </c:pt>
                <c:pt idx="197">
                  <c:v>4.0393234271449474E-2</c:v>
                </c:pt>
                <c:pt idx="198">
                  <c:v>4.0429720001435854E-2</c:v>
                </c:pt>
                <c:pt idx="199">
                  <c:v>4.0464502222905763E-2</c:v>
                </c:pt>
                <c:pt idx="200">
                  <c:v>4.0499907936349278E-2</c:v>
                </c:pt>
                <c:pt idx="201">
                  <c:v>4.0533660582281694E-2</c:v>
                </c:pt>
                <c:pt idx="202">
                  <c:v>4.0568018202003842E-2</c:v>
                </c:pt>
                <c:pt idx="203">
                  <c:v>4.0601855016373367E-2</c:v>
                </c:pt>
                <c:pt idx="204">
                  <c:v>4.0634111759149549E-2</c:v>
                </c:pt>
                <c:pt idx="205">
                  <c:v>4.0666946290045081E-2</c:v>
                </c:pt>
                <c:pt idx="206">
                  <c:v>4.0698247208110327E-2</c:v>
                </c:pt>
                <c:pt idx="207">
                  <c:v>4.0730108367950546E-2</c:v>
                </c:pt>
                <c:pt idx="208">
                  <c:v>4.0761485589151603E-2</c:v>
                </c:pt>
                <c:pt idx="209">
                  <c:v>4.0789416210278873E-2</c:v>
                </c:pt>
                <c:pt idx="210">
                  <c:v>4.0819891730913049E-2</c:v>
                </c:pt>
                <c:pt idx="211">
                  <c:v>4.084894244047188E-2</c:v>
                </c:pt>
                <c:pt idx="212">
                  <c:v>4.0878511534143014E-2</c:v>
                </c:pt>
                <c:pt idx="213">
                  <c:v>4.0906697416233095E-2</c:v>
                </c:pt>
                <c:pt idx="214">
                  <c:v>4.0935385386815071E-2</c:v>
                </c:pt>
                <c:pt idx="215">
                  <c:v>4.0963634970246243E-2</c:v>
                </c:pt>
                <c:pt idx="216">
                  <c:v>4.0990561691322647E-2</c:v>
                </c:pt>
                <c:pt idx="217">
                  <c:v>4.1017966564774522E-2</c:v>
                </c:pt>
                <c:pt idx="218">
                  <c:v>4.1044087078505154E-2</c:v>
                </c:pt>
                <c:pt idx="219">
                  <c:v>4.107067028661171E-2</c:v>
                </c:pt>
                <c:pt idx="220">
                  <c:v>4.1096844491033568E-2</c:v>
                </c:pt>
                <c:pt idx="221">
                  <c:v>4.1120138846776566E-2</c:v>
                </c:pt>
                <c:pt idx="222">
                  <c:v>4.1145550097342998E-2</c:v>
                </c:pt>
                <c:pt idx="223">
                  <c:v>4.116976744719647E-2</c:v>
                </c:pt>
                <c:pt idx="224">
                  <c:v>4.1194410584487917E-2</c:v>
                </c:pt>
                <c:pt idx="225">
                  <c:v>4.1217894516939246E-2</c:v>
                </c:pt>
                <c:pt idx="226">
                  <c:v>4.1241789855857469E-2</c:v>
                </c:pt>
                <c:pt idx="227">
                  <c:v>4.126531272280265E-2</c:v>
                </c:pt>
                <c:pt idx="228">
                  <c:v>4.1287726829195792E-2</c:v>
                </c:pt>
                <c:pt idx="229">
                  <c:v>4.1310531204446388E-2</c:v>
                </c:pt>
                <c:pt idx="230">
                  <c:v>4.1332259071772626E-2</c:v>
                </c:pt>
                <c:pt idx="231">
                  <c:v>4.1354363548075979E-2</c:v>
                </c:pt>
                <c:pt idx="232">
                  <c:v>4.137611925863971E-2</c:v>
                </c:pt>
                <c:pt idx="233">
                  <c:v>4.139547359799356E-2</c:v>
                </c:pt>
                <c:pt idx="234">
                  <c:v>4.1416578051537423E-2</c:v>
                </c:pt>
                <c:pt idx="235">
                  <c:v>4.1436681989444946E-2</c:v>
                </c:pt>
                <c:pt idx="236">
                  <c:v>4.1457129891709021E-2</c:v>
                </c:pt>
                <c:pt idx="237">
                  <c:v>4.1476606507890423E-2</c:v>
                </c:pt>
                <c:pt idx="238">
                  <c:v>4.1496414355961297E-2</c:v>
                </c:pt>
                <c:pt idx="239">
                  <c:v>4.1515903076416283E-2</c:v>
                </c:pt>
                <c:pt idx="240">
                  <c:v>4.1534463090915352E-2</c:v>
                </c:pt>
                <c:pt idx="241">
                  <c:v>4.1553335650434065E-2</c:v>
                </c:pt>
                <c:pt idx="242">
                  <c:v>4.157130685693744E-2</c:v>
                </c:pt>
                <c:pt idx="243">
                  <c:v>4.158957853910894E-2</c:v>
                </c:pt>
                <c:pt idx="244">
                  <c:v>4.1607550509101143E-2</c:v>
                </c:pt>
                <c:pt idx="245">
                  <c:v>4.1624094966609571E-2</c:v>
                </c:pt>
                <c:pt idx="246">
                  <c:v>4.1641497377145953E-2</c:v>
                </c:pt>
                <c:pt idx="247">
                  <c:v>4.165806326449073E-2</c:v>
                </c:pt>
                <c:pt idx="248">
                  <c:v>4.1674900475904275E-2</c:v>
                </c:pt>
                <c:pt idx="249">
                  <c:v>4.1690925993648875E-2</c:v>
                </c:pt>
                <c:pt idx="250">
                  <c:v>4.1707211530677135E-2</c:v>
                </c:pt>
                <c:pt idx="251">
                  <c:v>4.1723221753989126E-2</c:v>
                </c:pt>
                <c:pt idx="252">
                  <c:v>4.173845651799124E-2</c:v>
                </c:pt>
                <c:pt idx="253">
                  <c:v>4.1753934661417968E-2</c:v>
                </c:pt>
                <c:pt idx="254">
                  <c:v>4.1768660597850227E-2</c:v>
                </c:pt>
                <c:pt idx="255">
                  <c:v>4.1783619144965423E-2</c:v>
                </c:pt>
                <c:pt idx="256">
                  <c:v>4.1798318294413495E-2</c:v>
                </c:pt>
                <c:pt idx="257">
                  <c:v>4.1811374546067981E-2</c:v>
                </c:pt>
                <c:pt idx="258">
                  <c:v>4.1825588457146123E-2</c:v>
                </c:pt>
                <c:pt idx="259">
                  <c:v>4.1839105216071593E-2</c:v>
                </c:pt>
                <c:pt idx="260">
                  <c:v>4.1852828799187503E-2</c:v>
                </c:pt>
                <c:pt idx="261">
                  <c:v>4.1865876508943467E-2</c:v>
                </c:pt>
                <c:pt idx="262">
                  <c:v>4.1879120965092831E-2</c:v>
                </c:pt>
                <c:pt idx="263">
                  <c:v>4.1892126114189798E-2</c:v>
                </c:pt>
                <c:pt idx="264">
                  <c:v>4.1904486492141624E-2</c:v>
                </c:pt>
                <c:pt idx="265">
                  <c:v>4.1917028772018083E-2</c:v>
                </c:pt>
                <c:pt idx="266">
                  <c:v>4.1928946271031498E-2</c:v>
                </c:pt>
                <c:pt idx="267">
                  <c:v>4.1941036058241066E-2</c:v>
                </c:pt>
                <c:pt idx="268">
                  <c:v>4.1952899767805807E-2</c:v>
                </c:pt>
                <c:pt idx="269">
                  <c:v>4.1963423188954962E-2</c:v>
                </c:pt>
                <c:pt idx="270">
                  <c:v>4.1974863665293904E-2</c:v>
                </c:pt>
                <c:pt idx="271">
                  <c:v>4.1985726791594624E-2</c:v>
                </c:pt>
                <c:pt idx="272">
                  <c:v>4.1996739162700969E-2</c:v>
                </c:pt>
                <c:pt idx="273">
                  <c:v>4.2007192553978445E-2</c:v>
                </c:pt>
                <c:pt idx="274">
                  <c:v>4.2017786175417848E-2</c:v>
                </c:pt>
                <c:pt idx="275">
                  <c:v>4.2028170488007444E-2</c:v>
                </c:pt>
                <c:pt idx="276">
                  <c:v>4.2038022710553236E-2</c:v>
                </c:pt>
                <c:pt idx="277">
                  <c:v>4.2048001875459429E-2</c:v>
                </c:pt>
                <c:pt idx="278">
                  <c:v>4.2057466257848564E-2</c:v>
                </c:pt>
                <c:pt idx="279">
                  <c:v>4.2067048970972687E-2</c:v>
                </c:pt>
                <c:pt idx="280">
                  <c:v>4.2076433461732954E-2</c:v>
                </c:pt>
                <c:pt idx="281">
                  <c:v>4.2084741188986641E-2</c:v>
                </c:pt>
                <c:pt idx="282">
                  <c:v>4.2093754333259792E-2</c:v>
                </c:pt>
                <c:pt idx="283">
                  <c:v>4.2102293839125782E-2</c:v>
                </c:pt>
                <c:pt idx="284">
                  <c:v>4.2110931014501363E-2</c:v>
                </c:pt>
                <c:pt idx="285">
                  <c:v>4.2119110516981362E-2</c:v>
                </c:pt>
                <c:pt idx="286">
                  <c:v>4.2127379598475789E-2</c:v>
                </c:pt>
                <c:pt idx="287">
                  <c:v>4.2135464563643588E-2</c:v>
                </c:pt>
                <c:pt idx="288">
                  <c:v>4.2143115256672914E-2</c:v>
                </c:pt>
                <c:pt idx="289">
                  <c:v>4.2150843594994436E-2</c:v>
                </c:pt>
                <c:pt idx="290">
                  <c:v>4.2158152742648003E-2</c:v>
                </c:pt>
                <c:pt idx="291">
                  <c:v>4.2165531796269251E-2</c:v>
                </c:pt>
                <c:pt idx="292">
                  <c:v>4.2172736093985197E-2</c:v>
                </c:pt>
                <c:pt idx="293">
                  <c:v>4.2179319002205728E-2</c:v>
                </c:pt>
                <c:pt idx="294">
                  <c:v>4.2186190207657459E-2</c:v>
                </c:pt>
                <c:pt idx="295">
                  <c:v>4.2192678368799807E-2</c:v>
                </c:pt>
                <c:pt idx="296">
                  <c:v>4.2199217729881333E-2</c:v>
                </c:pt>
                <c:pt idx="297">
                  <c:v>4.2205388002192867E-2</c:v>
                </c:pt>
                <c:pt idx="298">
                  <c:v>4.221160219204334E-2</c:v>
                </c:pt>
                <c:pt idx="299">
                  <c:v>4.2217653631211549E-2</c:v>
                </c:pt>
                <c:pt idx="300">
                  <c:v>4.2223356461172035E-2</c:v>
                </c:pt>
                <c:pt idx="301">
                  <c:v>4.2229152288643101E-2</c:v>
                </c:pt>
                <c:pt idx="302">
                  <c:v>4.2234723966789289E-2</c:v>
                </c:pt>
                <c:pt idx="303">
                  <c:v>4.2240443323775967E-2</c:v>
                </c:pt>
                <c:pt idx="304">
                  <c:v>4.2246124397394169E-2</c:v>
                </c:pt>
                <c:pt idx="305">
                  <c:v>4.2251223103087154E-2</c:v>
                </c:pt>
                <c:pt idx="306">
                  <c:v>4.22568323689827E-2</c:v>
                </c:pt>
                <c:pt idx="307">
                  <c:v>4.2262225281820553E-2</c:v>
                </c:pt>
                <c:pt idx="308">
                  <c:v>4.226776172789859E-2</c:v>
                </c:pt>
                <c:pt idx="309">
                  <c:v>4.227308485612391E-2</c:v>
                </c:pt>
                <c:pt idx="310">
                  <c:v>4.2278549891262118E-2</c:v>
                </c:pt>
                <c:pt idx="311">
                  <c:v>4.2283979163903362E-2</c:v>
                </c:pt>
                <c:pt idx="312">
                  <c:v>4.2289199577654202E-2</c:v>
                </c:pt>
                <c:pt idx="313">
                  <c:v>4.2294559496288464E-2</c:v>
                </c:pt>
                <c:pt idx="314">
                  <c:v>4.2299713436309005E-2</c:v>
                </c:pt>
                <c:pt idx="315">
                  <c:v>4.2305005321400468E-2</c:v>
                </c:pt>
                <c:pt idx="316">
                  <c:v>4.231026312739572E-2</c:v>
                </c:pt>
                <c:pt idx="317">
                  <c:v>4.2314983094777103E-2</c:v>
                </c:pt>
                <c:pt idx="318">
                  <c:v>4.2320176943634547E-2</c:v>
                </c:pt>
                <c:pt idx="319">
                  <c:v>4.2325171693967878E-2</c:v>
                </c:pt>
                <c:pt idx="320">
                  <c:v>4.2330300636886697E-2</c:v>
                </c:pt>
                <c:pt idx="321">
                  <c:v>4.2335233163760089E-2</c:v>
                </c:pt>
                <c:pt idx="322">
                  <c:v>4.2340298409846433E-2</c:v>
                </c:pt>
                <c:pt idx="323">
                  <c:v>4.2345331739178427E-2</c:v>
                </c:pt>
                <c:pt idx="324">
                  <c:v>4.2350172597321656E-2</c:v>
                </c:pt>
                <c:pt idx="325">
                  <c:v>4.2355143997233835E-2</c:v>
                </c:pt>
                <c:pt idx="326">
                  <c:v>4.2359925476751936E-2</c:v>
                </c:pt>
                <c:pt idx="327">
                  <c:v>4.2364836083210067E-2</c:v>
                </c:pt>
                <c:pt idx="328">
                  <c:v>4.236971622108987E-2</c:v>
                </c:pt>
                <c:pt idx="329">
                  <c:v>4.2374098134382088E-2</c:v>
                </c:pt>
                <c:pt idx="330">
                  <c:v>4.2378921061786201E-2</c:v>
                </c:pt>
                <c:pt idx="331">
                  <c:v>4.2383560170249135E-2</c:v>
                </c:pt>
                <c:pt idx="332">
                  <c:v>4.2388324999155902E-2</c:v>
                </c:pt>
                <c:pt idx="333">
                  <c:v>4.2392908391263751E-2</c:v>
                </c:pt>
                <c:pt idx="334">
                  <c:v>4.2397616165194663E-2</c:v>
                </c:pt>
                <c:pt idx="335">
                  <c:v>4.2402295335894236E-2</c:v>
                </c:pt>
                <c:pt idx="336">
                  <c:v>4.2406796576329731E-2</c:v>
                </c:pt>
                <c:pt idx="337">
                  <c:v>4.2411420219138796E-2</c:v>
                </c:pt>
                <c:pt idx="338">
                  <c:v>4.2415868201200357E-2</c:v>
                </c:pt>
                <c:pt idx="339">
                  <c:v>4.2420437298713587E-2</c:v>
                </c:pt>
                <c:pt idx="340">
                  <c:v>4.2424979045635247E-2</c:v>
                </c:pt>
                <c:pt idx="341">
                  <c:v>4.2429203232882573E-2</c:v>
                </c:pt>
                <c:pt idx="342">
                  <c:v>4.2433692736155049E-2</c:v>
                </c:pt>
                <c:pt idx="343">
                  <c:v>4.2438012049405005E-2</c:v>
                </c:pt>
                <c:pt idx="344">
                  <c:v>4.244244935699526E-2</c:v>
                </c:pt>
                <c:pt idx="345">
                  <c:v>4.2446718598760258E-2</c:v>
                </c:pt>
                <c:pt idx="346">
                  <c:v>4.2451104615658597E-2</c:v>
                </c:pt>
                <c:pt idx="347">
                  <c:v>4.2455464906926643E-2</c:v>
                </c:pt>
                <c:pt idx="348">
                  <c:v>4.2459660261992438E-2</c:v>
                </c:pt>
                <c:pt idx="349">
                  <c:v>4.2463970588318967E-2</c:v>
                </c:pt>
                <c:pt idx="350">
                  <c:v>4.246811800579664E-2</c:v>
                </c:pt>
                <c:pt idx="351">
                  <c:v>4.2472379221115908E-2</c:v>
                </c:pt>
                <c:pt idx="352">
                  <c:v>4.2476615799414752E-2</c:v>
                </c:pt>
                <c:pt idx="353">
                  <c:v>4.2480421387483203E-2</c:v>
                </c:pt>
                <c:pt idx="354">
                  <c:v>4.2484611662532146E-2</c:v>
                </c:pt>
                <c:pt idx="355">
                  <c:v>4.2488643890085775E-2</c:v>
                </c:pt>
                <c:pt idx="356">
                  <c:v>4.249278708588311E-2</c:v>
                </c:pt>
                <c:pt idx="357">
                  <c:v>4.2496774136804527E-2</c:v>
                </c:pt>
                <c:pt idx="358">
                  <c:v>4.2500871042344679E-2</c:v>
                </c:pt>
                <c:pt idx="359">
                  <c:v>4.2504944720058058E-2</c:v>
                </c:pt>
                <c:pt idx="360">
                  <c:v>4.2508865058379586E-2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7E-466E-A4C0-535C9D586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56384"/>
        <c:axId val="41858560"/>
      </c:scatterChart>
      <c:valAx>
        <c:axId val="41856384"/>
        <c:scaling>
          <c:orientation val="minMax"/>
          <c:max val="30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 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41858560"/>
        <c:crosses val="autoZero"/>
        <c:crossBetween val="midCat"/>
      </c:valAx>
      <c:valAx>
        <c:axId val="41858560"/>
        <c:scaling>
          <c:orientation val="minMax"/>
          <c:max val="5.000000000000001E-2"/>
          <c:min val="2.0000000000000004E-2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4185638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MarketFit!$P$4</c:f>
              <c:strCache>
                <c:ptCount val="1"/>
                <c:pt idx="0">
                  <c:v>LogVol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MarketFit!$P$5:$P$605</c:f>
              <c:numCache>
                <c:formatCode>0.0000%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AF-4B19-B20C-92F0D962124F}"/>
            </c:ext>
          </c:extLst>
        </c:ser>
        <c:ser>
          <c:idx val="1"/>
          <c:order val="1"/>
          <c:tx>
            <c:strRef>
              <c:f>MarketFit!$Q$4</c:f>
              <c:strCache>
                <c:ptCount val="1"/>
                <c:pt idx="0">
                  <c:v>ShLogVol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MarketFit!$Q$5:$Q$605</c:f>
              <c:numCache>
                <c:formatCode>0.0000%</c:formatCode>
                <c:ptCount val="601"/>
                <c:pt idx="0">
                  <c:v>1.163038370076315E-3</c:v>
                </c:pt>
                <c:pt idx="1">
                  <c:v>1.1807968150915824E-3</c:v>
                </c:pt>
                <c:pt idx="2">
                  <c:v>1.1987515449909964E-3</c:v>
                </c:pt>
                <c:pt idx="3">
                  <c:v>1.216903635289545E-3</c:v>
                </c:pt>
                <c:pt idx="4">
                  <c:v>1.2352541546757027E-3</c:v>
                </c:pt>
                <c:pt idx="5">
                  <c:v>1.2538041648894604E-3</c:v>
                </c:pt>
                <c:pt idx="6">
                  <c:v>1.2725547206015025E-3</c:v>
                </c:pt>
                <c:pt idx="7">
                  <c:v>1.2915068692937338E-3</c:v>
                </c:pt>
                <c:pt idx="8">
                  <c:v>1.3106616511410572E-3</c:v>
                </c:pt>
                <c:pt idx="9">
                  <c:v>1.3300200988944459E-3</c:v>
                </c:pt>
                <c:pt idx="10">
                  <c:v>1.3495832377654286E-3</c:v>
                </c:pt>
                <c:pt idx="11">
                  <c:v>1.3693520853118608E-3</c:v>
                </c:pt>
                <c:pt idx="12">
                  <c:v>1.3893276513250764E-3</c:v>
                </c:pt>
                <c:pt idx="13">
                  <c:v>1.4095109377184785E-3</c:v>
                </c:pt>
                <c:pt idx="14">
                  <c:v>1.4299029384175158E-3</c:v>
                </c:pt>
                <c:pt idx="15">
                  <c:v>1.4505046392510948E-3</c:v>
                </c:pt>
                <c:pt idx="16">
                  <c:v>1.4713170178444375E-3</c:v>
                </c:pt>
                <c:pt idx="17">
                  <c:v>1.4923410435134232E-3</c:v>
                </c:pt>
                <c:pt idx="18">
                  <c:v>1.5135776771604114E-3</c:v>
                </c:pt>
                <c:pt idx="19">
                  <c:v>1.5350278711715824E-3</c:v>
                </c:pt>
                <c:pt idx="20">
                  <c:v>1.5566925693157561E-3</c:v>
                </c:pt>
                <c:pt idx="21">
                  <c:v>1.5785727066447881E-3</c:v>
                </c:pt>
                <c:pt idx="22">
                  <c:v>1.6006692093955086E-3</c:v>
                </c:pt>
                <c:pt idx="23">
                  <c:v>1.6229829948932132E-3</c:v>
                </c:pt>
                <c:pt idx="24">
                  <c:v>1.6455149714567161E-3</c:v>
                </c:pt>
                <c:pt idx="25">
                  <c:v>1.6682660383050673E-3</c:v>
                </c:pt>
                <c:pt idx="26">
                  <c:v>1.6912370854657854E-3</c:v>
                </c:pt>
                <c:pt idx="27">
                  <c:v>1.7144289936847738E-3</c:v>
                </c:pt>
                <c:pt idx="28">
                  <c:v>1.7378426343378373E-3</c:v>
                </c:pt>
                <c:pt idx="29">
                  <c:v>1.7614788693438507E-3</c:v>
                </c:pt>
                <c:pt idx="30">
                  <c:v>1.7853385510795752E-3</c:v>
                </c:pt>
                <c:pt idx="31">
                  <c:v>1.8094225222961592E-3</c:v>
                </c:pt>
                <c:pt idx="32">
                  <c:v>1.8337316160372576E-3</c:v>
                </c:pt>
                <c:pt idx="33">
                  <c:v>1.8582666555589482E-3</c:v>
                </c:pt>
                <c:pt idx="34">
                  <c:v>1.8830284542511837E-3</c:v>
                </c:pt>
                <c:pt idx="35">
                  <c:v>1.9080178155610542E-3</c:v>
                </c:pt>
                <c:pt idx="36">
                  <c:v>1.9332355329177951E-3</c:v>
                </c:pt>
                <c:pt idx="37">
                  <c:v>1.9586823896593358E-3</c:v>
                </c:pt>
                <c:pt idx="38">
                  <c:v>1.9843591589607974E-3</c:v>
                </c:pt>
                <c:pt idx="39">
                  <c:v>2.010266603764542E-3</c:v>
                </c:pt>
                <c:pt idx="40">
                  <c:v>2.0364054767120394E-3</c:v>
                </c:pt>
                <c:pt idx="41">
                  <c:v>2.0627765200774834E-3</c:v>
                </c:pt>
                <c:pt idx="42">
                  <c:v>2.0893804657031133E-3</c:v>
                </c:pt>
                <c:pt idx="43">
                  <c:v>2.1162180349363138E-3</c:v>
                </c:pt>
                <c:pt idx="44">
                  <c:v>2.1432899385684968E-3</c:v>
                </c:pt>
                <c:pt idx="45">
                  <c:v>2.1705968767756628E-3</c:v>
                </c:pt>
                <c:pt idx="46">
                  <c:v>2.1981395390607977E-3</c:v>
                </c:pt>
                <c:pt idx="47">
                  <c:v>2.2259186041980183E-3</c:v>
                </c:pt>
                <c:pt idx="48">
                  <c:v>2.2539347401784905E-3</c:v>
                </c:pt>
                <c:pt idx="49">
                  <c:v>2.2821886041580822E-3</c:v>
                </c:pt>
                <c:pt idx="50">
                  <c:v>2.31068084240681E-3</c:v>
                </c:pt>
                <c:pt idx="51" formatCode="0.0E+00">
                  <c:v>2.3394120902600832E-3</c:v>
                </c:pt>
                <c:pt idx="52" formatCode="0.0E+00">
                  <c:v>2.3683829720716823E-3</c:v>
                </c:pt>
                <c:pt idx="53" formatCode="0.0E+00">
                  <c:v>2.397594101168514E-3</c:v>
                </c:pt>
                <c:pt idx="54" formatCode="0.0E+00">
                  <c:v>2.4270460798071734E-3</c:v>
                </c:pt>
                <c:pt idx="55" formatCode="0.0E+00">
                  <c:v>2.4567394991322246E-3</c:v>
                </c:pt>
                <c:pt idx="56">
                  <c:v>2.4866749391362804E-3</c:v>
                </c:pt>
                <c:pt idx="57">
                  <c:v>2.5168529686218633E-3</c:v>
                </c:pt>
                <c:pt idx="58">
                  <c:v>2.5472741451649829E-3</c:v>
                </c:pt>
                <c:pt idx="59">
                  <c:v>2.5779390150805492E-3</c:v>
                </c:pt>
                <c:pt idx="60">
                  <c:v>2.6088481133894614E-3</c:v>
                </c:pt>
                <c:pt idx="61">
                  <c:v>2.640001963787518E-3</c:v>
                </c:pt>
                <c:pt idx="62">
                  <c:v>2.6714010786160342E-3</c:v>
                </c:pt>
                <c:pt idx="63">
                  <c:v>2.7030459588342631E-3</c:v>
                </c:pt>
                <c:pt idx="64">
                  <c:v>2.7349370939934795E-3</c:v>
                </c:pt>
                <c:pt idx="65">
                  <c:v>2.767074962212894E-3</c:v>
                </c:pt>
                <c:pt idx="66">
                  <c:v>2.7994600301572241E-3</c:v>
                </c:pt>
                <c:pt idx="67">
                  <c:v>2.8320927530159912E-3</c:v>
                </c:pt>
                <c:pt idx="68">
                  <c:v>2.8649735744846298E-3</c:v>
                </c:pt>
                <c:pt idx="69">
                  <c:v>2.8981029267472237E-3</c:v>
                </c:pt>
                <c:pt idx="70">
                  <c:v>2.9314812304609486E-3</c:v>
                </c:pt>
                <c:pt idx="71">
                  <c:v>2.9651088947422501E-3</c:v>
                </c:pt>
                <c:pt idx="72">
                  <c:v>2.9989863171547039E-3</c:v>
                </c:pt>
                <c:pt idx="73">
                  <c:v>3.0331138836985697E-3</c:v>
                </c:pt>
                <c:pt idx="74">
                  <c:v>3.0674919688019886E-3</c:v>
                </c:pt>
                <c:pt idx="75">
                  <c:v>3.1021209353138714E-3</c:v>
                </c:pt>
                <c:pt idx="76">
                  <c:v>3.1370011344984232E-3</c:v>
                </c:pt>
                <c:pt idx="77">
                  <c:v>3.1721329060313483E-3</c:v>
                </c:pt>
                <c:pt idx="78">
                  <c:v>3.2075165779977058E-3</c:v>
                </c:pt>
                <c:pt idx="79">
                  <c:v>3.2431524668912887E-3</c:v>
                </c:pt>
                <c:pt idx="80">
                  <c:v>3.2790408776157617E-3</c:v>
                </c:pt>
                <c:pt idx="81">
                  <c:v>3.315182103487288E-3</c:v>
                </c:pt>
                <c:pt idx="82">
                  <c:v>3.3515764262388899E-3</c:v>
                </c:pt>
                <c:pt idx="83">
                  <c:v>3.3882241160261874E-3</c:v>
                </c:pt>
                <c:pt idx="84">
                  <c:v>3.4251254314349409E-3</c:v>
                </c:pt>
                <c:pt idx="85">
                  <c:v>3.4622806194899991E-3</c:v>
                </c:pt>
                <c:pt idx="86">
                  <c:v>3.4996899156658282E-3</c:v>
                </c:pt>
                <c:pt idx="87">
                  <c:v>3.5373535438986553E-3</c:v>
                </c:pt>
                <c:pt idx="88">
                  <c:v>3.5752717166000203E-3</c:v>
                </c:pt>
                <c:pt idx="89">
                  <c:v>3.613444634671923E-3</c:v>
                </c:pt>
                <c:pt idx="90">
                  <c:v>3.6518724875234318E-3</c:v>
                </c:pt>
                <c:pt idx="91">
                  <c:v>3.6905554530888111E-3</c:v>
                </c:pt>
                <c:pt idx="92">
                  <c:v>3.7294936978470999E-3</c:v>
                </c:pt>
                <c:pt idx="93">
                  <c:v>3.7686873768431085E-3</c:v>
                </c:pt>
                <c:pt idx="94">
                  <c:v>3.8081366337099354E-3</c:v>
                </c:pt>
                <c:pt idx="95">
                  <c:v>3.8478416006928993E-3</c:v>
                </c:pt>
                <c:pt idx="96">
                  <c:v>3.8878023986748146E-3</c:v>
                </c:pt>
                <c:pt idx="97">
                  <c:v>3.9280191372027679E-3</c:v>
                </c:pt>
                <c:pt idx="98">
                  <c:v>3.9684919145162173E-3</c:v>
                </c:pt>
                <c:pt idx="99">
                  <c:v>4.0092208175764865E-3</c:v>
                </c:pt>
                <c:pt idx="100">
                  <c:v>4.0502059220976008E-3</c:v>
                </c:pt>
                <c:pt idx="101">
                  <c:v>4.0914472925784907E-3</c:v>
                </c:pt>
                <c:pt idx="102">
                  <c:v>4.1329449823365103E-3</c:v>
                </c:pt>
                <c:pt idx="103">
                  <c:v>4.1746990335422181E-3</c:v>
                </c:pt>
                <c:pt idx="104">
                  <c:v>4.2167094772555674E-3</c:v>
                </c:pt>
                <c:pt idx="105">
                  <c:v>4.2589763334632338E-3</c:v>
                </c:pt>
                <c:pt idx="106">
                  <c:v>4.3014996111173029E-3</c:v>
                </c:pt>
                <c:pt idx="107">
                  <c:v>4.3442793081752071E-3</c:v>
                </c:pt>
                <c:pt idx="108">
                  <c:v>4.3873154116408075E-3</c:v>
                </c:pt>
                <c:pt idx="109">
                  <c:v>4.4306078976067906E-3</c:v>
                </c:pt>
                <c:pt idx="110">
                  <c:v>4.4741567312981574E-3</c:v>
                </c:pt>
                <c:pt idx="111">
                  <c:v>4.5179618671170145E-3</c:v>
                </c:pt>
                <c:pt idx="112">
                  <c:v>4.5620232486884571E-3</c:v>
                </c:pt>
                <c:pt idx="113">
                  <c:v>4.606340808907497E-3</c:v>
                </c:pt>
                <c:pt idx="114">
                  <c:v>4.6509144699874161E-3</c:v>
                </c:pt>
                <c:pt idx="115">
                  <c:v>4.6957441435088593E-3</c:v>
                </c:pt>
                <c:pt idx="116">
                  <c:v>4.7408297304703181E-3</c:v>
                </c:pt>
                <c:pt idx="117">
                  <c:v>4.7861711213395552E-3</c:v>
                </c:pt>
                <c:pt idx="118">
                  <c:v>4.8317681961061038E-3</c:v>
                </c:pt>
                <c:pt idx="119">
                  <c:v>4.8776208243348079E-3</c:v>
                </c:pt>
                <c:pt idx="120">
                  <c:v>4.9237288652204253E-3</c:v>
                </c:pt>
                <c:pt idx="121">
                  <c:v>4.9700921676432211E-3</c:v>
                </c:pt>
                <c:pt idx="122">
                  <c:v>5.0167105702255063E-3</c:v>
                </c:pt>
                <c:pt idx="123">
                  <c:v>5.0635839013892237E-3</c:v>
                </c:pt>
                <c:pt idx="124">
                  <c:v>5.1107119794144146E-3</c:v>
                </c:pt>
                <c:pt idx="125">
                  <c:v>5.1580946124986857E-3</c:v>
                </c:pt>
                <c:pt idx="126">
                  <c:v>5.205731598817577E-3</c:v>
                </c:pt>
                <c:pt idx="127">
                  <c:v>5.2536227265857979E-3</c:v>
                </c:pt>
                <c:pt idx="128">
                  <c:v>5.3017677741193855E-3</c:v>
                </c:pt>
                <c:pt idx="129">
                  <c:v>5.3501665098987031E-3</c:v>
                </c:pt>
                <c:pt idx="130">
                  <c:v>5.3988186926323053E-3</c:v>
                </c:pt>
                <c:pt idx="131">
                  <c:v>5.447724071321651E-3</c:v>
                </c:pt>
                <c:pt idx="132">
                  <c:v>5.4968823853265639E-3</c:v>
                </c:pt>
                <c:pt idx="133">
                  <c:v>5.546293364431569E-3</c:v>
                </c:pt>
                <c:pt idx="134">
                  <c:v>5.5959567289129084E-3</c:v>
                </c:pt>
                <c:pt idx="135">
                  <c:v>5.6458721896064448E-3</c:v>
                </c:pt>
                <c:pt idx="136">
                  <c:v>5.696039447976177E-3</c:v>
                </c:pt>
                <c:pt idx="137">
                  <c:v>5.7464581961835653E-3</c:v>
                </c:pt>
                <c:pt idx="138">
                  <c:v>5.7971281171575115E-3</c:v>
                </c:pt>
                <c:pt idx="139">
                  <c:v>5.848048884665058E-3</c:v>
                </c:pt>
                <c:pt idx="140">
                  <c:v>5.8992201633827832E-3</c:v>
                </c:pt>
                <c:pt idx="141">
                  <c:v>5.9506416089687292E-3</c:v>
                </c:pt>
                <c:pt idx="142">
                  <c:v>6.0023128681351359E-3</c:v>
                </c:pt>
                <c:pt idx="143">
                  <c:v>6.0542335787216323E-3</c:v>
                </c:pt>
                <c:pt idx="144">
                  <c:v>6.1064033697691353E-3</c:v>
                </c:pt>
                <c:pt idx="145">
                  <c:v>6.1588218615943255E-3</c:v>
                </c:pt>
                <c:pt idx="146">
                  <c:v>6.2114886658646007E-3</c:v>
                </c:pt>
                <c:pt idx="147">
                  <c:v>6.2644033856736267E-3</c:v>
                </c:pt>
                <c:pt idx="148">
                  <c:v>6.3175656156175125E-3</c:v>
                </c:pt>
                <c:pt idx="149">
                  <c:v>6.3709749418712838E-3</c:v>
                </c:pt>
                <c:pt idx="150">
                  <c:v>6.424630942266113E-3</c:v>
                </c:pt>
                <c:pt idx="151">
                  <c:v>6.3785331863668027E-3</c:v>
                </c:pt>
                <c:pt idx="152">
                  <c:v>6.3326812355498155E-3</c:v>
                </c:pt>
                <c:pt idx="153">
                  <c:v>6.2870746430818344E-3</c:v>
                </c:pt>
                <c:pt idx="154">
                  <c:v>6.2417129541986194E-3</c:v>
                </c:pt>
                <c:pt idx="155">
                  <c:v>6.1965957061843185E-3</c:v>
                </c:pt>
                <c:pt idx="156">
                  <c:v>6.1517224284512034E-3</c:v>
                </c:pt>
                <c:pt idx="157">
                  <c:v>6.1070926426197714E-3</c:v>
                </c:pt>
                <c:pt idx="158">
                  <c:v>6.0627058625992089E-3</c:v>
                </c:pt>
                <c:pt idx="159">
                  <c:v>6.0185615946681259E-3</c:v>
                </c:pt>
                <c:pt idx="160">
                  <c:v>5.9746593375557891E-3</c:v>
                </c:pt>
                <c:pt idx="161">
                  <c:v>5.9309985825234529E-3</c:v>
                </c:pt>
                <c:pt idx="162">
                  <c:v>5.8875788134462315E-3</c:v>
                </c:pt>
                <c:pt idx="163">
                  <c:v>5.8443995068949914E-3</c:v>
                </c:pt>
                <c:pt idx="164">
                  <c:v>5.8014601322186957E-3</c:v>
                </c:pt>
                <c:pt idx="165">
                  <c:v>5.7587601516269973E-3</c:v>
                </c:pt>
                <c:pt idx="166">
                  <c:v>5.7162990202728609E-3</c:v>
                </c:pt>
                <c:pt idx="167">
                  <c:v>5.6740761863357247E-3</c:v>
                </c:pt>
                <c:pt idx="168">
                  <c:v>5.6320910911045602E-3</c:v>
                </c:pt>
                <c:pt idx="169">
                  <c:v>5.5903431690613181E-3</c:v>
                </c:pt>
                <c:pt idx="170">
                  <c:v>5.5488318479645013E-3</c:v>
                </c:pt>
                <c:pt idx="171">
                  <c:v>5.5075565489328057E-3</c:v>
                </c:pt>
                <c:pt idx="172">
                  <c:v>5.4665166865290118E-3</c:v>
                </c:pt>
                <c:pt idx="173">
                  <c:v>5.4257116688439938E-3</c:v>
                </c:pt>
                <c:pt idx="174">
                  <c:v>5.385140897580791E-3</c:v>
                </c:pt>
                <c:pt idx="175">
                  <c:v>5.3448037681388255E-3</c:v>
                </c:pt>
                <c:pt idx="176">
                  <c:v>5.3046996696981472E-3</c:v>
                </c:pt>
                <c:pt idx="177">
                  <c:v>5.2648279853038313E-3</c:v>
                </c:pt>
                <c:pt idx="178">
                  <c:v>5.2251880919503765E-3</c:v>
                </c:pt>
                <c:pt idx="179">
                  <c:v>5.1857793606661789E-3</c:v>
                </c:pt>
                <c:pt idx="180">
                  <c:v>5.1466011565979644E-3</c:v>
                </c:pt>
                <c:pt idx="181">
                  <c:v>5.1076528390953876E-3</c:v>
                </c:pt>
                <c:pt idx="182">
                  <c:v>5.0689337617954161E-3</c:v>
                </c:pt>
                <c:pt idx="183">
                  <c:v>5.0304432727069845E-3</c:v>
                </c:pt>
                <c:pt idx="184">
                  <c:v>4.9921807142952954E-3</c:v>
                </c:pt>
                <c:pt idx="185">
                  <c:v>4.9541454235664181E-3</c:v>
                </c:pt>
                <c:pt idx="186">
                  <c:v>4.9163367321515411E-3</c:v>
                </c:pt>
                <c:pt idx="187">
                  <c:v>4.8787539663913901E-3</c:v>
                </c:pt>
                <c:pt idx="188">
                  <c:v>4.8413964474204943E-3</c:v>
                </c:pt>
                <c:pt idx="189">
                  <c:v>4.8042634912512719E-3</c:v>
                </c:pt>
                <c:pt idx="190">
                  <c:v>4.767354408858164E-3</c:v>
                </c:pt>
                <c:pt idx="191">
                  <c:v>4.7306685062615886E-3</c:v>
                </c:pt>
                <c:pt idx="192">
                  <c:v>4.6942050846117689E-3</c:v>
                </c:pt>
                <c:pt idx="193">
                  <c:v>4.6579634402724446E-3</c:v>
                </c:pt>
                <c:pt idx="194">
                  <c:v>4.6219428649044228E-3</c:v>
                </c:pt>
                <c:pt idx="195">
                  <c:v>4.5861426455490115E-3</c:v>
                </c:pt>
                <c:pt idx="196">
                  <c:v>4.5505620647111958E-3</c:v>
                </c:pt>
                <c:pt idx="197">
                  <c:v>4.5152004004427801E-3</c:v>
                </c:pt>
                <c:pt idx="198">
                  <c:v>4.4800569264251897E-3</c:v>
                </c:pt>
                <c:pt idx="199">
                  <c:v>4.4451309120521754E-3</c:v>
                </c:pt>
                <c:pt idx="200">
                  <c:v>4.4104216225122408E-3</c:v>
                </c:pt>
                <c:pt idx="201">
                  <c:v>4.3759283188709204E-3</c:v>
                </c:pt>
                <c:pt idx="202">
                  <c:v>4.3416502581527378E-3</c:v>
                </c:pt>
                <c:pt idx="203">
                  <c:v>4.3075866934230191E-3</c:v>
                </c:pt>
                <c:pt idx="204">
                  <c:v>4.2737368738693833E-3</c:v>
                </c:pt>
                <c:pt idx="205">
                  <c:v>4.2401000448830072E-3</c:v>
                </c:pt>
                <c:pt idx="206">
                  <c:v>4.2066754481395602E-3</c:v>
                </c:pt>
                <c:pt idx="207">
                  <c:v>4.1734623216799875E-3</c:v>
                </c:pt>
                <c:pt idx="208">
                  <c:v>4.1404598999908483E-3</c:v>
                </c:pt>
                <c:pt idx="209">
                  <c:v>4.1076674140845364E-3</c:v>
                </c:pt>
                <c:pt idx="210">
                  <c:v>4.0750840915789246E-3</c:v>
                </c:pt>
                <c:pt idx="211">
                  <c:v>4.0427091567770412E-3</c:v>
                </c:pt>
                <c:pt idx="212">
                  <c:v>4.0105418307461171E-3</c:v>
                </c:pt>
                <c:pt idx="213">
                  <c:v>3.9785813313964816E-3</c:v>
                </c:pt>
                <c:pt idx="214">
                  <c:v>3.9468268735600165E-3</c:v>
                </c:pt>
                <c:pt idx="215">
                  <c:v>3.9152776690683753E-3</c:v>
                </c:pt>
                <c:pt idx="216">
                  <c:v>3.8839329268306848E-3</c:v>
                </c:pt>
                <c:pt idx="217">
                  <c:v>3.8527918529110625E-3</c:v>
                </c:pt>
                <c:pt idx="218">
                  <c:v>3.8218536506056111E-3</c:v>
                </c:pt>
                <c:pt idx="219">
                  <c:v>3.7911175205191175E-3</c:v>
                </c:pt>
                <c:pt idx="220">
                  <c:v>3.7605826606413387E-3</c:v>
                </c:pt>
                <c:pt idx="221">
                  <c:v>3.73024826642291E-3</c:v>
                </c:pt>
                <c:pt idx="222">
                  <c:v>3.700113530850823E-3</c:v>
                </c:pt>
                <c:pt idx="223">
                  <c:v>3.6701776445235319E-3</c:v>
                </c:pt>
                <c:pt idx="224">
                  <c:v>3.6404397957256196E-3</c:v>
                </c:pt>
                <c:pt idx="225">
                  <c:v>3.6108991705020646E-3</c:v>
                </c:pt>
                <c:pt idx="226">
                  <c:v>3.5815549527320294E-3</c:v>
                </c:pt>
                <c:pt idx="227">
                  <c:v>3.5524063242023049E-3</c:v>
                </c:pt>
                <c:pt idx="228">
                  <c:v>3.523452464680242E-3</c:v>
                </c:pt>
                <c:pt idx="229">
                  <c:v>3.4946925519862421E-3</c:v>
                </c:pt>
                <c:pt idx="230">
                  <c:v>3.4661257620658865E-3</c:v>
                </c:pt>
                <c:pt idx="231">
                  <c:v>3.4377512690614391E-3</c:v>
                </c:pt>
                <c:pt idx="232">
                  <c:v>3.4095682453830975E-3</c:v>
                </c:pt>
                <c:pt idx="233">
                  <c:v>3.3815758617795726E-3</c:v>
                </c:pt>
                <c:pt idx="234">
                  <c:v>3.3537732874083515E-3</c:v>
                </c:pt>
                <c:pt idx="235">
                  <c:v>3.3261596899054335E-3</c:v>
                </c:pt>
                <c:pt idx="236">
                  <c:v>3.2987342354545215E-3</c:v>
                </c:pt>
                <c:pt idx="237">
                  <c:v>3.271496088855852E-3</c:v>
                </c:pt>
                <c:pt idx="238">
                  <c:v>3.2444444135943766E-3</c:v>
                </c:pt>
                <c:pt idx="239">
                  <c:v>3.2175783719076423E-3</c:v>
                </c:pt>
                <c:pt idx="240">
                  <c:v>3.1908971248529906E-3</c:v>
                </c:pt>
                <c:pt idx="241">
                  <c:v>3.1643998323743414E-3</c:v>
                </c:pt>
                <c:pt idx="242">
                  <c:v>3.1380856533684762E-3</c:v>
                </c:pt>
                <c:pt idx="243">
                  <c:v>3.1119537457508055E-3</c:v>
                </c:pt>
                <c:pt idx="244">
                  <c:v>3.0860032665205733E-3</c:v>
                </c:pt>
                <c:pt idx="245">
                  <c:v>3.0602333718256006E-3</c:v>
                </c:pt>
                <c:pt idx="246">
                  <c:v>3.0346432170264698E-3</c:v>
                </c:pt>
                <c:pt idx="247">
                  <c:v>3.0092319567602173E-3</c:v>
                </c:pt>
                <c:pt idx="248">
                  <c:v>2.9839987450034668E-3</c:v>
                </c:pt>
                <c:pt idx="249">
                  <c:v>2.9589427351350735E-3</c:v>
                </c:pt>
                <c:pt idx="250">
                  <c:v>2.934063079998158E-3</c:v>
                </c:pt>
                <c:pt idx="251">
                  <c:v>2.909358931961703E-3</c:v>
                </c:pt>
                <c:pt idx="252">
                  <c:v>2.8848294429815249E-3</c:v>
                </c:pt>
                <c:pt idx="253">
                  <c:v>2.860473764660771E-3</c:v>
                </c:pt>
                <c:pt idx="254">
                  <c:v>2.8362910483098087E-3</c:v>
                </c:pt>
                <c:pt idx="255">
                  <c:v>2.8122804450056195E-3</c:v>
                </c:pt>
                <c:pt idx="256">
                  <c:v>2.7884411056506506E-3</c:v>
                </c:pt>
                <c:pt idx="257">
                  <c:v>2.7647721810310534E-3</c:v>
                </c:pt>
                <c:pt idx="258">
                  <c:v>2.7412728218744152E-3</c:v>
                </c:pt>
                <c:pt idx="259">
                  <c:v>2.7179421789069423E-3</c:v>
                </c:pt>
                <c:pt idx="260">
                  <c:v>2.6947794029101232E-3</c:v>
                </c:pt>
                <c:pt idx="261">
                  <c:v>2.6717836447766874E-3</c:v>
                </c:pt>
                <c:pt idx="262">
                  <c:v>2.6489540555662237E-3</c:v>
                </c:pt>
                <c:pt idx="263">
                  <c:v>2.6262897865600154E-3</c:v>
                </c:pt>
                <c:pt idx="264">
                  <c:v>2.6037899893155136E-3</c:v>
                </c:pt>
                <c:pt idx="265">
                  <c:v>2.5814538157201139E-3</c:v>
                </c:pt>
                <c:pt idx="266">
                  <c:v>2.5592804180444018E-3</c:v>
                </c:pt>
                <c:pt idx="267">
                  <c:v>2.5372689489949161E-3</c:v>
                </c:pt>
                <c:pt idx="268">
                  <c:v>2.5154185617661876E-3</c:v>
                </c:pt>
                <c:pt idx="269">
                  <c:v>2.4937284100924155E-3</c:v>
                </c:pt>
                <c:pt idx="270">
                  <c:v>2.4721976482983687E-3</c:v>
                </c:pt>
                <c:pt idx="271">
                  <c:v>2.4508254313498797E-3</c:v>
                </c:pt>
                <c:pt idx="272">
                  <c:v>2.429610914903714E-3</c:v>
                </c:pt>
                <c:pt idx="273">
                  <c:v>2.4085532553568788E-3</c:v>
                </c:pt>
                <c:pt idx="274">
                  <c:v>2.3876516098953263E-3</c:v>
                </c:pt>
                <c:pt idx="275">
                  <c:v>2.3669051365421759E-3</c:v>
                </c:pt>
                <c:pt idx="276">
                  <c:v>2.3463129942052942E-3</c:v>
                </c:pt>
                <c:pt idx="277">
                  <c:v>2.3258743427243579E-3</c:v>
                </c:pt>
                <c:pt idx="278">
                  <c:v>2.3055883429173273E-3</c:v>
                </c:pt>
                <c:pt idx="279">
                  <c:v>2.2854541566263258E-3</c:v>
                </c:pt>
                <c:pt idx="280">
                  <c:v>2.2654709467630624E-3</c:v>
                </c:pt>
                <c:pt idx="281">
                  <c:v>2.2456378773535214E-3</c:v>
                </c:pt>
                <c:pt idx="282">
                  <c:v>2.2259541135822847E-3</c:v>
                </c:pt>
                <c:pt idx="283">
                  <c:v>2.206418821836087E-3</c:v>
                </c:pt>
                <c:pt idx="284">
                  <c:v>2.1870311697470175E-3</c:v>
                </c:pt>
                <c:pt idx="285">
                  <c:v>2.1677903262349828E-3</c:v>
                </c:pt>
                <c:pt idx="286">
                  <c:v>2.1486954615497107E-3</c:v>
                </c:pt>
                <c:pt idx="287">
                  <c:v>2.1297457473121485E-3</c:v>
                </c:pt>
                <c:pt idx="288">
                  <c:v>2.1109403565553603E-3</c:v>
                </c:pt>
                <c:pt idx="289">
                  <c:v>2.0922784637648316E-3</c:v>
                </c:pt>
                <c:pt idx="290">
                  <c:v>2.0737592449181254E-3</c:v>
                </c:pt>
                <c:pt idx="291">
                  <c:v>2.0553818775242289E-3</c:v>
                </c:pt>
                <c:pt idx="292">
                  <c:v>2.0371455406620782E-3</c:v>
                </c:pt>
                <c:pt idx="293">
                  <c:v>2.019049415018688E-3</c:v>
                </c:pt>
                <c:pt idx="294">
                  <c:v>2.0010926829267181E-3</c:v>
                </c:pt>
                <c:pt idx="295">
                  <c:v>1.9832745284014165E-3</c:v>
                </c:pt>
                <c:pt idx="296">
                  <c:v>1.9655941371771422E-3</c:v>
                </c:pt>
                <c:pt idx="297">
                  <c:v>1.9480506967431907E-3</c:v>
                </c:pt>
                <c:pt idx="298">
                  <c:v>1.9306433963791995E-3</c:v>
                </c:pt>
                <c:pt idx="299">
                  <c:v>1.9133714271900165E-3</c:v>
                </c:pt>
                <c:pt idx="300">
                  <c:v>1.8962339821398631E-3</c:v>
                </c:pt>
                <c:pt idx="301">
                  <c:v>1.8792302560862208E-3</c:v>
                </c:pt>
                <c:pt idx="302">
                  <c:v>1.86235944581295E-3</c:v>
                </c:pt>
                <c:pt idx="303">
                  <c:v>1.8456207500630178E-3</c:v>
                </c:pt>
                <c:pt idx="304">
                  <c:v>1.8290133695706215E-3</c:v>
                </c:pt>
                <c:pt idx="305">
                  <c:v>1.8125365070928746E-3</c:v>
                </c:pt>
                <c:pt idx="306">
                  <c:v>1.7961893674408001E-3</c:v>
                </c:pt>
                <c:pt idx="307">
                  <c:v>1.7799711575100449E-3</c:v>
                </c:pt>
                <c:pt idx="308">
                  <c:v>1.7638810863108041E-3</c:v>
                </c:pt>
                <c:pt idx="309">
                  <c:v>1.7479183649974639E-3</c:v>
                </c:pt>
                <c:pt idx="310">
                  <c:v>1.7320822068975679E-3</c:v>
                </c:pt>
                <c:pt idx="311">
                  <c:v>1.7163718275403431E-3</c:v>
                </c:pt>
                <c:pt idx="312">
                  <c:v>1.7007864446847189E-3</c:v>
                </c:pt>
                <c:pt idx="313">
                  <c:v>1.6853252783467949E-3</c:v>
                </c:pt>
                <c:pt idx="314">
                  <c:v>1.6699875508268368E-3</c:v>
                </c:pt>
                <c:pt idx="315">
                  <c:v>1.6547724867357737E-3</c:v>
                </c:pt>
                <c:pt idx="316">
                  <c:v>1.639679313021206E-3</c:v>
                </c:pt>
                <c:pt idx="317">
                  <c:v>1.6247072589928302E-3</c:v>
                </c:pt>
                <c:pt idx="318">
                  <c:v>1.60985555634751E-3</c:v>
                </c:pt>
                <c:pt idx="319">
                  <c:v>1.5951234391937581E-3</c:v>
                </c:pt>
                <c:pt idx="320">
                  <c:v>1.5805101440757325E-3</c:v>
                </c:pt>
                <c:pt idx="321">
                  <c:v>1.5660149099968254E-3</c:v>
                </c:pt>
                <c:pt idx="322">
                  <c:v>1.5516369784426467E-3</c:v>
                </c:pt>
                <c:pt idx="323">
                  <c:v>1.5373755934036757E-3</c:v>
                </c:pt>
                <c:pt idx="324">
                  <c:v>1.523230001397315E-3</c:v>
                </c:pt>
                <c:pt idx="325">
                  <c:v>1.5091994514895204E-3</c:v>
                </c:pt>
                <c:pt idx="326">
                  <c:v>1.495283195315996E-3</c:v>
                </c:pt>
                <c:pt idx="327">
                  <c:v>1.4814804871028237E-3</c:v>
                </c:pt>
                <c:pt idx="328">
                  <c:v>1.4677905836867917E-3</c:v>
                </c:pt>
                <c:pt idx="329">
                  <c:v>1.4542127445350411E-3</c:v>
                </c:pt>
                <c:pt idx="330">
                  <c:v>1.4407462317644927E-3</c:v>
                </c:pt>
                <c:pt idx="331">
                  <c:v>1.4273903101606616E-3</c:v>
                </c:pt>
                <c:pt idx="332">
                  <c:v>1.4141442471960475E-3</c:v>
                </c:pt>
                <c:pt idx="333">
                  <c:v>1.4010073130481717E-3</c:v>
                </c:pt>
                <c:pt idx="334">
                  <c:v>1.3879787806170378E-3</c:v>
                </c:pt>
                <c:pt idx="335">
                  <c:v>1.3750579255422148E-3</c:v>
                </c:pt>
                <c:pt idx="336">
                  <c:v>1.3622440262195407E-3</c:v>
                </c:pt>
                <c:pt idx="337">
                  <c:v>1.3495363638172976E-3</c:v>
                </c:pt>
                <c:pt idx="338">
                  <c:v>1.3369342222920039E-3</c:v>
                </c:pt>
                <c:pt idx="339">
                  <c:v>1.3244368884037863E-3</c:v>
                </c:pt>
                <c:pt idx="340">
                  <c:v>1.3120436517313205E-3</c:v>
                </c:pt>
                <c:pt idx="341">
                  <c:v>1.2997538046863218E-3</c:v>
                </c:pt>
                <c:pt idx="342">
                  <c:v>1.2875666425277172E-3</c:v>
                </c:pt>
                <c:pt idx="343">
                  <c:v>1.2754814633752377E-3</c:v>
                </c:pt>
                <c:pt idx="344">
                  <c:v>1.2634975682228201E-3</c:v>
                </c:pt>
                <c:pt idx="345">
                  <c:v>1.2516142609514166E-3</c:v>
                </c:pt>
                <c:pt idx="346">
                  <c:v>1.2398308483414656E-3</c:v>
                </c:pt>
                <c:pt idx="347">
                  <c:v>1.2281466400850347E-3</c:v>
                </c:pt>
                <c:pt idx="348">
                  <c:v>1.2165609487974679E-3</c:v>
                </c:pt>
                <c:pt idx="349">
                  <c:v>1.2050730900286747E-3</c:v>
                </c:pt>
                <c:pt idx="350">
                  <c:v>1.1936823822741062E-3</c:v>
                </c:pt>
                <c:pt idx="351">
                  <c:v>1.1823881469851926E-3</c:v>
                </c:pt>
                <c:pt idx="352">
                  <c:v>1.17118970857958E-3</c:v>
                </c:pt>
                <c:pt idx="353">
                  <c:v>1.1600863944508447E-3</c:v>
                </c:pt>
                <c:pt idx="354">
                  <c:v>1.1490775349779353E-3</c:v>
                </c:pt>
                <c:pt idx="355">
                  <c:v>1.1381624635341918E-3</c:v>
                </c:pt>
                <c:pt idx="356">
                  <c:v>1.1273405164959911E-3</c:v>
                </c:pt>
                <c:pt idx="357">
                  <c:v>1.1166110332511206E-3</c:v>
                </c:pt>
                <c:pt idx="358">
                  <c:v>1.1059733562066541E-3</c:v>
                </c:pt>
                <c:pt idx="359">
                  <c:v>1.0954268307965965E-3</c:v>
                </c:pt>
                <c:pt idx="360">
                  <c:v>1.0849708054891122E-3</c:v>
                </c:pt>
                <c:pt idx="361">
                  <c:v>1.0746046317934559E-3</c:v>
                </c:pt>
                <c:pt idx="362">
                  <c:v>1.0643276642664633E-3</c:v>
                </c:pt>
                <c:pt idx="363">
                  <c:v>1.0541392605188313E-3</c:v>
                </c:pt>
                <c:pt idx="364">
                  <c:v>1.0440387812209947E-3</c:v>
                </c:pt>
                <c:pt idx="365">
                  <c:v>1.0340255901086382E-3</c:v>
                </c:pt>
                <c:pt idx="366">
                  <c:v>1.0240990539879397E-3</c:v>
                </c:pt>
                <c:pt idx="367">
                  <c:v>1.0142585427404954E-3</c:v>
                </c:pt>
                <c:pt idx="368">
                  <c:v>1.0045034293278514E-3</c:v>
                </c:pt>
                <c:pt idx="369">
                  <c:v>9.9483308979578071E-4</c:v>
                </c:pt>
                <c:pt idx="370">
                  <c:v>9.8524690327824252E-4</c:v>
                </c:pt>
                <c:pt idx="371">
                  <c:v>9.757442520009884E-4</c:v>
                </c:pt>
                <c:pt idx="372">
                  <c:v>9.6632452128491038E-4</c:v>
                </c:pt>
                <c:pt idx="373">
                  <c:v>9.5698709954906112E-4</c:v>
                </c:pt>
                <c:pt idx="374">
                  <c:v>9.4773137831338262E-4</c:v>
                </c:pt>
                <c:pt idx="375">
                  <c:v>9.3855675220112789E-4</c:v>
                </c:pt>
                <c:pt idx="376">
                  <c:v>9.294626189409981E-4</c:v>
                </c:pt>
                <c:pt idx="377">
                  <c:v>9.2044837936900402E-4</c:v>
                </c:pt>
                <c:pt idx="378">
                  <c:v>9.1151343743000116E-4</c:v>
                </c:pt>
                <c:pt idx="379">
                  <c:v>9.0265720017901688E-4</c:v>
                </c:pt>
                <c:pt idx="380">
                  <c:v>8.9387907778220969E-4</c:v>
                </c:pt>
                <c:pt idx="381">
                  <c:v>8.8517848351762907E-4</c:v>
                </c:pt>
                <c:pt idx="382">
                  <c:v>8.7655483377565256E-4</c:v>
                </c:pt>
                <c:pt idx="383">
                  <c:v>8.6800754805918708E-4</c:v>
                </c:pt>
                <c:pt idx="384">
                  <c:v>8.5953604898357863E-4</c:v>
                </c:pt>
                <c:pt idx="385">
                  <c:v>8.5113976227632268E-4</c:v>
                </c:pt>
                <c:pt idx="386">
                  <c:v>8.4281811677640837E-4</c:v>
                </c:pt>
                <c:pt idx="387">
                  <c:v>8.3457054443354488E-4</c:v>
                </c:pt>
                <c:pt idx="388">
                  <c:v>8.263964803069835E-4</c:v>
                </c:pt>
                <c:pt idx="389">
                  <c:v>8.1829536256426E-4</c:v>
                </c:pt>
                <c:pt idx="390">
                  <c:v>8.1026663247955009E-4</c:v>
                </c:pt>
                <c:pt idx="391">
                  <c:v>8.0230973443186013E-4</c:v>
                </c:pt>
                <c:pt idx="392">
                  <c:v>7.9442411590299744E-4</c:v>
                </c:pt>
                <c:pt idx="393">
                  <c:v>7.8660922747520422E-4</c:v>
                </c:pt>
                <c:pt idx="394">
                  <c:v>7.7886452282869764E-4</c:v>
                </c:pt>
                <c:pt idx="395">
                  <c:v>7.7118945873888914E-4</c:v>
                </c:pt>
                <c:pt idx="396">
                  <c:v>7.635834950734232E-4</c:v>
                </c:pt>
                <c:pt idx="397">
                  <c:v>7.5604609478895773E-4</c:v>
                </c:pt>
                <c:pt idx="398">
                  <c:v>7.485767239277883E-4</c:v>
                </c:pt>
                <c:pt idx="399">
                  <c:v>7.4117485161417571E-4</c:v>
                </c:pt>
                <c:pt idx="400">
                  <c:v>7.338399500505504E-4</c:v>
                </c:pt>
                <c:pt idx="401">
                  <c:v>7.2657149451345673E-4</c:v>
                </c:pt>
                <c:pt idx="402">
                  <c:v>7.1936896334930632E-4</c:v>
                </c:pt>
                <c:pt idx="403">
                  <c:v>7.1223183796991635E-4</c:v>
                </c:pt>
                <c:pt idx="404">
                  <c:v>7.0515960284789781E-4</c:v>
                </c:pt>
                <c:pt idx="405">
                  <c:v>6.9815174551179655E-4</c:v>
                </c:pt>
                <c:pt idx="406">
                  <c:v>6.912077565410504E-4</c:v>
                </c:pt>
                <c:pt idx="407">
                  <c:v>6.8432712956079285E-4</c:v>
                </c:pt>
                <c:pt idx="408">
                  <c:v>6.7750936123644502E-4</c:v>
                </c:pt>
                <c:pt idx="409">
                  <c:v>6.7075395126813507E-4</c:v>
                </c:pt>
                <c:pt idx="410">
                  <c:v>6.640604023849233E-4</c:v>
                </c:pt>
                <c:pt idx="411">
                  <c:v>6.5742822033885637E-4</c:v>
                </c:pt>
                <c:pt idx="412">
                  <c:v>6.5085691389888366E-4</c:v>
                </c:pt>
                <c:pt idx="413">
                  <c:v>6.4434599484455585E-4</c:v>
                </c:pt>
                <c:pt idx="414">
                  <c:v>6.3789497795957266E-4</c:v>
                </c:pt>
                <c:pt idx="415">
                  <c:v>6.3150338102517609E-4</c:v>
                </c:pt>
                <c:pt idx="416">
                  <c:v>6.2517072481338941E-4</c:v>
                </c:pt>
                <c:pt idx="417">
                  <c:v>6.1889653308006779E-4</c:v>
                </c:pt>
                <c:pt idx="418">
                  <c:v>6.1268033255780681E-4</c:v>
                </c:pt>
                <c:pt idx="419">
                  <c:v>6.065216529487329E-4</c:v>
                </c:pt>
                <c:pt idx="420">
                  <c:v>6.0042002691708656E-4</c:v>
                </c:pt>
                <c:pt idx="421">
                  <c:v>5.9437499008168672E-4</c:v>
                </c:pt>
                <c:pt idx="422">
                  <c:v>5.883860810082962E-4</c:v>
                </c:pt>
                <c:pt idx="423">
                  <c:v>5.8245284120171572E-4</c:v>
                </c:pt>
                <c:pt idx="424">
                  <c:v>5.765748150979343E-4</c:v>
                </c:pt>
                <c:pt idx="425">
                  <c:v>5.7075155005593264E-4</c:v>
                </c:pt>
                <c:pt idx="426">
                  <c:v>5.6498259634952738E-4</c:v>
                </c:pt>
                <c:pt idx="427">
                  <c:v>5.5926750715899233E-4</c:v>
                </c:pt>
                <c:pt idx="428">
                  <c:v>5.5360583856254968E-4</c:v>
                </c:pt>
                <c:pt idx="429">
                  <c:v>5.4799714952779958E-4</c:v>
                </c:pt>
                <c:pt idx="430">
                  <c:v>5.4244100190297285E-4</c:v>
                </c:pt>
                <c:pt idx="431">
                  <c:v>5.3693696040806472E-4</c:v>
                </c:pt>
                <c:pt idx="432">
                  <c:v>5.3148459262589761E-4</c:v>
                </c:pt>
                <c:pt idx="433">
                  <c:v>5.2608346899300166E-4</c:v>
                </c:pt>
                <c:pt idx="434">
                  <c:v>5.2073316279046059E-4</c:v>
                </c:pt>
                <c:pt idx="435">
                  <c:v>5.1543325013457802E-4</c:v>
                </c:pt>
                <c:pt idx="436">
                  <c:v>5.1018330996745621E-4</c:v>
                </c:pt>
                <c:pt idx="437">
                  <c:v>5.0498292404752357E-4</c:v>
                </c:pt>
                <c:pt idx="438">
                  <c:v>4.9983167693987834E-4</c:v>
                </c:pt>
                <c:pt idx="439">
                  <c:v>4.9472915600659324E-4</c:v>
                </c:pt>
                <c:pt idx="440">
                  <c:v>4.8967495139687865E-4</c:v>
                </c:pt>
                <c:pt idx="441">
                  <c:v>4.8466865603719132E-4</c:v>
                </c:pt>
                <c:pt idx="442">
                  <c:v>4.7970986562124313E-4</c:v>
                </c:pt>
                <c:pt idx="443">
                  <c:v>4.7479817859985302E-4</c:v>
                </c:pt>
                <c:pt idx="444">
                  <c:v>4.6993319617083876E-4</c:v>
                </c:pt>
                <c:pt idx="445">
                  <c:v>4.6511452226868401E-4</c:v>
                </c:pt>
                <c:pt idx="446">
                  <c:v>4.6034176355425234E-4</c:v>
                </c:pt>
                <c:pt idx="447">
                  <c:v>4.5561452940431468E-4</c:v>
                </c:pt>
                <c:pt idx="448">
                  <c:v>4.5093243190101693E-4</c:v>
                </c:pt>
                <c:pt idx="449">
                  <c:v>4.4629508582137451E-4</c:v>
                </c:pt>
                <c:pt idx="450">
                  <c:v>4.4170210862650924E-4</c:v>
                </c:pt>
                <c:pt idx="451">
                  <c:v>4.3715312045100249E-4</c:v>
                </c:pt>
                <c:pt idx="452">
                  <c:v>4.3264774409203146E-4</c:v>
                </c:pt>
                <c:pt idx="453">
                  <c:v>4.2818560499852543E-4</c:v>
                </c:pt>
                <c:pt idx="454">
                  <c:v>4.2376633126021013E-4</c:v>
                </c:pt>
                <c:pt idx="455">
                  <c:v>4.1938955359663473E-4</c:v>
                </c:pt>
                <c:pt idx="456">
                  <c:v>4.1505490534605484E-4</c:v>
                </c:pt>
                <c:pt idx="457">
                  <c:v>4.1076202245434422E-4</c:v>
                </c:pt>
                <c:pt idx="458">
                  <c:v>4.0651054346382658E-4</c:v>
                </c:pt>
                <c:pt idx="459">
                  <c:v>4.0230010950194871E-4</c:v>
                </c:pt>
                <c:pt idx="460">
                  <c:v>3.9813036427011235E-4</c:v>
                </c:pt>
                <c:pt idx="461">
                  <c:v>3.9400095403220852E-4</c:v>
                </c:pt>
                <c:pt idx="462">
                  <c:v>3.8991152760331927E-4</c:v>
                </c:pt>
                <c:pt idx="463">
                  <c:v>3.8586173633817916E-4</c:v>
                </c:pt>
                <c:pt idx="464">
                  <c:v>3.8185123411974692E-4</c:v>
                </c:pt>
                <c:pt idx="465">
                  <c:v>3.7787967734765303E-4</c:v>
                </c:pt>
                <c:pt idx="466">
                  <c:v>3.7394672492658057E-4</c:v>
                </c:pt>
                <c:pt idx="467">
                  <c:v>3.7005203825470588E-4</c:v>
                </c:pt>
                <c:pt idx="468">
                  <c:v>3.6619528121198657E-4</c:v>
                </c:pt>
                <c:pt idx="469">
                  <c:v>3.6237612014846775E-4</c:v>
                </c:pt>
                <c:pt idx="470">
                  <c:v>3.5859422387258047E-4</c:v>
                </c:pt>
                <c:pt idx="471">
                  <c:v>3.5484926363929872E-4</c:v>
                </c:pt>
                <c:pt idx="472">
                  <c:v>3.5114091313843358E-4</c:v>
                </c:pt>
                <c:pt idx="473">
                  <c:v>3.4746884848268957E-4</c:v>
                </c:pt>
                <c:pt idx="474">
                  <c:v>3.4383274819589638E-4</c:v>
                </c:pt>
                <c:pt idx="475">
                  <c:v>3.4023229320104525E-4</c:v>
                </c:pt>
                <c:pt idx="476">
                  <c:v>3.3666716680840706E-4</c:v>
                </c:pt>
                <c:pt idx="477">
                  <c:v>3.3313705470357918E-4</c:v>
                </c:pt>
                <c:pt idx="478">
                  <c:v>3.2964164493551242E-4</c:v>
                </c:pt>
                <c:pt idx="479">
                  <c:v>3.2618062790451541E-4</c:v>
                </c:pt>
                <c:pt idx="480">
                  <c:v>3.2275369635026939E-4</c:v>
                </c:pt>
                <c:pt idx="481">
                  <c:v>3.1936054533978318E-4</c:v>
                </c:pt>
                <c:pt idx="482">
                  <c:v>3.1600087225534031E-4</c:v>
                </c:pt>
                <c:pt idx="483">
                  <c:v>3.1267437678243575E-4</c:v>
                </c:pt>
                <c:pt idx="484">
                  <c:v>3.0938076089774514E-4</c:v>
                </c:pt>
                <c:pt idx="485">
                  <c:v>3.0611972885696316E-4</c:v>
                </c:pt>
                <c:pt idx="486">
                  <c:v>3.0289098718275058E-4</c:v>
                </c:pt>
                <c:pt idx="487">
                  <c:v>2.9969424465261466E-4</c:v>
                </c:pt>
                <c:pt idx="488">
                  <c:v>2.9652921228679255E-4</c:v>
                </c:pt>
                <c:pt idx="489">
                  <c:v>2.9339560333609257E-4</c:v>
                </c:pt>
                <c:pt idx="490">
                  <c:v>2.9029313326981408E-4</c:v>
                </c:pt>
                <c:pt idx="491">
                  <c:v>2.872215197635415E-4</c:v>
                </c:pt>
                <c:pt idx="492">
                  <c:v>2.8418048268706673E-4</c:v>
                </c:pt>
                <c:pt idx="493">
                  <c:v>2.8116974409220881E-4</c:v>
                </c:pt>
                <c:pt idx="494">
                  <c:v>2.7818902820066042E-4</c:v>
                </c:pt>
                <c:pt idx="495">
                  <c:v>2.7523806139185961E-4</c:v>
                </c:pt>
                <c:pt idx="496">
                  <c:v>2.7231657219082628E-4</c:v>
                </c:pt>
                <c:pt idx="497">
                  <c:v>2.6942429125603783E-4</c:v>
                </c:pt>
                <c:pt idx="498">
                  <c:v>2.6656095136727478E-4</c:v>
                </c:pt>
                <c:pt idx="499">
                  <c:v>2.6372628741349333E-4</c:v>
                </c:pt>
                <c:pt idx="500">
                  <c:v>2.6092003638067407E-4</c:v>
                </c:pt>
                <c:pt idx="501">
                  <c:v>2.581419373397292E-4</c:v>
                </c:pt>
                <c:pt idx="502">
                  <c:v>2.5539173143436728E-4</c:v>
                </c:pt>
                <c:pt idx="503">
                  <c:v>2.5266916186897489E-4</c:v>
                </c:pt>
                <c:pt idx="504">
                  <c:v>2.4997397389655814E-4</c:v>
                </c:pt>
                <c:pt idx="505">
                  <c:v>2.4730591480661909E-4</c:v>
                </c:pt>
                <c:pt idx="506">
                  <c:v>2.4466473391310337E-4</c:v>
                </c:pt>
                <c:pt idx="507">
                  <c:v>2.4205018254230002E-4</c:v>
                </c:pt>
                <c:pt idx="508">
                  <c:v>2.3946201402087015E-4</c:v>
                </c:pt>
                <c:pt idx="509">
                  <c:v>2.3689998366374339E-4</c:v>
                </c:pt>
                <c:pt idx="510">
                  <c:v>2.343638487621166E-4</c:v>
                </c:pt>
                <c:pt idx="511">
                  <c:v>2.3185336857148471E-4</c:v>
                </c:pt>
                <c:pt idx="512">
                  <c:v>2.2936830429962215E-4</c:v>
                </c:pt>
                <c:pt idx="513">
                  <c:v>2.2690841909462234E-4</c:v>
                </c:pt>
                <c:pt idx="514">
                  <c:v>2.2447347803299794E-4</c:v>
                </c:pt>
                <c:pt idx="515">
                  <c:v>2.2206324810770299E-4</c:v>
                </c:pt>
                <c:pt idx="516">
                  <c:v>2.1967749821624055E-4</c:v>
                </c:pt>
                <c:pt idx="517">
                  <c:v>2.1731599914879716E-4</c:v>
                </c:pt>
                <c:pt idx="518">
                  <c:v>2.149785235763973E-4</c:v>
                </c:pt>
                <c:pt idx="519">
                  <c:v>2.1266484603901402E-4</c:v>
                </c:pt>
                <c:pt idx="520">
                  <c:v>2.1037474293381618E-4</c:v>
                </c:pt>
                <c:pt idx="521">
                  <c:v>2.0810799250335242E-4</c:v>
                </c:pt>
                <c:pt idx="522">
                  <c:v>2.0586437482379791E-4</c:v>
                </c:pt>
                <c:pt idx="523">
                  <c:v>2.036436717932368E-4</c:v>
                </c:pt>
                <c:pt idx="524">
                  <c:v>2.0144566711992112E-4</c:v>
                </c:pt>
                <c:pt idx="525">
                  <c:v>1.9927014631062256E-4</c:v>
                </c:pt>
                <c:pt idx="526">
                  <c:v>1.9711689665898339E-4</c:v>
                </c:pt>
                <c:pt idx="527">
                  <c:v>1.9498570723388035E-4</c:v>
                </c:pt>
                <c:pt idx="528">
                  <c:v>1.9287636886784146E-4</c:v>
                </c:pt>
                <c:pt idx="529">
                  <c:v>1.9078867414549843E-4</c:v>
                </c:pt>
                <c:pt idx="530">
                  <c:v>1.8872241739202773E-4</c:v>
                </c:pt>
                <c:pt idx="531">
                  <c:v>1.8667739466170794E-4</c:v>
                </c:pt>
                <c:pt idx="532">
                  <c:v>1.8465340372641071E-4</c:v>
                </c:pt>
                <c:pt idx="533">
                  <c:v>1.8265024406418978E-4</c:v>
                </c:pt>
                <c:pt idx="534">
                  <c:v>1.8066771684786603E-4</c:v>
                </c:pt>
                <c:pt idx="535">
                  <c:v>1.7870562493371754E-4</c:v>
                </c:pt>
                <c:pt idx="536">
                  <c:v>1.7676377285006989E-4</c:v>
                </c:pt>
                <c:pt idx="537">
                  <c:v>1.7484196678609586E-4</c:v>
                </c:pt>
                <c:pt idx="538">
                  <c:v>1.7294001458048602E-4</c:v>
                </c:pt>
                <c:pt idx="539">
                  <c:v>1.7105772571028056E-4</c:v>
                </c:pt>
                <c:pt idx="540">
                  <c:v>1.6919491127965168E-4</c:v>
                </c:pt>
                <c:pt idx="541">
                  <c:v>1.6735138400879616E-4</c:v>
                </c:pt>
                <c:pt idx="542">
                  <c:v>1.6552695822277591E-4</c:v>
                </c:pt>
                <c:pt idx="543">
                  <c:v>1.6372144984050808E-4</c:v>
                </c:pt>
                <c:pt idx="544">
                  <c:v>1.6193467636369148E-4</c:v>
                </c:pt>
                <c:pt idx="545">
                  <c:v>1.6016645686585222E-4</c:v>
                </c:pt>
                <c:pt idx="546">
                  <c:v>1.5841661198136596E-4</c:v>
                </c:pt>
                <c:pt idx="547">
                  <c:v>1.5668496389457292E-4</c:v>
                </c:pt>
                <c:pt idx="548">
                  <c:v>1.5497133632886217E-4</c:v>
                </c:pt>
                <c:pt idx="549">
                  <c:v>1.5327555453591287E-4</c:v>
                </c:pt>
                <c:pt idx="550">
                  <c:v>1.5159744528485094E-4</c:v>
                </c:pt>
                <c:pt idx="551">
                  <c:v>1.49936836851528E-4</c:v>
                </c:pt>
                <c:pt idx="552">
                  <c:v>1.482935590078234E-4</c:v>
                </c:pt>
                <c:pt idx="553">
                  <c:v>1.4666744301095741E-4</c:v>
                </c:pt>
                <c:pt idx="554">
                  <c:v>1.4505832159292199E-4</c:v>
                </c:pt>
                <c:pt idx="555">
                  <c:v>1.4346602894984E-4</c:v>
                </c:pt>
                <c:pt idx="556">
                  <c:v>1.4189040073148704E-4</c:v>
                </c:pt>
                <c:pt idx="557">
                  <c:v>1.4033127403081437E-4</c:v>
                </c:pt>
                <c:pt idx="558">
                  <c:v>1.387884873734395E-4</c:v>
                </c:pt>
                <c:pt idx="559">
                  <c:v>1.3726188070732029E-4</c:v>
                </c:pt>
                <c:pt idx="560">
                  <c:v>1.3575129539234506E-4</c:v>
                </c:pt>
                <c:pt idx="561">
                  <c:v>1.3425657419008255E-4</c:v>
                </c:pt>
                <c:pt idx="562">
                  <c:v>1.3277756125344839E-4</c:v>
                </c:pt>
                <c:pt idx="563">
                  <c:v>1.3131410211656021E-4</c:v>
                </c:pt>
                <c:pt idx="564">
                  <c:v>1.2986604368450368E-4</c:v>
                </c:pt>
                <c:pt idx="565">
                  <c:v>1.2843323422325023E-4</c:v>
                </c:pt>
                <c:pt idx="566">
                  <c:v>1.2701552334955994E-4</c:v>
                </c:pt>
                <c:pt idx="567">
                  <c:v>1.2561276202093809E-4</c:v>
                </c:pt>
                <c:pt idx="568">
                  <c:v>1.242248025256703E-4</c:v>
                </c:pt>
                <c:pt idx="569">
                  <c:v>1.2285149847287191E-4</c:v>
                </c:pt>
                <c:pt idx="570">
                  <c:v>1.2149270478259877E-4</c:v>
                </c:pt>
                <c:pt idx="571">
                  <c:v>1.2014827767598316E-4</c:v>
                </c:pt>
                <c:pt idx="572">
                  <c:v>1.1881807466548183E-4</c:v>
                </c:pt>
                <c:pt idx="573">
                  <c:v>1.1750195454507308E-4</c:v>
                </c:pt>
                <c:pt idx="574">
                  <c:v>1.1619977738057982E-4</c:v>
                </c:pt>
                <c:pt idx="575">
                  <c:v>1.149114045000258E-4</c:v>
                </c:pt>
                <c:pt idx="576">
                  <c:v>1.1363669848401528E-4</c:v>
                </c:pt>
                <c:pt idx="577">
                  <c:v>1.123755231561658E-4</c:v>
                </c:pt>
                <c:pt idx="578">
                  <c:v>1.1112774357362036E-4</c:v>
                </c:pt>
                <c:pt idx="579">
                  <c:v>1.0989322601757424E-4</c:v>
                </c:pt>
                <c:pt idx="580">
                  <c:v>1.0867183798385122E-4</c:v>
                </c:pt>
                <c:pt idx="581">
                  <c:v>1.0746344817356155E-4</c:v>
                </c:pt>
                <c:pt idx="582">
                  <c:v>1.0626792648378417E-4</c:v>
                </c:pt>
                <c:pt idx="583">
                  <c:v>1.050851439982829E-4</c:v>
                </c:pt>
                <c:pt idx="584">
                  <c:v>1.0391497297830695E-4</c:v>
                </c:pt>
                <c:pt idx="585">
                  <c:v>1.0275728685340407E-4</c:v>
                </c:pt>
                <c:pt idx="586">
                  <c:v>1.0161196021232929E-4</c:v>
                </c:pt>
                <c:pt idx="587">
                  <c:v>1.0047886879394367E-4</c:v>
                </c:pt>
                <c:pt idx="588">
                  <c:v>9.9357889478226538E-5</c:v>
                </c:pt>
                <c:pt idx="589">
                  <c:v>9.8248900277275253E-5</c:v>
                </c:pt>
                <c:pt idx="590">
                  <c:v>9.7151780326395262E-5</c:v>
                </c:pt>
                <c:pt idx="591">
                  <c:v>9.6066409875224376E-5</c:v>
                </c:pt>
                <c:pt idx="592">
                  <c:v>9.4992670278930789E-5</c:v>
                </c:pt>
                <c:pt idx="593">
                  <c:v>9.3930443989412174E-5</c:v>
                </c:pt>
                <c:pt idx="594">
                  <c:v>9.2879614546571756E-5</c:v>
                </c:pt>
                <c:pt idx="595">
                  <c:v>9.1840066569678957E-5</c:v>
                </c:pt>
                <c:pt idx="596">
                  <c:v>9.081168574868472E-5</c:v>
                </c:pt>
                <c:pt idx="597">
                  <c:v>8.9794358835714209E-5</c:v>
                </c:pt>
                <c:pt idx="598">
                  <c:v>8.8787973636497274E-5</c:v>
                </c:pt>
                <c:pt idx="599">
                  <c:v>8.7792419001900398E-5</c:v>
                </c:pt>
                <c:pt idx="600">
                  <c:v>8.6807584819506133E-5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AF-4B19-B20C-92F0D962124F}"/>
            </c:ext>
          </c:extLst>
        </c:ser>
        <c:ser>
          <c:idx val="2"/>
          <c:order val="2"/>
          <c:tx>
            <c:strRef>
              <c:f>MarketFit!$R$4</c:f>
              <c:strCache>
                <c:ptCount val="1"/>
                <c:pt idx="0">
                  <c:v>NormVol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MarketFit!$R$5:$R$605</c:f>
              <c:numCache>
                <c:formatCode>0.0000%</c:formatCode>
                <c:ptCount val="601"/>
                <c:pt idx="0">
                  <c:v>1.5262753173599657E-3</c:v>
                </c:pt>
                <c:pt idx="1">
                  <c:v>1.5439371387415734E-3</c:v>
                </c:pt>
                <c:pt idx="2">
                  <c:v>1.5617604272296884E-3</c:v>
                </c:pt>
                <c:pt idx="3">
                  <c:v>1.5797461100286463E-3</c:v>
                </c:pt>
                <c:pt idx="4">
                  <c:v>1.5978951133696078E-3</c:v>
                </c:pt>
                <c:pt idx="5">
                  <c:v>1.6162083624333785E-3</c:v>
                </c:pt>
                <c:pt idx="6">
                  <c:v>1.6346867812729077E-3</c:v>
                </c:pt>
                <c:pt idx="7">
                  <c:v>1.6533312927354826E-3</c:v>
                </c:pt>
                <c:pt idx="8">
                  <c:v>1.6721428183846337E-3</c:v>
                </c:pt>
                <c:pt idx="9">
                  <c:v>1.6911222784217407E-3</c:v>
                </c:pt>
                <c:pt idx="10">
                  <c:v>1.710270591607374E-3</c:v>
                </c:pt>
                <c:pt idx="11">
                  <c:v>1.7295886751823673E-3</c:v>
                </c:pt>
                <c:pt idx="12">
                  <c:v>1.7490774447886325E-3</c:v>
                </c:pt>
                <c:pt idx="13">
                  <c:v>1.7687378143897421E-3</c:v>
                </c:pt>
                <c:pt idx="14">
                  <c:v>1.7885706961912637E-3</c:v>
                </c:pt>
                <c:pt idx="15">
                  <c:v>1.8085770005608929E-3</c:v>
                </c:pt>
                <c:pt idx="16">
                  <c:v>1.8287576359483563E-3</c:v>
                </c:pt>
                <c:pt idx="17">
                  <c:v>1.8491135088051325E-3</c:v>
                </c:pt>
                <c:pt idx="18">
                  <c:v>1.8696455235039729E-3</c:v>
                </c:pt>
                <c:pt idx="19">
                  <c:v>1.8903545822582541E-3</c:v>
                </c:pt>
                <c:pt idx="20">
                  <c:v>1.9112415850411702E-3</c:v>
                </c:pt>
                <c:pt idx="21">
                  <c:v>1.9323074295047567E-3</c:v>
                </c:pt>
                <c:pt idx="22">
                  <c:v>1.9535530108987917E-3</c:v>
                </c:pt>
                <c:pt idx="23">
                  <c:v>1.9749792219895569E-3</c:v>
                </c:pt>
                <c:pt idx="24">
                  <c:v>1.9965869529784859E-3</c:v>
                </c:pt>
                <c:pt idx="25">
                  <c:v>2.0183770914207009E-3</c:v>
                </c:pt>
                <c:pt idx="26">
                  <c:v>2.0403505221434706E-3</c:v>
                </c:pt>
                <c:pt idx="27">
                  <c:v>2.0625081271645738E-3</c:v>
                </c:pt>
                <c:pt idx="28">
                  <c:v>2.0848507856105936E-3</c:v>
                </c:pt>
                <c:pt idx="29">
                  <c:v>2.1073793736351722E-3</c:v>
                </c:pt>
                <c:pt idx="30">
                  <c:v>2.1300947643371993E-3</c:v>
                </c:pt>
                <c:pt idx="31">
                  <c:v>2.1529978276789846E-3</c:v>
                </c:pt>
                <c:pt idx="32">
                  <c:v>2.176089430404407E-3</c:v>
                </c:pt>
                <c:pt idx="33">
                  <c:v>2.1993704359570565E-3</c:v>
                </c:pt>
                <c:pt idx="34">
                  <c:v>2.2228417043983757E-3</c:v>
                </c:pt>
                <c:pt idx="35">
                  <c:v>2.2465040923258395E-3</c:v>
                </c:pt>
                <c:pt idx="36">
                  <c:v>2.2703584527911484E-3</c:v>
                </c:pt>
                <c:pt idx="37">
                  <c:v>2.2944056352184631E-3</c:v>
                </c:pt>
                <c:pt idx="38">
                  <c:v>2.3186464853227184E-3</c:v>
                </c:pt>
                <c:pt idx="39">
                  <c:v>2.3430818450279854E-3</c:v>
                </c:pt>
                <c:pt idx="40">
                  <c:v>2.3677125523859283E-3</c:v>
                </c:pt>
                <c:pt idx="41">
                  <c:v>2.3925394414943519E-3</c:v>
                </c:pt>
                <c:pt idx="42">
                  <c:v>2.4175633424158597E-3</c:v>
                </c:pt>
                <c:pt idx="43">
                  <c:v>2.4427850810966384E-3</c:v>
                </c:pt>
                <c:pt idx="44">
                  <c:v>2.4682054792853694E-3</c:v>
                </c:pt>
                <c:pt idx="45">
                  <c:v>2.4938253544522933E-3</c:v>
                </c:pt>
                <c:pt idx="46">
                  <c:v>2.5196455197084348E-3</c:v>
                </c:pt>
                <c:pt idx="47">
                  <c:v>2.545666783725004E-3</c:v>
                </c:pt>
                <c:pt idx="48">
                  <c:v>2.5718899506529834E-3</c:v>
                </c:pt>
                <c:pt idx="49">
                  <c:v>2.5983158200429124E-3</c:v>
                </c:pt>
                <c:pt idx="50">
                  <c:v>2.6249451867648918E-3</c:v>
                </c:pt>
                <c:pt idx="51">
                  <c:v>2.6517788409288149E-3</c:v>
                </c:pt>
                <c:pt idx="52">
                  <c:v>2.6788175678048331E-3</c:v>
                </c:pt>
                <c:pt idx="53">
                  <c:v>2.706062147744083E-3</c:v>
                </c:pt>
                <c:pt idx="54">
                  <c:v>2.7335133560996718E-3</c:v>
                </c:pt>
                <c:pt idx="55">
                  <c:v>2.7611719631479527E-3</c:v>
                </c:pt>
                <c:pt idx="56">
                  <c:v>2.7890387340100881E-3</c:v>
                </c:pt>
                <c:pt idx="57">
                  <c:v>2.8171144285739124E-3</c:v>
                </c:pt>
                <c:pt idx="58">
                  <c:v>2.8453998014161329E-3</c:v>
                </c:pt>
                <c:pt idx="59">
                  <c:v>2.8738956017248427E-3</c:v>
                </c:pt>
                <c:pt idx="60">
                  <c:v>2.902602573222399E-3</c:v>
                </c:pt>
                <c:pt idx="61">
                  <c:v>2.931521454088642E-3</c:v>
                </c:pt>
                <c:pt idx="62">
                  <c:v>2.9606529768845041E-3</c:v>
                </c:pt>
                <c:pt idx="63">
                  <c:v>2.9899978684759863E-3</c:v>
                </c:pt>
                <c:pt idx="64">
                  <c:v>3.0195568499585533E-3</c:v>
                </c:pt>
                <c:pt idx="65">
                  <c:v>3.0493306365819242E-3</c:v>
                </c:pt>
                <c:pt idx="66">
                  <c:v>3.0793199376752916E-3</c:v>
                </c:pt>
                <c:pt idx="67">
                  <c:v>3.1095254565729866E-3</c:v>
                </c:pt>
                <c:pt idx="68">
                  <c:v>3.1399478905405811E-3</c:v>
                </c:pt>
                <c:pt idx="69">
                  <c:v>3.1705879307014628E-3</c:v>
                </c:pt>
                <c:pt idx="70">
                  <c:v>3.2014462619638895E-3</c:v>
                </c:pt>
                <c:pt idx="71">
                  <c:v>3.2325235629485135E-3</c:v>
                </c:pt>
                <c:pt idx="72">
                  <c:v>3.263820505916437E-3</c:v>
                </c:pt>
                <c:pt idx="73">
                  <c:v>3.295337756697755E-3</c:v>
                </c:pt>
                <c:pt idx="74">
                  <c:v>3.3270759746206408E-3</c:v>
                </c:pt>
                <c:pt idx="75">
                  <c:v>3.3590358124409663E-3</c:v>
                </c:pt>
                <c:pt idx="76">
                  <c:v>3.3912179162724717E-3</c:v>
                </c:pt>
                <c:pt idx="77">
                  <c:v>3.4236229255175088E-3</c:v>
                </c:pt>
                <c:pt idx="78">
                  <c:v>3.4562514727983517E-3</c:v>
                </c:pt>
                <c:pt idx="79">
                  <c:v>3.4891041838890978E-3</c:v>
                </c:pt>
                <c:pt idx="80">
                  <c:v>3.5221816776481764E-3</c:v>
                </c:pt>
                <c:pt idx="81">
                  <c:v>3.5554845659514674E-3</c:v>
                </c:pt>
                <c:pt idx="82">
                  <c:v>3.5890134536260385E-3</c:v>
                </c:pt>
                <c:pt idx="83">
                  <c:v>3.6227689383845334E-3</c:v>
                </c:pt>
                <c:pt idx="84">
                  <c:v>3.6567516107601991E-3</c:v>
                </c:pt>
                <c:pt idx="85">
                  <c:v>3.6909620540425737E-3</c:v>
                </c:pt>
                <c:pt idx="86">
                  <c:v>3.7254008442138553E-3</c:v>
                </c:pt>
                <c:pt idx="87">
                  <c:v>3.7600685498859485E-3</c:v>
                </c:pt>
                <c:pt idx="88">
                  <c:v>3.7949657322382084E-3</c:v>
                </c:pt>
                <c:pt idx="89">
                  <c:v>3.8300929449558855E-3</c:v>
                </c:pt>
                <c:pt idx="90">
                  <c:v>3.8654507341693047E-3</c:v>
                </c:pt>
                <c:pt idx="91">
                  <c:v>3.901039638393753E-3</c:v>
                </c:pt>
                <c:pt idx="92">
                  <c:v>3.936860188470127E-3</c:v>
                </c:pt>
                <c:pt idx="93">
                  <c:v>3.9729129075063143E-3</c:v>
                </c:pt>
                <c:pt idx="94">
                  <c:v>4.0091983108193549E-3</c:v>
                </c:pt>
                <c:pt idx="95">
                  <c:v>4.0457169058783536E-3</c:v>
                </c:pt>
                <c:pt idx="96">
                  <c:v>4.0824691922482E-3</c:v>
                </c:pt>
                <c:pt idx="97">
                  <c:v>4.1194556615340629E-3</c:v>
                </c:pt>
                <c:pt idx="98">
                  <c:v>4.1566767973266958E-3</c:v>
                </c:pt>
                <c:pt idx="99">
                  <c:v>4.1941330751485567E-3</c:v>
                </c:pt>
                <c:pt idx="100">
                  <c:v>4.2318249624007532E-3</c:v>
                </c:pt>
                <c:pt idx="101">
                  <c:v>4.2697529183108145E-3</c:v>
                </c:pt>
                <c:pt idx="102">
                  <c:v>4.3079173938813248E-3</c:v>
                </c:pt>
                <c:pt idx="103">
                  <c:v>4.3463188318393752E-3</c:v>
                </c:pt>
                <c:pt idx="104">
                  <c:v>4.3849576665869238E-3</c:v>
                </c:pt>
                <c:pt idx="105">
                  <c:v>4.423834324151988E-3</c:v>
                </c:pt>
                <c:pt idx="106">
                  <c:v>4.4629492221407397E-3</c:v>
                </c:pt>
                <c:pt idx="107">
                  <c:v>4.5023027696904855E-3</c:v>
                </c:pt>
                <c:pt idx="108">
                  <c:v>4.5418953674235428E-3</c:v>
                </c:pt>
                <c:pt idx="109">
                  <c:v>4.5817274074020278E-3</c:v>
                </c:pt>
                <c:pt idx="110">
                  <c:v>4.6217992730835525E-3</c:v>
                </c:pt>
                <c:pt idx="111">
                  <c:v>4.6621113392778541E-3</c:v>
                </c:pt>
                <c:pt idx="112">
                  <c:v>4.7026639721043564E-3</c:v>
                </c:pt>
                <c:pt idx="113">
                  <c:v>4.7434575289506606E-3</c:v>
                </c:pt>
                <c:pt idx="114">
                  <c:v>4.7844923584320024E-3</c:v>
                </c:pt>
                <c:pt idx="115">
                  <c:v>4.8257688003516472E-3</c:v>
                </c:pt>
                <c:pt idx="116">
                  <c:v>4.8672871856622595E-3</c:v>
                </c:pt>
                <c:pt idx="117">
                  <c:v>4.9090478364282432E-3</c:v>
                </c:pt>
                <c:pt idx="118">
                  <c:v>4.951051065789051E-3</c:v>
                </c:pt>
                <c:pt idx="119">
                  <c:v>4.993297177923497E-3</c:v>
                </c:pt>
                <c:pt idx="120">
                  <c:v>5.0357864680150299E-3</c:v>
                </c:pt>
                <c:pt idx="121">
                  <c:v>5.0785192222180435E-3</c:v>
                </c:pt>
                <c:pt idx="122">
                  <c:v>5.12149571762516E-3</c:v>
                </c:pt>
                <c:pt idx="123">
                  <c:v>5.1647162222355388E-3</c:v>
                </c:pt>
                <c:pt idx="124">
                  <c:v>5.2081809949241975E-3</c:v>
                </c:pt>
                <c:pt idx="125">
                  <c:v>5.2518902854123669E-3</c:v>
                </c:pt>
                <c:pt idx="126">
                  <c:v>5.2958443342388511E-3</c:v>
                </c:pt>
                <c:pt idx="127">
                  <c:v>5.3400433727324561E-3</c:v>
                </c:pt>
                <c:pt idx="128">
                  <c:v>5.3844876229854127E-3</c:v>
                </c:pt>
                <c:pt idx="129">
                  <c:v>5.4291772978278911E-3</c:v>
                </c:pt>
                <c:pt idx="130">
                  <c:v>5.4741126008035273E-3</c:v>
                </c:pt>
                <c:pt idx="131">
                  <c:v>5.5192937261460294E-3</c:v>
                </c:pt>
                <c:pt idx="132">
                  <c:v>5.5647208587568204E-3</c:v>
                </c:pt>
                <c:pt idx="133">
                  <c:v>5.6103941741837624E-3</c:v>
                </c:pt>
                <c:pt idx="134">
                  <c:v>5.65631383860094E-3</c:v>
                </c:pt>
                <c:pt idx="135">
                  <c:v>5.7024800087895058E-3</c:v>
                </c:pt>
                <c:pt idx="136">
                  <c:v>5.74889283211962E-3</c:v>
                </c:pt>
                <c:pt idx="137">
                  <c:v>5.7955524465334455E-3</c:v>
                </c:pt>
                <c:pt idx="138">
                  <c:v>5.8424589805292394E-3</c:v>
                </c:pt>
                <c:pt idx="139">
                  <c:v>5.889612553146531E-3</c:v>
                </c:pt>
                <c:pt idx="140">
                  <c:v>5.9370132739523622E-3</c:v>
                </c:pt>
                <c:pt idx="141">
                  <c:v>5.9846612430286533E-3</c:v>
                </c:pt>
                <c:pt idx="142">
                  <c:v>6.0325565509606336E-3</c:v>
                </c:pt>
                <c:pt idx="143">
                  <c:v>6.0806992788263745E-3</c:v>
                </c:pt>
                <c:pt idx="144">
                  <c:v>6.1290894981874209E-3</c:v>
                </c:pt>
                <c:pt idx="145">
                  <c:v>6.1777272710805244E-3</c:v>
                </c:pt>
                <c:pt idx="146">
                  <c:v>6.2266126500104641E-3</c:v>
                </c:pt>
                <c:pt idx="147">
                  <c:v>6.2757456779439762E-3</c:v>
                </c:pt>
                <c:pt idx="148">
                  <c:v>6.3251263883047941E-3</c:v>
                </c:pt>
                <c:pt idx="149">
                  <c:v>6.3747548049697704E-3</c:v>
                </c:pt>
                <c:pt idx="150">
                  <c:v>6.4246309422661208E-3</c:v>
                </c:pt>
                <c:pt idx="151">
                  <c:v>6.3747548049697756E-3</c:v>
                </c:pt>
                <c:pt idx="152">
                  <c:v>6.3251263883047993E-3</c:v>
                </c:pt>
                <c:pt idx="153">
                  <c:v>6.2757456779439823E-3</c:v>
                </c:pt>
                <c:pt idx="154">
                  <c:v>6.2266126500104685E-3</c:v>
                </c:pt>
                <c:pt idx="155">
                  <c:v>6.1777272710805287E-3</c:v>
                </c:pt>
                <c:pt idx="156">
                  <c:v>6.1290894981874252E-3</c:v>
                </c:pt>
                <c:pt idx="157">
                  <c:v>6.0806992788263788E-3</c:v>
                </c:pt>
                <c:pt idx="158">
                  <c:v>6.0325565509606388E-3</c:v>
                </c:pt>
                <c:pt idx="159">
                  <c:v>5.9846612430286593E-3</c:v>
                </c:pt>
                <c:pt idx="160">
                  <c:v>5.9370132739523674E-3</c:v>
                </c:pt>
                <c:pt idx="161">
                  <c:v>5.8896125531465362E-3</c:v>
                </c:pt>
                <c:pt idx="162">
                  <c:v>5.8424589805292446E-3</c:v>
                </c:pt>
                <c:pt idx="163">
                  <c:v>5.7955524465334498E-3</c:v>
                </c:pt>
                <c:pt idx="164">
                  <c:v>5.7488928321196243E-3</c:v>
                </c:pt>
                <c:pt idx="165">
                  <c:v>5.7024800087895101E-3</c:v>
                </c:pt>
                <c:pt idx="166">
                  <c:v>5.6563138386009435E-3</c:v>
                </c:pt>
                <c:pt idx="167">
                  <c:v>5.6103941741837667E-3</c:v>
                </c:pt>
                <c:pt idx="168">
                  <c:v>5.564720858756823E-3</c:v>
                </c:pt>
                <c:pt idx="169">
                  <c:v>5.519293726146032E-3</c:v>
                </c:pt>
                <c:pt idx="170">
                  <c:v>5.4741126008035308E-3</c:v>
                </c:pt>
                <c:pt idx="171">
                  <c:v>5.4291772978278937E-3</c:v>
                </c:pt>
                <c:pt idx="172">
                  <c:v>5.3844876229854153E-3</c:v>
                </c:pt>
                <c:pt idx="173">
                  <c:v>5.3400433727324578E-3</c:v>
                </c:pt>
                <c:pt idx="174">
                  <c:v>5.2958443342388537E-3</c:v>
                </c:pt>
                <c:pt idx="175">
                  <c:v>5.2518902854123686E-3</c:v>
                </c:pt>
                <c:pt idx="176">
                  <c:v>5.2081809949241992E-3</c:v>
                </c:pt>
                <c:pt idx="177">
                  <c:v>5.1647162222355396E-3</c:v>
                </c:pt>
                <c:pt idx="178">
                  <c:v>5.1214957176251618E-3</c:v>
                </c:pt>
                <c:pt idx="179">
                  <c:v>5.0785192222180444E-3</c:v>
                </c:pt>
                <c:pt idx="180">
                  <c:v>5.0357864680150325E-3</c:v>
                </c:pt>
                <c:pt idx="181">
                  <c:v>4.9932971779234987E-3</c:v>
                </c:pt>
                <c:pt idx="182">
                  <c:v>4.9510510657890545E-3</c:v>
                </c:pt>
                <c:pt idx="183">
                  <c:v>4.909047836428245E-3</c:v>
                </c:pt>
                <c:pt idx="184">
                  <c:v>4.8672871856622613E-3</c:v>
                </c:pt>
                <c:pt idx="185">
                  <c:v>4.8257688003516489E-3</c:v>
                </c:pt>
                <c:pt idx="186">
                  <c:v>4.784492358432005E-3</c:v>
                </c:pt>
                <c:pt idx="187">
                  <c:v>4.7434575289506641E-3</c:v>
                </c:pt>
                <c:pt idx="188">
                  <c:v>4.7026639721043598E-3</c:v>
                </c:pt>
                <c:pt idx="189">
                  <c:v>4.6621113392778584E-3</c:v>
                </c:pt>
                <c:pt idx="190">
                  <c:v>4.621799273083556E-3</c:v>
                </c:pt>
                <c:pt idx="191">
                  <c:v>4.5817274074020312E-3</c:v>
                </c:pt>
                <c:pt idx="192">
                  <c:v>4.5418953674235471E-3</c:v>
                </c:pt>
                <c:pt idx="193">
                  <c:v>4.5023027696904907E-3</c:v>
                </c:pt>
                <c:pt idx="194">
                  <c:v>4.4629492221407441E-3</c:v>
                </c:pt>
                <c:pt idx="195">
                  <c:v>4.4238343241519923E-3</c:v>
                </c:pt>
                <c:pt idx="196">
                  <c:v>4.384957666586929E-3</c:v>
                </c:pt>
                <c:pt idx="197">
                  <c:v>4.3463188318393804E-3</c:v>
                </c:pt>
                <c:pt idx="198">
                  <c:v>4.30791739388133E-3</c:v>
                </c:pt>
                <c:pt idx="199">
                  <c:v>4.2697529183108214E-3</c:v>
                </c:pt>
                <c:pt idx="200">
                  <c:v>4.2318249624007584E-3</c:v>
                </c:pt>
                <c:pt idx="201">
                  <c:v>4.1941330751485628E-3</c:v>
                </c:pt>
                <c:pt idx="202">
                  <c:v>4.1566767973267018E-3</c:v>
                </c:pt>
                <c:pt idx="203">
                  <c:v>4.1194556615340707E-3</c:v>
                </c:pt>
                <c:pt idx="204">
                  <c:v>4.082469192248207E-3</c:v>
                </c:pt>
                <c:pt idx="205">
                  <c:v>4.0457169058783615E-3</c:v>
                </c:pt>
                <c:pt idx="206">
                  <c:v>4.0091983108193618E-3</c:v>
                </c:pt>
                <c:pt idx="207">
                  <c:v>3.9729129075063213E-3</c:v>
                </c:pt>
                <c:pt idx="208">
                  <c:v>3.936860188470134E-3</c:v>
                </c:pt>
                <c:pt idx="209">
                  <c:v>3.90103963839376E-3</c:v>
                </c:pt>
                <c:pt idx="210">
                  <c:v>3.865450734169312E-3</c:v>
                </c:pt>
                <c:pt idx="211">
                  <c:v>3.8300929449558937E-3</c:v>
                </c:pt>
                <c:pt idx="212">
                  <c:v>3.7949657322382179E-3</c:v>
                </c:pt>
                <c:pt idx="213">
                  <c:v>3.7600685498859572E-3</c:v>
                </c:pt>
                <c:pt idx="214">
                  <c:v>3.7254008442138644E-3</c:v>
                </c:pt>
                <c:pt idx="215">
                  <c:v>3.6909620540425824E-3</c:v>
                </c:pt>
                <c:pt idx="216">
                  <c:v>3.6567516107602074E-3</c:v>
                </c:pt>
                <c:pt idx="217">
                  <c:v>3.6227689383845421E-3</c:v>
                </c:pt>
                <c:pt idx="218">
                  <c:v>3.5890134536260476E-3</c:v>
                </c:pt>
                <c:pt idx="219">
                  <c:v>3.5554845659514765E-3</c:v>
                </c:pt>
                <c:pt idx="220">
                  <c:v>3.5221816776481859E-3</c:v>
                </c:pt>
                <c:pt idx="221">
                  <c:v>3.4891041838891073E-3</c:v>
                </c:pt>
                <c:pt idx="222">
                  <c:v>3.4562514727983608E-3</c:v>
                </c:pt>
                <c:pt idx="223">
                  <c:v>3.4236229255175184E-3</c:v>
                </c:pt>
                <c:pt idx="224">
                  <c:v>3.3912179162724817E-3</c:v>
                </c:pt>
                <c:pt idx="225">
                  <c:v>3.359035812440975E-3</c:v>
                </c:pt>
                <c:pt idx="226">
                  <c:v>3.3270759746206512E-3</c:v>
                </c:pt>
                <c:pt idx="227">
                  <c:v>3.295337756697765E-3</c:v>
                </c:pt>
                <c:pt idx="228">
                  <c:v>3.2638205059164478E-3</c:v>
                </c:pt>
                <c:pt idx="229">
                  <c:v>3.2325235629485239E-3</c:v>
                </c:pt>
                <c:pt idx="230">
                  <c:v>3.2014462619638986E-3</c:v>
                </c:pt>
                <c:pt idx="231">
                  <c:v>3.1705879307014732E-3</c:v>
                </c:pt>
                <c:pt idx="232">
                  <c:v>3.1399478905405906E-3</c:v>
                </c:pt>
                <c:pt idx="233">
                  <c:v>3.109525456572997E-3</c:v>
                </c:pt>
                <c:pt idx="234">
                  <c:v>3.0793199376753025E-3</c:v>
                </c:pt>
                <c:pt idx="235">
                  <c:v>3.0493306365819346E-3</c:v>
                </c:pt>
                <c:pt idx="236">
                  <c:v>3.0195568499585637E-3</c:v>
                </c:pt>
                <c:pt idx="237">
                  <c:v>2.9899978684759967E-3</c:v>
                </c:pt>
                <c:pt idx="238">
                  <c:v>2.9606529768845141E-3</c:v>
                </c:pt>
                <c:pt idx="239">
                  <c:v>2.9315214540886533E-3</c:v>
                </c:pt>
                <c:pt idx="240">
                  <c:v>2.9026025732224103E-3</c:v>
                </c:pt>
                <c:pt idx="241">
                  <c:v>2.8738956017248535E-3</c:v>
                </c:pt>
                <c:pt idx="242">
                  <c:v>2.8453998014161433E-3</c:v>
                </c:pt>
                <c:pt idx="243">
                  <c:v>2.8171144285739228E-3</c:v>
                </c:pt>
                <c:pt idx="244">
                  <c:v>2.7890387340100981E-3</c:v>
                </c:pt>
                <c:pt idx="245">
                  <c:v>2.7611719631479648E-3</c:v>
                </c:pt>
                <c:pt idx="246">
                  <c:v>2.7335133560996831E-3</c:v>
                </c:pt>
                <c:pt idx="247">
                  <c:v>2.7060621477440938E-3</c:v>
                </c:pt>
                <c:pt idx="248">
                  <c:v>2.6788175678048448E-3</c:v>
                </c:pt>
                <c:pt idx="249">
                  <c:v>2.6517788409288275E-3</c:v>
                </c:pt>
                <c:pt idx="250">
                  <c:v>2.6249451867649035E-3</c:v>
                </c:pt>
                <c:pt idx="251">
                  <c:v>2.5983158200429241E-3</c:v>
                </c:pt>
                <c:pt idx="252">
                  <c:v>2.5718899506529955E-3</c:v>
                </c:pt>
                <c:pt idx="253">
                  <c:v>2.545666783725017E-3</c:v>
                </c:pt>
                <c:pt idx="254">
                  <c:v>2.5196455197084473E-3</c:v>
                </c:pt>
                <c:pt idx="255">
                  <c:v>2.4938253544523063E-3</c:v>
                </c:pt>
                <c:pt idx="256">
                  <c:v>2.468205479285382E-3</c:v>
                </c:pt>
                <c:pt idx="257">
                  <c:v>2.4427850810966501E-3</c:v>
                </c:pt>
                <c:pt idx="258">
                  <c:v>2.4175633424158727E-3</c:v>
                </c:pt>
                <c:pt idx="259">
                  <c:v>2.3925394414943636E-3</c:v>
                </c:pt>
                <c:pt idx="260">
                  <c:v>2.3677125523859414E-3</c:v>
                </c:pt>
                <c:pt idx="261">
                  <c:v>2.343081845027998E-3</c:v>
                </c:pt>
                <c:pt idx="262">
                  <c:v>2.3186464853227314E-3</c:v>
                </c:pt>
                <c:pt idx="263">
                  <c:v>2.294405635218477E-3</c:v>
                </c:pt>
                <c:pt idx="264">
                  <c:v>2.2703584527911619E-3</c:v>
                </c:pt>
                <c:pt idx="265">
                  <c:v>2.2465040923258547E-3</c:v>
                </c:pt>
                <c:pt idx="266">
                  <c:v>2.2228417043983887E-3</c:v>
                </c:pt>
                <c:pt idx="267">
                  <c:v>2.1993704359570695E-3</c:v>
                </c:pt>
                <c:pt idx="268">
                  <c:v>2.1760894304044213E-3</c:v>
                </c:pt>
                <c:pt idx="269">
                  <c:v>2.1529978276789989E-3</c:v>
                </c:pt>
                <c:pt idx="270">
                  <c:v>2.1300947643372128E-3</c:v>
                </c:pt>
                <c:pt idx="271">
                  <c:v>2.107379373635187E-3</c:v>
                </c:pt>
                <c:pt idx="272">
                  <c:v>2.0848507856106083E-3</c:v>
                </c:pt>
                <c:pt idx="273">
                  <c:v>2.0625081271645881E-3</c:v>
                </c:pt>
                <c:pt idx="274">
                  <c:v>2.0403505221434849E-3</c:v>
                </c:pt>
                <c:pt idx="275">
                  <c:v>2.0183770914207148E-3</c:v>
                </c:pt>
                <c:pt idx="276">
                  <c:v>1.9965869529784998E-3</c:v>
                </c:pt>
                <c:pt idx="277">
                  <c:v>1.9749792219895712E-3</c:v>
                </c:pt>
                <c:pt idx="278">
                  <c:v>1.9535530108988064E-3</c:v>
                </c:pt>
                <c:pt idx="279">
                  <c:v>1.9323074295047715E-3</c:v>
                </c:pt>
                <c:pt idx="280">
                  <c:v>1.9112415850411854E-3</c:v>
                </c:pt>
                <c:pt idx="281">
                  <c:v>1.8903545822582688E-3</c:v>
                </c:pt>
                <c:pt idx="282">
                  <c:v>1.8696455235039868E-3</c:v>
                </c:pt>
                <c:pt idx="283">
                  <c:v>1.8491135088051463E-3</c:v>
                </c:pt>
                <c:pt idx="284">
                  <c:v>1.8287576359483715E-3</c:v>
                </c:pt>
                <c:pt idx="285">
                  <c:v>1.8085770005609077E-3</c:v>
                </c:pt>
                <c:pt idx="286">
                  <c:v>1.7885706961912784E-3</c:v>
                </c:pt>
                <c:pt idx="287">
                  <c:v>1.7687378143897547E-3</c:v>
                </c:pt>
                <c:pt idx="288">
                  <c:v>1.7490774447886477E-3</c:v>
                </c:pt>
                <c:pt idx="289">
                  <c:v>1.7295886751823811E-3</c:v>
                </c:pt>
                <c:pt idx="290">
                  <c:v>1.7102705916073879E-3</c:v>
                </c:pt>
                <c:pt idx="291">
                  <c:v>1.6911222784217533E-3</c:v>
                </c:pt>
                <c:pt idx="292">
                  <c:v>1.6721428183846467E-3</c:v>
                </c:pt>
                <c:pt idx="293">
                  <c:v>1.6533312927354952E-3</c:v>
                </c:pt>
                <c:pt idx="294">
                  <c:v>1.6346867812729203E-3</c:v>
                </c:pt>
                <c:pt idx="295">
                  <c:v>1.6162083624333911E-3</c:v>
                </c:pt>
                <c:pt idx="296">
                  <c:v>1.5978951133696216E-3</c:v>
                </c:pt>
                <c:pt idx="297">
                  <c:v>1.5797461100286589E-3</c:v>
                </c:pt>
                <c:pt idx="298">
                  <c:v>1.561760427229701E-3</c:v>
                </c:pt>
                <c:pt idx="299">
                  <c:v>1.5439371387415855E-3</c:v>
                </c:pt>
                <c:pt idx="300">
                  <c:v>1.5262753173599778E-3</c:v>
                </c:pt>
                <c:pt idx="301">
                  <c:v>1.5087740349842191E-3</c:v>
                </c:pt>
                <c:pt idx="302">
                  <c:v>1.4914323626938446E-3</c:v>
                </c:pt>
                <c:pt idx="303">
                  <c:v>1.4742493708247623E-3</c:v>
                </c:pt>
                <c:pt idx="304">
                  <c:v>1.4572241290450576E-3</c:v>
                </c:pt>
                <c:pt idx="305">
                  <c:v>1.4403557064304445E-3</c:v>
                </c:pt>
                <c:pt idx="306">
                  <c:v>1.4236431715393383E-3</c:v>
                </c:pt>
                <c:pt idx="307">
                  <c:v>1.4070855924875471E-3</c:v>
                </c:pt>
                <c:pt idx="308">
                  <c:v>1.390682037022562E-3</c:v>
                </c:pt>
                <c:pt idx="309">
                  <c:v>1.3744315725974466E-3</c:v>
                </c:pt>
                <c:pt idx="310">
                  <c:v>1.3583332664443195E-3</c:v>
                </c:pt>
                <c:pt idx="311">
                  <c:v>1.3423861856474107E-3</c:v>
                </c:pt>
                <c:pt idx="312">
                  <c:v>1.3265893972156922E-3</c:v>
                </c:pt>
                <c:pt idx="313">
                  <c:v>1.3109419681550656E-3</c:v>
                </c:pt>
                <c:pt idx="314">
                  <c:v>1.2954429655401066E-3</c:v>
                </c:pt>
                <c:pt idx="315">
                  <c:v>1.2800914565853565E-3</c:v>
                </c:pt>
                <c:pt idx="316">
                  <c:v>1.264886508716148E-3</c:v>
                </c:pt>
                <c:pt idx="317">
                  <c:v>1.249827189638961E-3</c:v>
                </c:pt>
                <c:pt idx="318">
                  <c:v>1.2349125674112988E-3</c:v>
                </c:pt>
                <c:pt idx="319">
                  <c:v>1.2201417105110845E-3</c:v>
                </c:pt>
                <c:pt idx="320">
                  <c:v>1.2055136879055486E-3</c:v>
                </c:pt>
                <c:pt idx="321">
                  <c:v>1.1910275691196332E-3</c:v>
                </c:pt>
                <c:pt idx="322">
                  <c:v>1.1766824243038773E-3</c:v>
                </c:pt>
                <c:pt idx="323">
                  <c:v>1.1624773243017858E-3</c:v>
                </c:pt>
                <c:pt idx="324">
                  <c:v>1.1484113407166821E-3</c:v>
                </c:pt>
                <c:pt idx="325">
                  <c:v>1.1344835459780249E-3</c:v>
                </c:pt>
                <c:pt idx="326">
                  <c:v>1.1206930134071932E-3</c:v>
                </c:pt>
                <c:pt idx="327">
                  <c:v>1.1070388172827279E-3</c:v>
                </c:pt>
                <c:pt idx="328">
                  <c:v>1.0935200329050192E-3</c:v>
                </c:pt>
                <c:pt idx="329">
                  <c:v>1.0801357366604482E-3</c:v>
                </c:pt>
                <c:pt idx="330">
                  <c:v>1.066885006084959E-3</c:v>
                </c:pt>
                <c:pt idx="331">
                  <c:v>1.0537669199270662E-3</c:v>
                </c:pt>
                <c:pt idx="332">
                  <c:v>1.0407805582102916E-3</c:v>
                </c:pt>
                <c:pt idx="333">
                  <c:v>1.0279250022950134E-3</c:v>
                </c:pt>
                <c:pt idx="334">
                  <c:v>1.0151993349397466E-3</c:v>
                </c:pt>
                <c:pt idx="335">
                  <c:v>1.002602640361817E-3</c:v>
                </c:pt>
                <c:pt idx="336">
                  <c:v>9.9013400429745361E-4</c:v>
                </c:pt>
                <c:pt idx="337">
                  <c:v>9.7779251406127045E-4</c:v>
                </c:pt>
                <c:pt idx="338">
                  <c:v>9.6557725860515293E-4</c:v>
                </c:pt>
                <c:pt idx="339">
                  <c:v>9.5348732857652866E-4</c:v>
                </c:pt>
                <c:pt idx="340">
                  <c:v>9.4152181637602653E-4</c:v>
                </c:pt>
                <c:pt idx="341">
                  <c:v>9.2967981621451361E-4</c:v>
                </c:pt>
                <c:pt idx="342">
                  <c:v>9.1796042416952351E-4</c:v>
                </c:pt>
                <c:pt idx="343">
                  <c:v>9.0636273824103034E-4</c:v>
                </c:pt>
                <c:pt idx="344">
                  <c:v>8.9488585840661944E-4</c:v>
                </c:pt>
                <c:pt idx="345">
                  <c:v>8.835288866760123E-4</c:v>
                </c:pt>
                <c:pt idx="346">
                  <c:v>8.7229092714494411E-4</c:v>
                </c:pt>
                <c:pt idx="347">
                  <c:v>8.6117108604841751E-4</c:v>
                </c:pt>
                <c:pt idx="348">
                  <c:v>8.5016847181329947E-4</c:v>
                </c:pt>
                <c:pt idx="349">
                  <c:v>8.392821951102628E-4</c:v>
                </c:pt>
                <c:pt idx="350">
                  <c:v>8.2851136890509927E-4</c:v>
                </c:pt>
                <c:pt idx="351">
                  <c:v>8.1785510850935139E-4</c:v>
                </c:pt>
                <c:pt idx="352">
                  <c:v>8.0731253163030458E-4</c:v>
                </c:pt>
                <c:pt idx="353">
                  <c:v>7.9688275842031576E-4</c:v>
                </c:pt>
                <c:pt idx="354">
                  <c:v>7.865649115254684E-4</c:v>
                </c:pt>
                <c:pt idx="355">
                  <c:v>7.7635811613358538E-4</c:v>
                </c:pt>
                <c:pt idx="356">
                  <c:v>7.6626150002154616E-4</c:v>
                </c:pt>
                <c:pt idx="357">
                  <c:v>7.5627419360196034E-4</c:v>
                </c:pt>
                <c:pt idx="358">
                  <c:v>7.4639532996915612E-4</c:v>
                </c:pt>
                <c:pt idx="359">
                  <c:v>7.3662404494449774E-4</c:v>
                </c:pt>
                <c:pt idx="360">
                  <c:v>7.2695947712102986E-4</c:v>
                </c:pt>
                <c:pt idx="361">
                  <c:v>7.1740076790744985E-4</c:v>
                </c:pt>
                <c:pt idx="362">
                  <c:v>7.0794706157139469E-4</c:v>
                </c:pt>
                <c:pt idx="363">
                  <c:v>6.9859750528205667E-4</c:v>
                </c:pt>
                <c:pt idx="364">
                  <c:v>6.8935124915211555E-4</c:v>
                </c:pt>
                <c:pt idx="365">
                  <c:v>6.8020744627898854E-4</c:v>
                </c:pt>
                <c:pt idx="366">
                  <c:v>6.7116525278540767E-4</c:v>
                </c:pt>
                <c:pt idx="367">
                  <c:v>6.6222382785930387E-4</c:v>
                </c:pt>
                <c:pt idx="368">
                  <c:v>6.5338233379301763E-4</c:v>
                </c:pt>
                <c:pt idx="369">
                  <c:v>6.4463993602182084E-4</c:v>
                </c:pt>
                <c:pt idx="370">
                  <c:v>6.359958031617592E-4</c:v>
                </c:pt>
                <c:pt idx="371">
                  <c:v>6.2744910704681019E-4</c:v>
                </c:pt>
                <c:pt idx="372">
                  <c:v>6.1899902276536106E-4</c:v>
                </c:pt>
                <c:pt idx="373">
                  <c:v>6.1064472869599398E-4</c:v>
                </c:pt>
                <c:pt idx="374">
                  <c:v>6.023854065426036E-4</c:v>
                </c:pt>
                <c:pt idx="375">
                  <c:v>5.9422024136881915E-4</c:v>
                </c:pt>
                <c:pt idx="376">
                  <c:v>5.8614842163174762E-4</c:v>
                </c:pt>
                <c:pt idx="377">
                  <c:v>5.7816913921504868E-4</c:v>
                </c:pt>
                <c:pt idx="378">
                  <c:v>5.7028158946130524E-4</c:v>
                </c:pt>
                <c:pt idx="379">
                  <c:v>5.6248497120373899E-4</c:v>
                </c:pt>
                <c:pt idx="380">
                  <c:v>5.5477848679722917E-4</c:v>
                </c:pt>
                <c:pt idx="381">
                  <c:v>5.4716134214866856E-4</c:v>
                </c:pt>
                <c:pt idx="382">
                  <c:v>5.3963274674663541E-4</c:v>
                </c:pt>
                <c:pt idx="383">
                  <c:v>5.3219191369038529E-4</c:v>
                </c:pt>
                <c:pt idx="384">
                  <c:v>5.2483805971818755E-4</c:v>
                </c:pt>
                <c:pt idx="385">
                  <c:v>5.1757040523497423E-4</c:v>
                </c:pt>
                <c:pt idx="386">
                  <c:v>5.1038817433932885E-4</c:v>
                </c:pt>
                <c:pt idx="387">
                  <c:v>5.0329059484979506E-4</c:v>
                </c:pt>
                <c:pt idx="388">
                  <c:v>4.9627689833054074E-4</c:v>
                </c:pt>
                <c:pt idx="389">
                  <c:v>4.893463201163374E-4</c:v>
                </c:pt>
                <c:pt idx="390">
                  <c:v>4.8249809933689162E-4</c:v>
                </c:pt>
                <c:pt idx="391">
                  <c:v>4.7573147894050863E-4</c:v>
                </c:pt>
                <c:pt idx="392">
                  <c:v>4.6904570571710343E-4</c:v>
                </c:pt>
                <c:pt idx="393">
                  <c:v>4.6244003032056154E-4</c:v>
                </c:pt>
                <c:pt idx="394">
                  <c:v>4.5591370729044156E-4</c:v>
                </c:pt>
                <c:pt idx="395">
                  <c:v>4.4946599507302183E-4</c:v>
                </c:pt>
                <c:pt idx="396">
                  <c:v>4.4309615604172536E-4</c:v>
                </c:pt>
                <c:pt idx="397">
                  <c:v>4.368034565168761E-4</c:v>
                </c:pt>
                <c:pt idx="398">
                  <c:v>4.3058716678483103E-4</c:v>
                </c:pt>
                <c:pt idx="399">
                  <c:v>4.2444656111645775E-4</c:v>
                </c:pt>
                <c:pt idx="400">
                  <c:v>4.1838091778500456E-4</c:v>
                </c:pt>
                <c:pt idx="401">
                  <c:v>4.1238951908331451E-4</c:v>
                </c:pt>
                <c:pt idx="402">
                  <c:v>4.0647165134042652E-4</c:v>
                </c:pt>
                <c:pt idx="403">
                  <c:v>4.0062660493754457E-4</c:v>
                </c:pt>
                <c:pt idx="404">
                  <c:v>3.9485367432339435E-4</c:v>
                </c:pt>
                <c:pt idx="405">
                  <c:v>3.8915215802896017E-4</c:v>
                </c:pt>
                <c:pt idx="406">
                  <c:v>3.8352135868160455E-4</c:v>
                </c:pt>
                <c:pt idx="407">
                  <c:v>3.779605830185823E-4</c:v>
                </c:pt>
                <c:pt idx="408">
                  <c:v>3.7246914189994996E-4</c:v>
                </c:pt>
                <c:pt idx="409">
                  <c:v>3.6704635032087712E-4</c:v>
                </c:pt>
                <c:pt idx="410">
                  <c:v>3.6169152742334993E-4</c:v>
                </c:pt>
                <c:pt idx="411">
                  <c:v>3.5640399650729111E-4</c:v>
                </c:pt>
                <c:pt idx="412">
                  <c:v>3.5118308504109106E-4</c:v>
                </c:pt>
                <c:pt idx="413">
                  <c:v>3.4602812467153955E-4</c:v>
                </c:pt>
                <c:pt idx="414">
                  <c:v>3.4093845123320493E-4</c:v>
                </c:pt>
                <c:pt idx="415">
                  <c:v>3.3591340475720645E-4</c:v>
                </c:pt>
                <c:pt idx="416">
                  <c:v>3.3095232947943313E-4</c:v>
                </c:pt>
                <c:pt idx="417">
                  <c:v>3.2605457384819563E-4</c:v>
                </c:pt>
                <c:pt idx="418">
                  <c:v>3.2121949053130544E-4</c:v>
                </c:pt>
                <c:pt idx="419">
                  <c:v>3.1644643642260743E-4</c:v>
                </c:pt>
                <c:pt idx="420">
                  <c:v>3.117347726479488E-4</c:v>
                </c:pt>
                <c:pt idx="421">
                  <c:v>3.0708386457061116E-4</c:v>
                </c:pt>
                <c:pt idx="422">
                  <c:v>3.0249308179618401E-4</c:v>
                </c:pt>
                <c:pt idx="423">
                  <c:v>2.9796179817691369E-4</c:v>
                </c:pt>
                <c:pt idx="424">
                  <c:v>2.9348939181551631E-4</c:v>
                </c:pt>
                <c:pt idx="425">
                  <c:v>2.8907524506845031E-4</c:v>
                </c:pt>
                <c:pt idx="426">
                  <c:v>2.8471874454867726E-4</c:v>
                </c:pt>
                <c:pt idx="427">
                  <c:v>2.8041928112790032E-4</c:v>
                </c:pt>
                <c:pt idx="428">
                  <c:v>2.7617624993828832E-4</c:v>
                </c:pt>
                <c:pt idx="429">
                  <c:v>2.7198905037369246E-4</c:v>
                </c:pt>
                <c:pt idx="430">
                  <c:v>2.6785708609035558E-4</c:v>
                </c:pt>
                <c:pt idx="431">
                  <c:v>2.6377976500713187E-4</c:v>
                </c:pt>
                <c:pt idx="432">
                  <c:v>2.5975649930520643E-4</c:v>
                </c:pt>
                <c:pt idx="433">
                  <c:v>2.5578670542733008E-4</c:v>
                </c:pt>
                <c:pt idx="434">
                  <c:v>2.5186980407656753E-4</c:v>
                </c:pt>
                <c:pt idx="435">
                  <c:v>2.4800522021458738E-4</c:v>
                </c:pt>
                <c:pt idx="436">
                  <c:v>2.4419238305944512E-4</c:v>
                </c:pt>
                <c:pt idx="437">
                  <c:v>2.4043072608294293E-4</c:v>
                </c:pt>
                <c:pt idx="438">
                  <c:v>2.3671968700749715E-4</c:v>
                </c:pt>
                <c:pt idx="439">
                  <c:v>2.3305870780256348E-4</c:v>
                </c:pt>
                <c:pt idx="440">
                  <c:v>2.2944723468061416E-4</c:v>
                </c:pt>
                <c:pt idx="441">
                  <c:v>2.2588471809266257E-4</c:v>
                </c:pt>
                <c:pt idx="442">
                  <c:v>2.223706127233722E-4</c:v>
                </c:pt>
                <c:pt idx="443">
                  <c:v>2.1890437748569571E-4</c:v>
                </c:pt>
                <c:pt idx="444">
                  <c:v>2.1548547551512517E-4</c:v>
                </c:pt>
                <c:pt idx="445">
                  <c:v>2.1211337416349998E-4</c:v>
                </c:pt>
                <c:pt idx="446">
                  <c:v>2.0878754499239886E-4</c:v>
                </c:pt>
                <c:pt idx="447">
                  <c:v>2.0550746376613656E-4</c:v>
                </c:pt>
                <c:pt idx="448">
                  <c:v>2.0227261044433828E-4</c:v>
                </c:pt>
                <c:pt idx="449">
                  <c:v>1.9908246917413352E-4</c:v>
                </c:pt>
                <c:pt idx="450">
                  <c:v>1.9593652828193888E-4</c:v>
                </c:pt>
                <c:pt idx="451">
                  <c:v>1.9283428026487025E-4</c:v>
                </c:pt>
                <c:pt idx="452">
                  <c:v>1.8977522178176948E-4</c:v>
                </c:pt>
                <c:pt idx="453">
                  <c:v>1.8675885364384016E-4</c:v>
                </c:pt>
                <c:pt idx="454">
                  <c:v>1.8378468080494734E-4</c:v>
                </c:pt>
                <c:pt idx="455">
                  <c:v>1.8085221235151138E-4</c:v>
                </c:pt>
                <c:pt idx="456">
                  <c:v>1.7796096149208344E-4</c:v>
                </c:pt>
                <c:pt idx="457">
                  <c:v>1.7511044554653719E-4</c:v>
                </c:pt>
                <c:pt idx="458">
                  <c:v>1.7230018593493652E-4</c:v>
                </c:pt>
                <c:pt idx="459">
                  <c:v>1.69529708166044E-4</c:v>
                </c:pt>
                <c:pt idx="460">
                  <c:v>1.6679854182551611E-4</c:v>
                </c:pt>
                <c:pt idx="461">
                  <c:v>1.6410622056373797E-4</c:v>
                </c:pt>
                <c:pt idx="462">
                  <c:v>1.6145228208337876E-4</c:v>
                </c:pt>
                <c:pt idx="463">
                  <c:v>1.5883626812657355E-4</c:v>
                </c:pt>
                <c:pt idx="464">
                  <c:v>1.5625772446185176E-4</c:v>
                </c:pt>
                <c:pt idx="465">
                  <c:v>1.5371620087071083E-4</c:v>
                </c:pt>
                <c:pt idx="466">
                  <c:v>1.5121125113391428E-4</c:v>
                </c:pt>
                <c:pt idx="467">
                  <c:v>1.4874243301749848E-4</c:v>
                </c:pt>
                <c:pt idx="468">
                  <c:v>1.4630930825847057E-4</c:v>
                </c:pt>
                <c:pt idx="469">
                  <c:v>1.4391144255023662E-4</c:v>
                </c:pt>
                <c:pt idx="470">
                  <c:v>1.4154840552775571E-4</c:v>
                </c:pt>
                <c:pt idx="471">
                  <c:v>1.3921977075240666E-4</c:v>
                </c:pt>
                <c:pt idx="472">
                  <c:v>1.3692511569660495E-4</c:v>
                </c:pt>
                <c:pt idx="473">
                  <c:v>1.3466402172814364E-4</c:v>
                </c:pt>
                <c:pt idx="474">
                  <c:v>1.3243607409429352E-4</c:v>
                </c:pt>
                <c:pt idx="475">
                  <c:v>1.3024086190564137E-4</c:v>
                </c:pt>
                <c:pt idx="476">
                  <c:v>1.2807797811968712E-4</c:v>
                </c:pt>
                <c:pt idx="477">
                  <c:v>1.2594701952421228E-4</c:v>
                </c:pt>
                <c:pt idx="478">
                  <c:v>1.2384758672040052E-4</c:v>
                </c:pt>
                <c:pt idx="479">
                  <c:v>1.217792841057381E-4</c:v>
                </c:pt>
                <c:pt idx="480">
                  <c:v>1.1974171985669436E-4</c:v>
                </c:pt>
                <c:pt idx="481">
                  <c:v>1.1773450591118597E-4</c:v>
                </c:pt>
                <c:pt idx="482">
                  <c:v>1.157572579508115E-4</c:v>
                </c:pt>
                <c:pt idx="483">
                  <c:v>1.1380959538291515E-4</c:v>
                </c:pt>
                <c:pt idx="484">
                  <c:v>1.1189114132241702E-4</c:v>
                </c:pt>
                <c:pt idx="485">
                  <c:v>1.1000152257346603E-4</c:v>
                </c:pt>
                <c:pt idx="486">
                  <c:v>1.081403696108949E-4</c:v>
                </c:pt>
                <c:pt idx="487">
                  <c:v>1.0630731656150101E-4</c:v>
                </c:pt>
                <c:pt idx="488">
                  <c:v>1.0450200118513123E-4</c:v>
                </c:pt>
                <c:pt idx="489">
                  <c:v>1.0272406485560873E-4</c:v>
                </c:pt>
                <c:pt idx="490">
                  <c:v>1.0097315254148094E-4</c:v>
                </c:pt>
                <c:pt idx="491">
                  <c:v>9.9248912786609449E-5</c:v>
                </c:pt>
                <c:pt idx="492">
                  <c:v>9.7550997690595029E-5</c:v>
                </c:pt>
                <c:pt idx="493">
                  <c:v>9.587906288905366E-5</c:v>
                </c:pt>
                <c:pt idx="494">
                  <c:v>9.4232767533745411E-5</c:v>
                </c:pt>
                <c:pt idx="495">
                  <c:v>9.2611774272551711E-5</c:v>
                </c:pt>
                <c:pt idx="496">
                  <c:v>9.1015749229324261E-5</c:v>
                </c:pt>
                <c:pt idx="497">
                  <c:v>8.9444361983591477E-5</c:v>
                </c:pt>
                <c:pt idx="498">
                  <c:v>8.7897285550134294E-5</c:v>
                </c:pt>
                <c:pt idx="499">
                  <c:v>8.6374196358455601E-5</c:v>
                </c:pt>
                <c:pt idx="500">
                  <c:v>8.4874774232110146E-5</c:v>
                </c:pt>
                <c:pt idx="501">
                  <c:v>8.3398702367923415E-5</c:v>
                </c:pt>
                <c:pt idx="502">
                  <c:v>8.194566731510903E-5</c:v>
                </c:pt>
                <c:pt idx="503">
                  <c:v>8.0515358954278489E-5</c:v>
                </c:pt>
                <c:pt idx="504">
                  <c:v>7.9107470476345518E-5</c:v>
                </c:pt>
                <c:pt idx="505">
                  <c:v>7.7721698361339186E-5</c:v>
                </c:pt>
                <c:pt idx="506">
                  <c:v>7.6357742357115491E-5</c:v>
                </c:pt>
                <c:pt idx="507">
                  <c:v>7.5015305458007791E-5</c:v>
                </c:pt>
                <c:pt idx="508">
                  <c:v>7.3694093883355587E-5</c:v>
                </c:pt>
                <c:pt idx="509">
                  <c:v>7.2393817055992223E-5</c:v>
                </c:pt>
                <c:pt idx="510">
                  <c:v>7.1114187580637327E-5</c:v>
                </c:pt>
                <c:pt idx="511">
                  <c:v>6.9854921222230551E-5</c:v>
                </c:pt>
                <c:pt idx="512">
                  <c:v>6.8615736884189795E-5</c:v>
                </c:pt>
                <c:pt idx="513">
                  <c:v>6.7396356586612346E-5</c:v>
                </c:pt>
                <c:pt idx="514">
                  <c:v>6.6196505444433189E-5</c:v>
                </c:pt>
                <c:pt idx="515">
                  <c:v>6.5015911645508189E-5</c:v>
                </c:pt>
                <c:pt idx="516">
                  <c:v>6.3854306428659752E-5</c:v>
                </c:pt>
                <c:pt idx="517">
                  <c:v>6.2711424061682596E-5</c:v>
                </c:pt>
                <c:pt idx="518">
                  <c:v>6.1587001819303163E-5</c:v>
                </c:pt>
                <c:pt idx="519">
                  <c:v>6.048077996110169E-5</c:v>
                </c:pt>
                <c:pt idx="520">
                  <c:v>5.9392501709401308E-5</c:v>
                </c:pt>
                <c:pt idx="521">
                  <c:v>5.8321913227137913E-5</c:v>
                </c:pt>
                <c:pt idx="522">
                  <c:v>5.7268763595687137E-5</c:v>
                </c:pt>
                <c:pt idx="523">
                  <c:v>5.6232804792688519E-5</c:v>
                </c:pt>
                <c:pt idx="524">
                  <c:v>5.5213791669843208E-5</c:v>
                </c:pt>
                <c:pt idx="525">
                  <c:v>5.4211481930693784E-5</c:v>
                </c:pt>
                <c:pt idx="526">
                  <c:v>5.3225636108405485E-5</c:v>
                </c:pt>
                <c:pt idx="527">
                  <c:v>5.2256017543527648E-5</c:v>
                </c:pt>
                <c:pt idx="528">
                  <c:v>5.1302392361764638E-5</c:v>
                </c:pt>
                <c:pt idx="529">
                  <c:v>5.0364529451728778E-5</c:v>
                </c:pt>
                <c:pt idx="530">
                  <c:v>4.9442200442723853E-5</c:v>
                </c:pt>
                <c:pt idx="531">
                  <c:v>4.8535179682511974E-5</c:v>
                </c:pt>
                <c:pt idx="532">
                  <c:v>4.7643244215094373E-5</c:v>
                </c:pt>
                <c:pt idx="533">
                  <c:v>4.6766173758522171E-5</c:v>
                </c:pt>
                <c:pt idx="534">
                  <c:v>4.5903750682702276E-5</c:v>
                </c:pt>
                <c:pt idx="535">
                  <c:v>4.5055759987234015E-5</c:v>
                </c:pt>
                <c:pt idx="536">
                  <c:v>4.4221989279274922E-5</c:v>
                </c:pt>
                <c:pt idx="537">
                  <c:v>4.340222875141717E-5</c:v>
                </c:pt>
                <c:pt idx="538">
                  <c:v>4.2596271159604587E-5</c:v>
                </c:pt>
                <c:pt idx="539">
                  <c:v>4.180391180107413E-5</c:v>
                </c:pt>
                <c:pt idx="540">
                  <c:v>4.1024948492344093E-5</c:v>
                </c:pt>
                <c:pt idx="541">
                  <c:v>4.0259181547226154E-5</c:v>
                </c:pt>
                <c:pt idx="542">
                  <c:v>3.9506413754884599E-5</c:v>
                </c:pt>
                <c:pt idx="543">
                  <c:v>3.8766450357941072E-5</c:v>
                </c:pt>
                <c:pt idx="544">
                  <c:v>3.8039099030617006E-5</c:v>
                </c:pt>
                <c:pt idx="545">
                  <c:v>3.7324169856936876E-5</c:v>
                </c:pt>
                <c:pt idx="546">
                  <c:v>3.6621475308971137E-5</c:v>
                </c:pt>
                <c:pt idx="547">
                  <c:v>3.593083022514188E-5</c:v>
                </c:pt>
                <c:pt idx="548">
                  <c:v>3.5252051788573695E-5</c:v>
                </c:pt>
                <c:pt idx="549">
                  <c:v>3.4584959505519844E-5</c:v>
                </c:pt>
                <c:pt idx="550">
                  <c:v>3.3929375183835151E-5</c:v>
                </c:pt>
                <c:pt idx="551">
                  <c:v>3.3285122911511891E-5</c:v>
                </c:pt>
                <c:pt idx="552">
                  <c:v>3.2652029035301763E-5</c:v>
                </c:pt>
                <c:pt idx="553">
                  <c:v>3.2029922139375426E-5</c:v>
                </c:pt>
                <c:pt idx="554">
                  <c:v>3.1418633024079732E-5</c:v>
                </c:pt>
                <c:pt idx="555">
                  <c:v>3.0817994684751435E-5</c:v>
                </c:pt>
                <c:pt idx="556">
                  <c:v>3.022784229060664E-5</c:v>
                </c:pt>
                <c:pt idx="557">
                  <c:v>2.9648013163722944E-5</c:v>
                </c:pt>
                <c:pt idx="558">
                  <c:v>2.9078346758071105E-5</c:v>
                </c:pt>
                <c:pt idx="559">
                  <c:v>2.8518684638659567E-5</c:v>
                </c:pt>
                <c:pt idx="560">
                  <c:v>2.7968870460735922E-5</c:v>
                </c:pt>
                <c:pt idx="561">
                  <c:v>2.7428749949087635E-5</c:v>
                </c:pt>
                <c:pt idx="562">
                  <c:v>2.689817087743045E-5</c:v>
                </c:pt>
                <c:pt idx="563">
                  <c:v>2.6376983047863455E-5</c:v>
                </c:pt>
                <c:pt idx="564">
                  <c:v>2.5865038270451529E-5</c:v>
                </c:pt>
                <c:pt idx="565">
                  <c:v>2.5362190342863018E-5</c:v>
                </c:pt>
                <c:pt idx="566">
                  <c:v>2.4868295030117165E-5</c:v>
                </c:pt>
                <c:pt idx="567">
                  <c:v>2.4383210044433751E-5</c:v>
                </c:pt>
                <c:pt idx="568">
                  <c:v>2.3906795025164027E-5</c:v>
                </c:pt>
                <c:pt idx="569">
                  <c:v>2.3438911518830334E-5</c:v>
                </c:pt>
                <c:pt idx="570">
                  <c:v>2.2979422959255874E-5</c:v>
                </c:pt>
                <c:pt idx="571">
                  <c:v>2.2528194647809764E-5</c:v>
                </c:pt>
                <c:pt idx="572">
                  <c:v>2.2085093733734129E-5</c:v>
                </c:pt>
                <c:pt idx="573">
                  <c:v>2.1649989194600359E-5</c:v>
                </c:pt>
                <c:pt idx="574">
                  <c:v>2.1222751816851932E-5</c:v>
                </c:pt>
                <c:pt idx="575">
                  <c:v>2.0803254176449647E-5</c:v>
                </c:pt>
                <c:pt idx="576">
                  <c:v>2.0391370619650043E-5</c:v>
                </c:pt>
                <c:pt idx="577">
                  <c:v>1.9986977243860996E-5</c:v>
                </c:pt>
                <c:pt idx="578">
                  <c:v>1.9589951878634594E-5</c:v>
                </c:pt>
                <c:pt idx="579">
                  <c:v>1.9200174066745344E-5</c:v>
                </c:pt>
                <c:pt idx="580">
                  <c:v>1.8817525045414175E-5</c:v>
                </c:pt>
                <c:pt idx="581">
                  <c:v>1.8441887727604054E-5</c:v>
                </c:pt>
                <c:pt idx="582">
                  <c:v>1.8073146683466712E-5</c:v>
                </c:pt>
                <c:pt idx="583">
                  <c:v>1.7711188121883123E-5</c:v>
                </c:pt>
                <c:pt idx="584">
                  <c:v>1.7355899872128756E-5</c:v>
                </c:pt>
                <c:pt idx="585">
                  <c:v>1.7007171365651495E-5</c:v>
                </c:pt>
                <c:pt idx="586">
                  <c:v>1.6664893617975355E-5</c:v>
                </c:pt>
                <c:pt idx="587">
                  <c:v>1.6328959210706005E-5</c:v>
                </c:pt>
                <c:pt idx="588">
                  <c:v>1.5999262273678924E-5</c:v>
                </c:pt>
                <c:pt idx="589">
                  <c:v>1.5675698467204879E-5</c:v>
                </c:pt>
                <c:pt idx="590">
                  <c:v>1.5358164964458202E-5</c:v>
                </c:pt>
                <c:pt idx="591">
                  <c:v>1.5046560433968904E-5</c:v>
                </c:pt>
                <c:pt idx="592">
                  <c:v>1.4740785022239472E-5</c:v>
                </c:pt>
                <c:pt idx="593">
                  <c:v>1.4440740336498951E-5</c:v>
                </c:pt>
                <c:pt idx="594">
                  <c:v>1.4146329427566751E-5</c:v>
                </c:pt>
                <c:pt idx="595">
                  <c:v>1.3857456772838154E-5</c:v>
                </c:pt>
                <c:pt idx="596">
                  <c:v>1.3574028259404856E-5</c:v>
                </c:pt>
                <c:pt idx="597">
                  <c:v>1.3295951167297486E-5</c:v>
                </c:pt>
                <c:pt idx="598">
                  <c:v>1.3023134152849637E-5</c:v>
                </c:pt>
                <c:pt idx="599">
                  <c:v>1.2755487232183685E-5</c:v>
                </c:pt>
                <c:pt idx="600">
                  <c:v>1.2492921764841621E-5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AF-4B19-B20C-92F0D9621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018688"/>
        <c:axId val="42024960"/>
      </c:scatterChart>
      <c:valAx>
        <c:axId val="4201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42024960"/>
        <c:crosses val="autoZero"/>
        <c:crossBetween val="midCat"/>
      </c:valAx>
      <c:valAx>
        <c:axId val="42024960"/>
        <c:scaling>
          <c:orientation val="minMax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Value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420186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MarketFit!$S$4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14-4645-9E3F-86C5AB133A39}"/>
            </c:ext>
          </c:extLst>
        </c:ser>
        <c:ser>
          <c:idx val="1"/>
          <c:order val="1"/>
          <c:tx>
            <c:strRef>
              <c:f>MarketFit!$T$4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MarketFit!$T$5:$T$605</c:f>
              <c:numCache>
                <c:formatCode>0</c:formatCode>
                <c:ptCount val="601"/>
                <c:pt idx="0">
                  <c:v>19.520312449783361</c:v>
                </c:pt>
                <c:pt idx="1">
                  <c:v>19.62854358217303</c:v>
                </c:pt>
                <c:pt idx="2">
                  <c:v>19.7361103154714</c:v>
                </c:pt>
                <c:pt idx="3">
                  <c:v>19.842958873250716</c:v>
                </c:pt>
                <c:pt idx="4">
                  <c:v>19.949141297215256</c:v>
                </c:pt>
                <c:pt idx="5">
                  <c:v>20.054605545660742</c:v>
                </c:pt>
                <c:pt idx="6">
                  <c:v>20.159362026928029</c:v>
                </c:pt>
                <c:pt idx="7">
                  <c:v>20.263391659058883</c:v>
                </c:pt>
                <c:pt idx="8">
                  <c:v>20.366652808689878</c:v>
                </c:pt>
                <c:pt idx="9">
                  <c:v>20.469173231396631</c:v>
                </c:pt>
                <c:pt idx="10">
                  <c:v>20.570932110497431</c:v>
                </c:pt>
                <c:pt idx="11">
                  <c:v>20.671906894587089</c:v>
                </c:pt>
                <c:pt idx="12">
                  <c:v>20.772106257282985</c:v>
                </c:pt>
                <c:pt idx="13">
                  <c:v>20.871502443009504</c:v>
                </c:pt>
                <c:pt idx="14">
                  <c:v>20.970086778149266</c:v>
                </c:pt>
                <c:pt idx="15">
                  <c:v>21.067847119637939</c:v>
                </c:pt>
                <c:pt idx="16">
                  <c:v>21.164781732752047</c:v>
                </c:pt>
                <c:pt idx="17">
                  <c:v>21.260869800809878</c:v>
                </c:pt>
                <c:pt idx="18">
                  <c:v>21.356107854364481</c:v>
                </c:pt>
                <c:pt idx="19">
                  <c:v>21.450487219798475</c:v>
                </c:pt>
                <c:pt idx="20">
                  <c:v>21.543985345706673</c:v>
                </c:pt>
                <c:pt idx="21">
                  <c:v>21.636617844600359</c:v>
                </c:pt>
                <c:pt idx="22">
                  <c:v>21.728351756733488</c:v>
                </c:pt>
                <c:pt idx="23">
                  <c:v>21.819178408488682</c:v>
                </c:pt>
                <c:pt idx="24">
                  <c:v>21.909103004036368</c:v>
                </c:pt>
                <c:pt idx="25">
                  <c:v>21.998109930865262</c:v>
                </c:pt>
                <c:pt idx="26">
                  <c:v>22.08619225008146</c:v>
                </c:pt>
                <c:pt idx="27">
                  <c:v>22.173323940832823</c:v>
                </c:pt>
                <c:pt idx="28">
                  <c:v>22.259510207289779</c:v>
                </c:pt>
                <c:pt idx="29">
                  <c:v>22.344745845281899</c:v>
                </c:pt>
                <c:pt idx="30">
                  <c:v>22.429030854809184</c:v>
                </c:pt>
                <c:pt idx="31">
                  <c:v>22.512321867784735</c:v>
                </c:pt>
                <c:pt idx="32">
                  <c:v>22.594669191189354</c:v>
                </c:pt>
                <c:pt idx="33">
                  <c:v>22.67599996663705</c:v>
                </c:pt>
                <c:pt idx="34">
                  <c:v>22.756335010809536</c:v>
                </c:pt>
                <c:pt idx="35">
                  <c:v>22.835695140388523</c:v>
                </c:pt>
                <c:pt idx="36">
                  <c:v>22.914017905328876</c:v>
                </c:pt>
                <c:pt idx="37">
                  <c:v>22.991344938994018</c:v>
                </c:pt>
                <c:pt idx="38">
                  <c:v>23.06764154691443</c:v>
                </c:pt>
                <c:pt idx="39">
                  <c:v>23.142897320749256</c:v>
                </c:pt>
                <c:pt idx="40">
                  <c:v>23.217126138286304</c:v>
                </c:pt>
                <c:pt idx="41">
                  <c:v>23.290317591184717</c:v>
                </c:pt>
                <c:pt idx="42">
                  <c:v>23.362433515528025</c:v>
                </c:pt>
                <c:pt idx="43">
                  <c:v>23.433529422467458</c:v>
                </c:pt>
                <c:pt idx="44">
                  <c:v>23.50355673974569</c:v>
                </c:pt>
                <c:pt idx="45">
                  <c:v>23.572494650681008</c:v>
                </c:pt>
                <c:pt idx="46">
                  <c:v>23.640377849742933</c:v>
                </c:pt>
                <c:pt idx="47">
                  <c:v>23.707188989696704</c:v>
                </c:pt>
                <c:pt idx="48">
                  <c:v>23.772910723307561</c:v>
                </c:pt>
                <c:pt idx="49">
                  <c:v>23.837515294999889</c:v>
                </c:pt>
                <c:pt idx="50">
                  <c:v>23.901054746477968</c:v>
                </c:pt>
                <c:pt idx="51">
                  <c:v>23.963487444378373</c:v>
                </c:pt>
                <c:pt idx="52">
                  <c:v>24.024813388701105</c:v>
                </c:pt>
                <c:pt idx="53">
                  <c:v>24.08504298778702</c:v>
                </c:pt>
                <c:pt idx="54">
                  <c:v>24.144162363848309</c:v>
                </c:pt>
                <c:pt idx="55">
                  <c:v>24.202161108544118</c:v>
                </c:pt>
                <c:pt idx="56">
                  <c:v>24.259046160768349</c:v>
                </c:pt>
                <c:pt idx="57">
                  <c:v>24.31479323439234</c:v>
                </c:pt>
                <c:pt idx="58">
                  <c:v>24.369443962779513</c:v>
                </c:pt>
                <c:pt idx="59">
                  <c:v>24.422939365331686</c:v>
                </c:pt>
                <c:pt idx="60">
                  <c:v>24.475303728177522</c:v>
                </c:pt>
                <c:pt idx="61">
                  <c:v>24.526540520763973</c:v>
                </c:pt>
                <c:pt idx="62">
                  <c:v>24.576632395856279</c:v>
                </c:pt>
                <c:pt idx="63">
                  <c:v>24.625582822901393</c:v>
                </c:pt>
                <c:pt idx="64">
                  <c:v>24.673412618581025</c:v>
                </c:pt>
                <c:pt idx="65">
                  <c:v>24.72007321063785</c:v>
                </c:pt>
                <c:pt idx="66">
                  <c:v>24.765568068518817</c:v>
                </c:pt>
                <c:pt idx="67">
                  <c:v>24.809949233928208</c:v>
                </c:pt>
                <c:pt idx="68">
                  <c:v>24.853182012396502</c:v>
                </c:pt>
                <c:pt idx="69">
                  <c:v>24.895252526135891</c:v>
                </c:pt>
                <c:pt idx="70">
                  <c:v>24.936160775146377</c:v>
                </c:pt>
                <c:pt idx="71">
                  <c:v>24.975910228874909</c:v>
                </c:pt>
                <c:pt idx="72">
                  <c:v>25.014507826215393</c:v>
                </c:pt>
                <c:pt idx="73">
                  <c:v>25.051953567167828</c:v>
                </c:pt>
                <c:pt idx="74">
                  <c:v>25.088243982285263</c:v>
                </c:pt>
                <c:pt idx="75">
                  <c:v>25.123361724332938</c:v>
                </c:pt>
                <c:pt idx="76">
                  <c:v>25.157324140545612</c:v>
                </c:pt>
                <c:pt idx="77">
                  <c:v>25.190141639264141</c:v>
                </c:pt>
                <c:pt idx="78">
                  <c:v>25.221793403806814</c:v>
                </c:pt>
                <c:pt idx="79">
                  <c:v>25.25227943417363</c:v>
                </c:pt>
                <c:pt idx="80">
                  <c:v>25.281613608152398</c:v>
                </c:pt>
                <c:pt idx="81">
                  <c:v>25.309799395190069</c:v>
                </c:pt>
                <c:pt idx="82">
                  <c:v>25.336798631370172</c:v>
                </c:pt>
                <c:pt idx="83">
                  <c:v>25.362666827843938</c:v>
                </c:pt>
                <c:pt idx="84">
                  <c:v>25.387365820694896</c:v>
                </c:pt>
                <c:pt idx="85">
                  <c:v>25.410895609923045</c:v>
                </c:pt>
                <c:pt idx="86">
                  <c:v>25.43329782889181</c:v>
                </c:pt>
                <c:pt idx="87">
                  <c:v>25.454541252578622</c:v>
                </c:pt>
                <c:pt idx="88">
                  <c:v>25.474632819877385</c:v>
                </c:pt>
                <c:pt idx="89">
                  <c:v>25.493565591894196</c:v>
                </c:pt>
                <c:pt idx="90">
                  <c:v>25.511370793651622</c:v>
                </c:pt>
                <c:pt idx="91">
                  <c:v>25.528027608467951</c:v>
                </c:pt>
                <c:pt idx="92">
                  <c:v>25.543525628002328</c:v>
                </c:pt>
                <c:pt idx="93">
                  <c:v>25.557882199489512</c:v>
                </c:pt>
                <c:pt idx="94">
                  <c:v>25.571114670164263</c:v>
                </c:pt>
                <c:pt idx="95">
                  <c:v>25.583198753897918</c:v>
                </c:pt>
                <c:pt idx="96">
                  <c:v>25.594148328478283</c:v>
                </c:pt>
                <c:pt idx="97">
                  <c:v>25.603970332799264</c:v>
                </c:pt>
                <c:pt idx="98">
                  <c:v>25.612671705754764</c:v>
                </c:pt>
                <c:pt idx="99">
                  <c:v>25.620242039003926</c:v>
                </c:pt>
                <c:pt idx="100">
                  <c:v>25.626698679781512</c:v>
                </c:pt>
                <c:pt idx="101">
                  <c:v>25.632024280852761</c:v>
                </c:pt>
                <c:pt idx="102">
                  <c:v>25.636243128346337</c:v>
                </c:pt>
                <c:pt idx="103">
                  <c:v>25.639355222262239</c:v>
                </c:pt>
                <c:pt idx="104">
                  <c:v>25.64134668481266</c:v>
                </c:pt>
                <c:pt idx="105">
                  <c:v>25.642220985444553</c:v>
                </c:pt>
                <c:pt idx="106">
                  <c:v>25.642037104756099</c:v>
                </c:pt>
                <c:pt idx="107">
                  <c:v>25.640729123255213</c:v>
                </c:pt>
                <c:pt idx="108">
                  <c:v>25.638342143752268</c:v>
                </c:pt>
                <c:pt idx="109">
                  <c:v>25.634848410671651</c:v>
                </c:pt>
                <c:pt idx="110">
                  <c:v>25.63029996571764</c:v>
                </c:pt>
                <c:pt idx="111">
                  <c:v>25.624682931102427</c:v>
                </c:pt>
                <c:pt idx="112">
                  <c:v>25.617938326227829</c:v>
                </c:pt>
                <c:pt idx="113">
                  <c:v>25.610180642843261</c:v>
                </c:pt>
                <c:pt idx="114">
                  <c:v>25.601326614221875</c:v>
                </c:pt>
                <c:pt idx="115">
                  <c:v>25.591424812621</c:v>
                </c:pt>
                <c:pt idx="116">
                  <c:v>25.580475238040634</c:v>
                </c:pt>
                <c:pt idx="117">
                  <c:v>25.568491768268586</c:v>
                </c:pt>
                <c:pt idx="118">
                  <c:v>25.555425831047529</c:v>
                </c:pt>
                <c:pt idx="119">
                  <c:v>25.541339876422597</c:v>
                </c:pt>
                <c:pt idx="120">
                  <c:v>25.526233904393791</c:v>
                </c:pt>
                <c:pt idx="121">
                  <c:v>25.510094037173303</c:v>
                </c:pt>
                <c:pt idx="122">
                  <c:v>25.492941091442844</c:v>
                </c:pt>
                <c:pt idx="123">
                  <c:v>25.474761189414608</c:v>
                </c:pt>
                <c:pt idx="124">
                  <c:v>25.455582086664208</c:v>
                </c:pt>
                <c:pt idx="125">
                  <c:v>25.435403783191646</c:v>
                </c:pt>
                <c:pt idx="126">
                  <c:v>25.414226278996921</c:v>
                </c:pt>
                <c:pt idx="127">
                  <c:v>25.392063451867841</c:v>
                </c:pt>
                <c:pt idx="128">
                  <c:v>25.368901424016599</c:v>
                </c:pt>
                <c:pt idx="129">
                  <c:v>25.344781828806617</c:v>
                </c:pt>
                <c:pt idx="130">
                  <c:v>25.319669971768377</c:v>
                </c:pt>
                <c:pt idx="131">
                  <c:v>25.293607486265302</c:v>
                </c:pt>
                <c:pt idx="132">
                  <c:v>25.266608250085199</c:v>
                </c:pt>
                <c:pt idx="133">
                  <c:v>25.238616752076837</c:v>
                </c:pt>
                <c:pt idx="134">
                  <c:v>25.209709320073159</c:v>
                </c:pt>
                <c:pt idx="135">
                  <c:v>25.179851259604646</c:v>
                </c:pt>
                <c:pt idx="136">
                  <c:v>25.149077265140818</c:v>
                </c:pt>
                <c:pt idx="137">
                  <c:v>25.117352642212154</c:v>
                </c:pt>
                <c:pt idx="138">
                  <c:v>25.084725963075982</c:v>
                </c:pt>
                <c:pt idx="139">
                  <c:v>25.051204166626206</c:v>
                </c:pt>
                <c:pt idx="140">
                  <c:v>25.016766436181115</c:v>
                </c:pt>
                <c:pt idx="141">
                  <c:v>24.981447466210227</c:v>
                </c:pt>
                <c:pt idx="142">
                  <c:v>24.945219501137927</c:v>
                </c:pt>
                <c:pt idx="143">
                  <c:v>24.908110296539832</c:v>
                </c:pt>
                <c:pt idx="144">
                  <c:v>24.870154546885459</c:v>
                </c:pt>
                <c:pt idx="145">
                  <c:v>24.83131755770529</c:v>
                </c:pt>
                <c:pt idx="146">
                  <c:v>24.791627084574941</c:v>
                </c:pt>
                <c:pt idx="147">
                  <c:v>24.751090066388315</c:v>
                </c:pt>
                <c:pt idx="148">
                  <c:v>24.709692625357604</c:v>
                </c:pt>
                <c:pt idx="149">
                  <c:v>24.667490272634041</c:v>
                </c:pt>
                <c:pt idx="150">
                  <c:v>24.6244413748542</c:v>
                </c:pt>
                <c:pt idx="151">
                  <c:v>24.580573687593699</c:v>
                </c:pt>
                <c:pt idx="152">
                  <c:v>24.535901088640344</c:v>
                </c:pt>
                <c:pt idx="153">
                  <c:v>24.490437455781944</c:v>
                </c:pt>
                <c:pt idx="154">
                  <c:v>24.444148094548979</c:v>
                </c:pt>
                <c:pt idx="155">
                  <c:v>24.39708851609268</c:v>
                </c:pt>
                <c:pt idx="156">
                  <c:v>24.349258720413047</c:v>
                </c:pt>
                <c:pt idx="157">
                  <c:v>24.300651768616177</c:v>
                </c:pt>
                <c:pt idx="158">
                  <c:v>24.251267660702069</c:v>
                </c:pt>
                <c:pt idx="159">
                  <c:v>24.20113415224634</c:v>
                </c:pt>
                <c:pt idx="160">
                  <c:v>24.150244304355084</c:v>
                </c:pt>
                <c:pt idx="161">
                  <c:v>24.098667505967342</c:v>
                </c:pt>
                <c:pt idx="162">
                  <c:v>24.046320490356266</c:v>
                </c:pt>
                <c:pt idx="163">
                  <c:v>23.993251829779183</c:v>
                </c:pt>
                <c:pt idx="164">
                  <c:v>23.939482340917806</c:v>
                </c:pt>
                <c:pt idx="165">
                  <c:v>23.884970390408711</c:v>
                </c:pt>
                <c:pt idx="166">
                  <c:v>23.829806183872648</c:v>
                </c:pt>
                <c:pt idx="167">
                  <c:v>23.773927271264483</c:v>
                </c:pt>
                <c:pt idx="168">
                  <c:v>23.717368347053736</c:v>
                </c:pt>
                <c:pt idx="169">
                  <c:v>23.660171044603828</c:v>
                </c:pt>
                <c:pt idx="170">
                  <c:v>23.602272913869626</c:v>
                </c:pt>
                <c:pt idx="171">
                  <c:v>23.543722527108457</c:v>
                </c:pt>
                <c:pt idx="172">
                  <c:v>23.484526823214225</c:v>
                </c:pt>
                <c:pt idx="173">
                  <c:v>23.424699679974736</c:v>
                </c:pt>
                <c:pt idx="174">
                  <c:v>23.364241097389993</c:v>
                </c:pt>
                <c:pt idx="175">
                  <c:v>23.303137197672186</c:v>
                </c:pt>
                <c:pt idx="176">
                  <c:v>23.241443491972547</c:v>
                </c:pt>
                <c:pt idx="177">
                  <c:v>23.179146102503267</c:v>
                </c:pt>
                <c:pt idx="178">
                  <c:v>23.116258907052156</c:v>
                </c:pt>
                <c:pt idx="179">
                  <c:v>23.052761088937501</c:v>
                </c:pt>
                <c:pt idx="180">
                  <c:v>22.988715098204437</c:v>
                </c:pt>
                <c:pt idx="181">
                  <c:v>22.924051545913926</c:v>
                </c:pt>
                <c:pt idx="182">
                  <c:v>22.858888393262333</c:v>
                </c:pt>
                <c:pt idx="183">
                  <c:v>22.793114617947197</c:v>
                </c:pt>
                <c:pt idx="184">
                  <c:v>22.726827364483171</c:v>
                </c:pt>
                <c:pt idx="185">
                  <c:v>22.659978060612929</c:v>
                </c:pt>
                <c:pt idx="186">
                  <c:v>22.592594461912086</c:v>
                </c:pt>
                <c:pt idx="187">
                  <c:v>22.524739018425777</c:v>
                </c:pt>
                <c:pt idx="188">
                  <c:v>22.456328463427155</c:v>
                </c:pt>
                <c:pt idx="189">
                  <c:v>22.387425246961357</c:v>
                </c:pt>
                <c:pt idx="190">
                  <c:v>22.318022430134477</c:v>
                </c:pt>
                <c:pt idx="191">
                  <c:v>22.248133890734323</c:v>
                </c:pt>
                <c:pt idx="192">
                  <c:v>22.177773506548704</c:v>
                </c:pt>
                <c:pt idx="193">
                  <c:v>22.106948216471523</c:v>
                </c:pt>
                <c:pt idx="194">
                  <c:v>22.035644142714972</c:v>
                </c:pt>
                <c:pt idx="195">
                  <c:v>21.963875163066859</c:v>
                </c:pt>
                <c:pt idx="196">
                  <c:v>21.89170372757232</c:v>
                </c:pt>
                <c:pt idx="197">
                  <c:v>21.819060447292316</c:v>
                </c:pt>
                <c:pt idx="198">
                  <c:v>21.746014711165884</c:v>
                </c:pt>
                <c:pt idx="199">
                  <c:v>21.672524885829603</c:v>
                </c:pt>
                <c:pt idx="200">
                  <c:v>21.598622196306039</c:v>
                </c:pt>
                <c:pt idx="201">
                  <c:v>21.524317050936048</c:v>
                </c:pt>
                <c:pt idx="202">
                  <c:v>21.449623327507439</c:v>
                </c:pt>
                <c:pt idx="203">
                  <c:v>21.37455837325497</c:v>
                </c:pt>
                <c:pt idx="204">
                  <c:v>21.299094432603027</c:v>
                </c:pt>
                <c:pt idx="205">
                  <c:v>21.223238444445514</c:v>
                </c:pt>
                <c:pt idx="206">
                  <c:v>21.147059797721468</c:v>
                </c:pt>
                <c:pt idx="207">
                  <c:v>21.070496042385756</c:v>
                </c:pt>
                <c:pt idx="208">
                  <c:v>20.993620036824368</c:v>
                </c:pt>
                <c:pt idx="209">
                  <c:v>20.916365861545216</c:v>
                </c:pt>
                <c:pt idx="210">
                  <c:v>20.838792497146486</c:v>
                </c:pt>
                <c:pt idx="211">
                  <c:v>20.760903413075127</c:v>
                </c:pt>
                <c:pt idx="212">
                  <c:v>20.682695139884189</c:v>
                </c:pt>
                <c:pt idx="213">
                  <c:v>20.604153799785863</c:v>
                </c:pt>
                <c:pt idx="214">
                  <c:v>20.525355720613092</c:v>
                </c:pt>
                <c:pt idx="215">
                  <c:v>20.446238452320742</c:v>
                </c:pt>
                <c:pt idx="216">
                  <c:v>20.366857506060043</c:v>
                </c:pt>
                <c:pt idx="217">
                  <c:v>20.287188595702332</c:v>
                </c:pt>
                <c:pt idx="218">
                  <c:v>20.207245599035417</c:v>
                </c:pt>
                <c:pt idx="219">
                  <c:v>20.127035454953202</c:v>
                </c:pt>
                <c:pt idx="220">
                  <c:v>20.046589388478253</c:v>
                </c:pt>
                <c:pt idx="221">
                  <c:v>19.965876174588004</c:v>
                </c:pt>
                <c:pt idx="222">
                  <c:v>19.884944385539782</c:v>
                </c:pt>
                <c:pt idx="223">
                  <c:v>19.803769735204924</c:v>
                </c:pt>
                <c:pt idx="224">
                  <c:v>19.722383448605996</c:v>
                </c:pt>
                <c:pt idx="225">
                  <c:v>19.640764709061287</c:v>
                </c:pt>
                <c:pt idx="226">
                  <c:v>19.558944741593365</c:v>
                </c:pt>
                <c:pt idx="227">
                  <c:v>19.476916607308326</c:v>
                </c:pt>
                <c:pt idx="228">
                  <c:v>19.394694183993977</c:v>
                </c:pt>
                <c:pt idx="229">
                  <c:v>19.312301757778982</c:v>
                </c:pt>
                <c:pt idx="230">
                  <c:v>19.229711573087727</c:v>
                </c:pt>
                <c:pt idx="231">
                  <c:v>19.146951385495825</c:v>
                </c:pt>
                <c:pt idx="232">
                  <c:v>19.06400731721547</c:v>
                </c:pt>
                <c:pt idx="233">
                  <c:v>18.980931409950941</c:v>
                </c:pt>
                <c:pt idx="234">
                  <c:v>18.897702847020525</c:v>
                </c:pt>
                <c:pt idx="235">
                  <c:v>18.814321628424224</c:v>
                </c:pt>
                <c:pt idx="236">
                  <c:v>18.730808570843749</c:v>
                </c:pt>
                <c:pt idx="237">
                  <c:v>18.647135918703484</c:v>
                </c:pt>
                <c:pt idx="238">
                  <c:v>18.563373060942467</c:v>
                </c:pt>
                <c:pt idx="239">
                  <c:v>18.479478364197277</c:v>
                </c:pt>
                <c:pt idx="240">
                  <c:v>18.395455297914864</c:v>
                </c:pt>
                <c:pt idx="241">
                  <c:v>18.311342026011701</c:v>
                </c:pt>
                <c:pt idx="242">
                  <c:v>18.227152426275595</c:v>
                </c:pt>
                <c:pt idx="243">
                  <c:v>18.142851804237026</c:v>
                </c:pt>
                <c:pt idx="244">
                  <c:v>18.058474854365514</c:v>
                </c:pt>
                <c:pt idx="245">
                  <c:v>17.973997290532395</c:v>
                </c:pt>
                <c:pt idx="246">
                  <c:v>17.889460746101093</c:v>
                </c:pt>
                <c:pt idx="247">
                  <c:v>17.804851343283801</c:v>
                </c:pt>
                <c:pt idx="248">
                  <c:v>17.720196837656133</c:v>
                </c:pt>
                <c:pt idx="249">
                  <c:v>17.635486820877233</c:v>
                </c:pt>
                <c:pt idx="250">
                  <c:v>17.55071782350015</c:v>
                </c:pt>
                <c:pt idx="251">
                  <c:v>17.465907192759644</c:v>
                </c:pt>
                <c:pt idx="252">
                  <c:v>17.381075745337426</c:v>
                </c:pt>
                <c:pt idx="253">
                  <c:v>17.296188786763977</c:v>
                </c:pt>
                <c:pt idx="254">
                  <c:v>17.21130529763748</c:v>
                </c:pt>
                <c:pt idx="255">
                  <c:v>17.126407930723175</c:v>
                </c:pt>
                <c:pt idx="256">
                  <c:v>17.041479338786303</c:v>
                </c:pt>
                <c:pt idx="257">
                  <c:v>16.956543807955526</c:v>
                </c:pt>
                <c:pt idx="258">
                  <c:v>16.87160827712475</c:v>
                </c:pt>
                <c:pt idx="259">
                  <c:v>16.786703971316541</c:v>
                </c:pt>
                <c:pt idx="260">
                  <c:v>16.701782318273573</c:v>
                </c:pt>
                <c:pt idx="261">
                  <c:v>16.616902298594027</c:v>
                </c:pt>
                <c:pt idx="262">
                  <c:v>16.532011870573626</c:v>
                </c:pt>
                <c:pt idx="263">
                  <c:v>16.447176953704457</c:v>
                </c:pt>
                <c:pt idx="264">
                  <c:v>16.362359384070047</c:v>
                </c:pt>
                <c:pt idx="265">
                  <c:v>16.27758344779906</c:v>
                </c:pt>
                <c:pt idx="266">
                  <c:v>16.192863022679305</c:v>
                </c:pt>
                <c:pt idx="267">
                  <c:v>16.108166883688213</c:v>
                </c:pt>
                <c:pt idx="268">
                  <c:v>16.023550541977016</c:v>
                </c:pt>
                <c:pt idx="269">
                  <c:v>15.938975833629243</c:v>
                </c:pt>
                <c:pt idx="270">
                  <c:v>15.854480922561365</c:v>
                </c:pt>
                <c:pt idx="271">
                  <c:v>15.77004499209167</c:v>
                </c:pt>
                <c:pt idx="272">
                  <c:v>15.685699267242725</c:v>
                </c:pt>
                <c:pt idx="273">
                  <c:v>15.601412522991964</c:v>
                </c:pt>
                <c:pt idx="274">
                  <c:v>15.51720904546805</c:v>
                </c:pt>
                <c:pt idx="275">
                  <c:v>15.433085365224031</c:v>
                </c:pt>
                <c:pt idx="276">
                  <c:v>15.349079646176378</c:v>
                </c:pt>
                <c:pt idx="277">
                  <c:v>15.265160663302524</c:v>
                </c:pt>
                <c:pt idx="278">
                  <c:v>15.181338824943325</c:v>
                </c:pt>
                <c:pt idx="279">
                  <c:v>15.097645356121348</c:v>
                </c:pt>
                <c:pt idx="280">
                  <c:v>15.014035154026217</c:v>
                </c:pt>
                <c:pt idx="281">
                  <c:v>14.930556790915261</c:v>
                </c:pt>
                <c:pt idx="282">
                  <c:v>14.847182511212864</c:v>
                </c:pt>
                <c:pt idx="283">
                  <c:v>14.763960887176353</c:v>
                </c:pt>
                <c:pt idx="284">
                  <c:v>14.680857224336208</c:v>
                </c:pt>
                <c:pt idx="285">
                  <c:v>14.597864583798525</c:v>
                </c:pt>
                <c:pt idx="286">
                  <c:v>14.515024598926729</c:v>
                </c:pt>
                <c:pt idx="287">
                  <c:v>14.432330330826915</c:v>
                </c:pt>
                <c:pt idx="288">
                  <c:v>14.34979565728689</c:v>
                </c:pt>
                <c:pt idx="289">
                  <c:v>14.267365067155424</c:v>
                </c:pt>
                <c:pt idx="290">
                  <c:v>14.185139174394124</c:v>
                </c:pt>
                <c:pt idx="291">
                  <c:v>14.103041651170045</c:v>
                </c:pt>
                <c:pt idx="292">
                  <c:v>14.021110661399661</c:v>
                </c:pt>
                <c:pt idx="293">
                  <c:v>13.93934620508297</c:v>
                </c:pt>
                <c:pt idx="294">
                  <c:v>13.857744812773021</c:v>
                </c:pt>
                <c:pt idx="295">
                  <c:v>13.776334240045429</c:v>
                </c:pt>
                <c:pt idx="296">
                  <c:v>13.695065914642868</c:v>
                </c:pt>
                <c:pt idx="297">
                  <c:v>13.613984939375712</c:v>
                </c:pt>
                <c:pt idx="298">
                  <c:v>13.533115600372625</c:v>
                </c:pt>
                <c:pt idx="299">
                  <c:v>13.45239197814152</c:v>
                </c:pt>
                <c:pt idx="300">
                  <c:v>13.371883461621437</c:v>
                </c:pt>
                <c:pt idx="301">
                  <c:v>13.291569234130662</c:v>
                </c:pt>
                <c:pt idx="302">
                  <c:v>13.211438887328342</c:v>
                </c:pt>
                <c:pt idx="303">
                  <c:v>13.13152017679009</c:v>
                </c:pt>
                <c:pt idx="304">
                  <c:v>13.051802694175052</c:v>
                </c:pt>
                <c:pt idx="305">
                  <c:v>12.972251745013708</c:v>
                </c:pt>
                <c:pt idx="306">
                  <c:v>12.892964473820712</c:v>
                </c:pt>
                <c:pt idx="307">
                  <c:v>12.813840266634458</c:v>
                </c:pt>
                <c:pt idx="308">
                  <c:v>12.734962390181792</c:v>
                </c:pt>
                <c:pt idx="309">
                  <c:v>12.656299619440148</c:v>
                </c:pt>
                <c:pt idx="310">
                  <c:v>12.577858893303429</c:v>
                </c:pt>
                <c:pt idx="311">
                  <c:v>12.499636742324682</c:v>
                </c:pt>
                <c:pt idx="312">
                  <c:v>12.421633166503909</c:v>
                </c:pt>
                <c:pt idx="313">
                  <c:v>12.343851635288061</c:v>
                </c:pt>
                <c:pt idx="314">
                  <c:v>12.266309495911898</c:v>
                </c:pt>
                <c:pt idx="315">
                  <c:v>12.189025830333655</c:v>
                </c:pt>
                <c:pt idx="316">
                  <c:v>12.111936453784722</c:v>
                </c:pt>
                <c:pt idx="317">
                  <c:v>12.035109020480661</c:v>
                </c:pt>
                <c:pt idx="318">
                  <c:v>11.958533122080617</c:v>
                </c:pt>
                <c:pt idx="319">
                  <c:v>11.882175798838546</c:v>
                </c:pt>
                <c:pt idx="320">
                  <c:v>11.806083888288299</c:v>
                </c:pt>
                <c:pt idx="321">
                  <c:v>11.730231369577737</c:v>
                </c:pt>
                <c:pt idx="322">
                  <c:v>11.654633855218144</c:v>
                </c:pt>
                <c:pt idx="323">
                  <c:v>11.579287875762567</c:v>
                </c:pt>
                <c:pt idx="324">
                  <c:v>11.504188227040579</c:v>
                </c:pt>
                <c:pt idx="325">
                  <c:v>11.429347052116512</c:v>
                </c:pt>
                <c:pt idx="326">
                  <c:v>11.354773024607745</c:v>
                </c:pt>
                <c:pt idx="327">
                  <c:v>11.280471348684706</c:v>
                </c:pt>
                <c:pt idx="328">
                  <c:v>11.206386513196165</c:v>
                </c:pt>
                <c:pt idx="329">
                  <c:v>11.132608723762871</c:v>
                </c:pt>
                <c:pt idx="330">
                  <c:v>11.059089408127498</c:v>
                </c:pt>
                <c:pt idx="331">
                  <c:v>10.985832035736998</c:v>
                </c:pt>
                <c:pt idx="332">
                  <c:v>10.912876505231317</c:v>
                </c:pt>
                <c:pt idx="333">
                  <c:v>10.840153427671417</c:v>
                </c:pt>
                <c:pt idx="334">
                  <c:v>10.767706171144198</c:v>
                </c:pt>
                <c:pt idx="335">
                  <c:v>10.695552082884419</c:v>
                </c:pt>
                <c:pt idx="336">
                  <c:v>10.623666876763416</c:v>
                </c:pt>
                <c:pt idx="337">
                  <c:v>10.552054022228141</c:v>
                </c:pt>
                <c:pt idx="338">
                  <c:v>10.480736070683783</c:v>
                </c:pt>
                <c:pt idx="339">
                  <c:v>10.409699144342532</c:v>
                </c:pt>
                <c:pt idx="340">
                  <c:v>10.338936304310486</c:v>
                </c:pt>
                <c:pt idx="341">
                  <c:v>10.268478775610212</c:v>
                </c:pt>
                <c:pt idx="342">
                  <c:v>10.198272781813955</c:v>
                </c:pt>
                <c:pt idx="343">
                  <c:v>10.12838077296685</c:v>
                </c:pt>
                <c:pt idx="344">
                  <c:v>10.058762850428948</c:v>
                </c:pt>
                <c:pt idx="345">
                  <c:v>9.9894328919880593</c:v>
                </c:pt>
                <c:pt idx="346">
                  <c:v>9.9204065101554662</c:v>
                </c:pt>
                <c:pt idx="347">
                  <c:v>9.8516715618668371</c:v>
                </c:pt>
                <c:pt idx="348">
                  <c:v>9.7832263123986962</c:v>
                </c:pt>
                <c:pt idx="349">
                  <c:v>9.7150915784327552</c:v>
                </c:pt>
                <c:pt idx="350">
                  <c:v>9.6472205224351626</c:v>
                </c:pt>
                <c:pt idx="351">
                  <c:v>9.5796755944510537</c:v>
                </c:pt>
                <c:pt idx="352">
                  <c:v>9.5123960791587692</c:v>
                </c:pt>
                <c:pt idx="353">
                  <c:v>9.4454409571564923</c:v>
                </c:pt>
                <c:pt idx="354">
                  <c:v>9.3787772686981796</c:v>
                </c:pt>
                <c:pt idx="355">
                  <c:v>9.3123998096134031</c:v>
                </c:pt>
                <c:pt idx="356">
                  <c:v>9.246358886882966</c:v>
                </c:pt>
                <c:pt idx="357">
                  <c:v>9.1805885810147814</c:v>
                </c:pt>
                <c:pt idx="358">
                  <c:v>9.1151305253722725</c:v>
                </c:pt>
                <c:pt idx="359">
                  <c:v>9.0499829852319635</c:v>
                </c:pt>
                <c:pt idx="360">
                  <c:v>8.9851476953173304</c:v>
                </c:pt>
                <c:pt idx="361">
                  <c:v>8.9205934306058055</c:v>
                </c:pt>
                <c:pt idx="362">
                  <c:v>8.8563583550138603</c:v>
                </c:pt>
                <c:pt idx="363">
                  <c:v>8.792430325477163</c:v>
                </c:pt>
                <c:pt idx="364">
                  <c:v>8.7287937294844298</c:v>
                </c:pt>
                <c:pt idx="365">
                  <c:v>8.6654641795469445</c:v>
                </c:pt>
                <c:pt idx="366">
                  <c:v>8.6024624923464188</c:v>
                </c:pt>
                <c:pt idx="367">
                  <c:v>8.5397522386898572</c:v>
                </c:pt>
                <c:pt idx="368">
                  <c:v>8.4773594394293994</c:v>
                </c:pt>
                <c:pt idx="369">
                  <c:v>8.4152788903946174</c:v>
                </c:pt>
                <c:pt idx="370">
                  <c:v>8.3534967137977034</c:v>
                </c:pt>
                <c:pt idx="371">
                  <c:v>8.2920267874264653</c:v>
                </c:pt>
                <c:pt idx="372">
                  <c:v>8.2308777848982828</c:v>
                </c:pt>
                <c:pt idx="373">
                  <c:v>8.1700323589783963</c:v>
                </c:pt>
                <c:pt idx="374">
                  <c:v>8.1094922443902817</c:v>
                </c:pt>
                <c:pt idx="375">
                  <c:v>8.0492643800278429</c:v>
                </c:pt>
                <c:pt idx="376">
                  <c:v>7.9893418269971761</c:v>
                </c:pt>
                <c:pt idx="377">
                  <c:v>7.9297263200217571</c:v>
                </c:pt>
                <c:pt idx="378">
                  <c:v>7.8704334716128699</c:v>
                </c:pt>
                <c:pt idx="379">
                  <c:v>7.8114615470470383</c:v>
                </c:pt>
                <c:pt idx="380">
                  <c:v>7.7527879949190748</c:v>
                </c:pt>
                <c:pt idx="381">
                  <c:v>7.694430162463739</c:v>
                </c:pt>
                <c:pt idx="382">
                  <c:v>7.6363741718932232</c:v>
                </c:pt>
                <c:pt idx="383">
                  <c:v>7.5786252273779553</c:v>
                </c:pt>
                <c:pt idx="384">
                  <c:v>7.5212162886639788</c:v>
                </c:pt>
                <c:pt idx="385">
                  <c:v>7.4641022529409184</c:v>
                </c:pt>
                <c:pt idx="386">
                  <c:v>7.4073039368904858</c:v>
                </c:pt>
                <c:pt idx="387">
                  <c:v>7.3507935849370654</c:v>
                </c:pt>
                <c:pt idx="388">
                  <c:v>7.2946180346145084</c:v>
                </c:pt>
                <c:pt idx="389">
                  <c:v>7.2387425914532955</c:v>
                </c:pt>
                <c:pt idx="390">
                  <c:v>7.1831811332412343</c:v>
                </c:pt>
                <c:pt idx="391">
                  <c:v>7.1279388641487529</c:v>
                </c:pt>
                <c:pt idx="392">
                  <c:v>7.0729793549828557</c:v>
                </c:pt>
                <c:pt idx="393">
                  <c:v>7.0183477085539181</c:v>
                </c:pt>
                <c:pt idx="394">
                  <c:v>6.9640213734567524</c:v>
                </c:pt>
                <c:pt idx="395">
                  <c:v>6.9100246358200224</c:v>
                </c:pt>
                <c:pt idx="396">
                  <c:v>6.8563193317272564</c:v>
                </c:pt>
                <c:pt idx="397">
                  <c:v>6.8029332167540701</c:v>
                </c:pt>
                <c:pt idx="398">
                  <c:v>6.749836800601372</c:v>
                </c:pt>
                <c:pt idx="399">
                  <c:v>6.6970456957804458</c:v>
                </c:pt>
                <c:pt idx="400">
                  <c:v>6.6445789842495273</c:v>
                </c:pt>
                <c:pt idx="401">
                  <c:v>6.5924158493269047</c:v>
                </c:pt>
                <c:pt idx="402">
                  <c:v>6.5405406785012943</c:v>
                </c:pt>
                <c:pt idx="403">
                  <c:v>6.4889951051361194</c:v>
                </c:pt>
                <c:pt idx="404">
                  <c:v>6.4377557104644545</c:v>
                </c:pt>
                <c:pt idx="405">
                  <c:v>6.3867964736341598</c:v>
                </c:pt>
                <c:pt idx="406">
                  <c:v>6.3361616300938728</c:v>
                </c:pt>
                <c:pt idx="407">
                  <c:v>6.2858373020557856</c:v>
                </c:pt>
                <c:pt idx="408">
                  <c:v>6.2358156832642564</c:v>
                </c:pt>
                <c:pt idx="409">
                  <c:v>6.1860907021871192</c:v>
                </c:pt>
                <c:pt idx="410">
                  <c:v>6.1366510831217802</c:v>
                </c:pt>
                <c:pt idx="411">
                  <c:v>6.087528051090807</c:v>
                </c:pt>
                <c:pt idx="412">
                  <c:v>6.0387164019237716</c:v>
                </c:pt>
                <c:pt idx="413">
                  <c:v>5.9901909821302723</c:v>
                </c:pt>
                <c:pt idx="414">
                  <c:v>5.941974343115497</c:v>
                </c:pt>
                <c:pt idx="415">
                  <c:v>5.8940526070916377</c:v>
                </c:pt>
                <c:pt idx="416">
                  <c:v>5.8464266414204324</c:v>
                </c:pt>
                <c:pt idx="417">
                  <c:v>5.7990860377610254</c:v>
                </c:pt>
                <c:pt idx="418">
                  <c:v>5.752067225306412</c:v>
                </c:pt>
                <c:pt idx="419">
                  <c:v>5.705323366522741</c:v>
                </c:pt>
                <c:pt idx="420">
                  <c:v>5.6588900232412698</c:v>
                </c:pt>
                <c:pt idx="421">
                  <c:v>5.6127524503124526</c:v>
                </c:pt>
                <c:pt idx="422">
                  <c:v>5.5668880963311018</c:v>
                </c:pt>
                <c:pt idx="423">
                  <c:v>5.5213455335545447</c:v>
                </c:pt>
                <c:pt idx="424">
                  <c:v>5.4760805265341439</c:v>
                </c:pt>
                <c:pt idx="425">
                  <c:v>5.4311060856959692</c:v>
                </c:pt>
                <c:pt idx="426">
                  <c:v>5.3864291499339245</c:v>
                </c:pt>
                <c:pt idx="427">
                  <c:v>5.3420280352045602</c:v>
                </c:pt>
                <c:pt idx="428">
                  <c:v>5.2979296297217537</c:v>
                </c:pt>
                <c:pt idx="429">
                  <c:v>5.2541087799951036</c:v>
                </c:pt>
                <c:pt idx="430">
                  <c:v>5.2105941089619634</c:v>
                </c:pt>
                <c:pt idx="431">
                  <c:v>5.1673552589615035</c:v>
                </c:pt>
                <c:pt idx="432">
                  <c:v>5.1243948320789379</c:v>
                </c:pt>
                <c:pt idx="433">
                  <c:v>5.0817319102725023</c:v>
                </c:pt>
                <c:pt idx="434">
                  <c:v>5.039343942137009</c:v>
                </c:pt>
                <c:pt idx="435">
                  <c:v>4.9972144477994362</c:v>
                </c:pt>
                <c:pt idx="436">
                  <c:v>4.9553980710492773</c:v>
                </c:pt>
                <c:pt idx="437">
                  <c:v>4.9138531785231088</c:v>
                </c:pt>
                <c:pt idx="438">
                  <c:v>4.8725875764765725</c:v>
                </c:pt>
                <c:pt idx="439">
                  <c:v>4.8315995301861925</c:v>
                </c:pt>
                <c:pt idx="440">
                  <c:v>4.7908994479928246</c:v>
                </c:pt>
                <c:pt idx="441">
                  <c:v>4.7504751868321371</c:v>
                </c:pt>
                <c:pt idx="442">
                  <c:v>4.7103093994693701</c:v>
                </c:pt>
                <c:pt idx="443">
                  <c:v>4.6704315762036153</c:v>
                </c:pt>
                <c:pt idx="444">
                  <c:v>4.6308235024383748</c:v>
                </c:pt>
                <c:pt idx="445">
                  <c:v>4.5915042601318845</c:v>
                </c:pt>
                <c:pt idx="446">
                  <c:v>4.5524460937085287</c:v>
                </c:pt>
                <c:pt idx="447">
                  <c:v>4.5136342580187616</c:v>
                </c:pt>
                <c:pt idx="448">
                  <c:v>4.4751242642138145</c:v>
                </c:pt>
                <c:pt idx="449">
                  <c:v>4.4368545296102901</c:v>
                </c:pt>
                <c:pt idx="450">
                  <c:v>4.3988779632742059</c:v>
                </c:pt>
                <c:pt idx="451">
                  <c:v>4.3611607380977802</c:v>
                </c:pt>
                <c:pt idx="452">
                  <c:v>4.323699384634061</c:v>
                </c:pt>
                <c:pt idx="453">
                  <c:v>4.2865051785856423</c:v>
                </c:pt>
                <c:pt idx="454">
                  <c:v>4.2495963345490217</c:v>
                </c:pt>
                <c:pt idx="455">
                  <c:v>4.2129199434581821</c:v>
                </c:pt>
                <c:pt idx="456">
                  <c:v>4.1765193734000228</c:v>
                </c:pt>
                <c:pt idx="457">
                  <c:v>4.1403798792249979</c:v>
                </c:pt>
                <c:pt idx="458">
                  <c:v>4.1044667664635881</c:v>
                </c:pt>
                <c:pt idx="459">
                  <c:v>4.0688485566930943</c:v>
                </c:pt>
                <c:pt idx="460">
                  <c:v>4.0334758102944512</c:v>
                </c:pt>
                <c:pt idx="461">
                  <c:v>3.9983615376937287</c:v>
                </c:pt>
                <c:pt idx="462">
                  <c:v>3.9634918611031189</c:v>
                </c:pt>
                <c:pt idx="463">
                  <c:v>3.9288771888634777</c:v>
                </c:pt>
                <c:pt idx="464">
                  <c:v>3.8945331334860889</c:v>
                </c:pt>
                <c:pt idx="465">
                  <c:v>3.8604033164579832</c:v>
                </c:pt>
                <c:pt idx="466">
                  <c:v>3.8265614635268896</c:v>
                </c:pt>
                <c:pt idx="467">
                  <c:v>3.792948594094625</c:v>
                </c:pt>
                <c:pt idx="468">
                  <c:v>3.7595829227576871</c:v>
                </c:pt>
                <c:pt idx="469">
                  <c:v>3.7264661842395519</c:v>
                </c:pt>
                <c:pt idx="470">
                  <c:v>3.6935827660289355</c:v>
                </c:pt>
                <c:pt idx="471">
                  <c:v>3.6609578216162397</c:v>
                </c:pt>
                <c:pt idx="472">
                  <c:v>3.6285618607023729</c:v>
                </c:pt>
                <c:pt idx="473">
                  <c:v>3.5964261083099025</c:v>
                </c:pt>
                <c:pt idx="474">
                  <c:v>3.5645045942667153</c:v>
                </c:pt>
                <c:pt idx="475">
                  <c:v>3.5328389519362347</c:v>
                </c:pt>
                <c:pt idx="476">
                  <c:v>3.5014153035306528</c:v>
                </c:pt>
                <c:pt idx="477">
                  <c:v>3.4702180365386859</c:v>
                </c:pt>
                <c:pt idx="478">
                  <c:v>3.4392549572159758</c:v>
                </c:pt>
                <c:pt idx="479">
                  <c:v>3.4085260655625227</c:v>
                </c:pt>
                <c:pt idx="480">
                  <c:v>3.3780356983870163</c:v>
                </c:pt>
                <c:pt idx="481">
                  <c:v>3.347769110539911</c:v>
                </c:pt>
                <c:pt idx="482">
                  <c:v>3.3177393124472765</c:v>
                </c:pt>
                <c:pt idx="483">
                  <c:v>3.2879489061943268</c:v>
                </c:pt>
                <c:pt idx="484">
                  <c:v>3.2583649320350183</c:v>
                </c:pt>
                <c:pt idx="485">
                  <c:v>3.2290181813110497</c:v>
                </c:pt>
                <c:pt idx="486">
                  <c:v>3.199897378319827</c:v>
                </c:pt>
                <c:pt idx="487">
                  <c:v>3.1710029567422193</c:v>
                </c:pt>
                <c:pt idx="488">
                  <c:v>3.1423275440034537</c:v>
                </c:pt>
                <c:pt idx="489">
                  <c:v>3.1138707064226612</c:v>
                </c:pt>
                <c:pt idx="490">
                  <c:v>3.0856276735102828</c:v>
                </c:pt>
                <c:pt idx="491">
                  <c:v>3.0576140577776023</c:v>
                </c:pt>
                <c:pt idx="492">
                  <c:v>3.0298307265863578</c:v>
                </c:pt>
                <c:pt idx="493">
                  <c:v>3.0022542611696235</c:v>
                </c:pt>
                <c:pt idx="494">
                  <c:v>2.9748933351447793</c:v>
                </c:pt>
                <c:pt idx="495">
                  <c:v>2.9477332033622794</c:v>
                </c:pt>
                <c:pt idx="496">
                  <c:v>2.9208046571638224</c:v>
                </c:pt>
                <c:pt idx="497">
                  <c:v>2.8940769052077098</c:v>
                </c:pt>
                <c:pt idx="498">
                  <c:v>2.8675707641756532</c:v>
                </c:pt>
                <c:pt idx="499">
                  <c:v>2.8412680194711548</c:v>
                </c:pt>
                <c:pt idx="500">
                  <c:v>2.8151808141585466</c:v>
                </c:pt>
                <c:pt idx="501">
                  <c:v>2.7892961378117587</c:v>
                </c:pt>
                <c:pt idx="502">
                  <c:v>2.7636109546647081</c:v>
                </c:pt>
                <c:pt idx="503">
                  <c:v>2.7381413109095476</c:v>
                </c:pt>
                <c:pt idx="504">
                  <c:v>2.7128685582689105</c:v>
                </c:pt>
                <c:pt idx="505">
                  <c:v>2.6878031050836526</c:v>
                </c:pt>
                <c:pt idx="506">
                  <c:v>2.6629202315442413</c:v>
                </c:pt>
                <c:pt idx="507">
                  <c:v>2.6382828213766807</c:v>
                </c:pt>
                <c:pt idx="508">
                  <c:v>2.6138102099393379</c:v>
                </c:pt>
                <c:pt idx="509">
                  <c:v>2.5895297191269595</c:v>
                </c:pt>
                <c:pt idx="510">
                  <c:v>2.5654539256847464</c:v>
                </c:pt>
                <c:pt idx="511">
                  <c:v>2.5415784928040086</c:v>
                </c:pt>
                <c:pt idx="512">
                  <c:v>2.5178752312282615</c:v>
                </c:pt>
                <c:pt idx="513">
                  <c:v>2.4944000857896054</c:v>
                </c:pt>
                <c:pt idx="514">
                  <c:v>2.4711031831881058</c:v>
                </c:pt>
                <c:pt idx="515">
                  <c:v>2.4479849571046319</c:v>
                </c:pt>
                <c:pt idx="516">
                  <c:v>2.4250601526887294</c:v>
                </c:pt>
                <c:pt idx="517">
                  <c:v>2.4023478518986341</c:v>
                </c:pt>
                <c:pt idx="518">
                  <c:v>2.3797834362848658</c:v>
                </c:pt>
                <c:pt idx="519">
                  <c:v>2.3574193812325728</c:v>
                </c:pt>
                <c:pt idx="520">
                  <c:v>2.3352422426348163</c:v>
                </c:pt>
                <c:pt idx="521">
                  <c:v>2.3132472500020373</c:v>
                </c:pt>
                <c:pt idx="522">
                  <c:v>2.2914521842498647</c:v>
                </c:pt>
                <c:pt idx="523">
                  <c:v>2.269816713057482</c:v>
                </c:pt>
                <c:pt idx="524">
                  <c:v>2.2483664235961598</c:v>
                </c:pt>
                <c:pt idx="525">
                  <c:v>2.2271030505893741</c:v>
                </c:pt>
                <c:pt idx="526">
                  <c:v>2.206017920419745</c:v>
                </c:pt>
                <c:pt idx="527">
                  <c:v>2.1850980226612027</c:v>
                </c:pt>
                <c:pt idx="528">
                  <c:v>2.1643494288459131</c:v>
                </c:pt>
                <c:pt idx="529">
                  <c:v>2.1437743073782212</c:v>
                </c:pt>
                <c:pt idx="530">
                  <c:v>2.1233917402163627</c:v>
                </c:pt>
                <c:pt idx="531">
                  <c:v>2.103172670742115</c:v>
                </c:pt>
                <c:pt idx="532">
                  <c:v>2.0831123284659192</c:v>
                </c:pt>
                <c:pt idx="533">
                  <c:v>2.063229795346011</c:v>
                </c:pt>
                <c:pt idx="534">
                  <c:v>2.0435207345737005</c:v>
                </c:pt>
                <c:pt idx="535">
                  <c:v>2.023961293701193</c:v>
                </c:pt>
                <c:pt idx="536">
                  <c:v>2.0045857335171391</c:v>
                </c:pt>
                <c:pt idx="537">
                  <c:v>1.985370635254613</c:v>
                </c:pt>
                <c:pt idx="538">
                  <c:v>1.9663268409353396</c:v>
                </c:pt>
                <c:pt idx="539">
                  <c:v>1.9474291970689173</c:v>
                </c:pt>
                <c:pt idx="540">
                  <c:v>1.9287163012526864</c:v>
                </c:pt>
                <c:pt idx="541">
                  <c:v>1.910125703441512</c:v>
                </c:pt>
                <c:pt idx="542">
                  <c:v>1.8917302620213849</c:v>
                </c:pt>
                <c:pt idx="543">
                  <c:v>1.8734631901384802</c:v>
                </c:pt>
                <c:pt idx="544">
                  <c:v>1.8553886725614088</c:v>
                </c:pt>
                <c:pt idx="545">
                  <c:v>1.8374442592450357</c:v>
                </c:pt>
                <c:pt idx="546">
                  <c:v>1.8196737519571293</c:v>
                </c:pt>
                <c:pt idx="547">
                  <c:v>1.8020294458021002</c:v>
                </c:pt>
                <c:pt idx="548">
                  <c:v>1.7845664182503107</c:v>
                </c:pt>
                <c:pt idx="549">
                  <c:v>1.7672360970444334</c:v>
                </c:pt>
                <c:pt idx="550">
                  <c:v>1.7500701408879049</c:v>
                </c:pt>
                <c:pt idx="551">
                  <c:v>1.7330407942051096</c:v>
                </c:pt>
                <c:pt idx="552">
                  <c:v>1.7161723431247111</c:v>
                </c:pt>
                <c:pt idx="553">
                  <c:v>1.6994500424971637</c:v>
                </c:pt>
                <c:pt idx="554">
                  <c:v>1.6828582798111835</c:v>
                </c:pt>
                <c:pt idx="555">
                  <c:v>1.6664200401528273</c:v>
                </c:pt>
                <c:pt idx="556">
                  <c:v>1.6501513697142478</c:v>
                </c:pt>
                <c:pt idx="557">
                  <c:v>1.6339974078655173</c:v>
                </c:pt>
                <c:pt idx="558">
                  <c:v>1.6179932827570243</c:v>
                </c:pt>
                <c:pt idx="559">
                  <c:v>1.60212121347314</c:v>
                </c:pt>
                <c:pt idx="560">
                  <c:v>1.5863972462060172</c:v>
                </c:pt>
                <c:pt idx="561">
                  <c:v>1.570814875742621</c:v>
                </c:pt>
                <c:pt idx="562">
                  <c:v>1.5553649947847026</c:v>
                </c:pt>
                <c:pt idx="563">
                  <c:v>1.5400521569813863</c:v>
                </c:pt>
                <c:pt idx="564">
                  <c:v>1.5248867706735281</c:v>
                </c:pt>
                <c:pt idx="565">
                  <c:v>1.5098445497324642</c:v>
                </c:pt>
                <c:pt idx="566">
                  <c:v>1.4949367698607885</c:v>
                </c:pt>
                <c:pt idx="567">
                  <c:v>1.4801684183884944</c:v>
                </c:pt>
                <c:pt idx="568">
                  <c:v>1.4655310385386366</c:v>
                </c:pt>
                <c:pt idx="569">
                  <c:v>1.4510330870881605</c:v>
                </c:pt>
                <c:pt idx="570">
                  <c:v>1.4366461579401468</c:v>
                </c:pt>
                <c:pt idx="571">
                  <c:v>1.4224038613619427</c:v>
                </c:pt>
                <c:pt idx="572">
                  <c:v>1.4082736712883737</c:v>
                </c:pt>
                <c:pt idx="573">
                  <c:v>1.3942857285398347</c:v>
                </c:pt>
                <c:pt idx="574">
                  <c:v>1.3804163975089656</c:v>
                </c:pt>
                <c:pt idx="575">
                  <c:v>1.3666890969626921</c:v>
                </c:pt>
                <c:pt idx="576">
                  <c:v>1.3530626272184598</c:v>
                </c:pt>
                <c:pt idx="577">
                  <c:v>1.3395764532353471</c:v>
                </c:pt>
                <c:pt idx="578">
                  <c:v>1.3261989163099175</c:v>
                </c:pt>
                <c:pt idx="579">
                  <c:v>1.3129360879743368</c:v>
                </c:pt>
                <c:pt idx="580">
                  <c:v>1.2998042312611924</c:v>
                </c:pt>
                <c:pt idx="581">
                  <c:v>1.2868046472130912</c:v>
                </c:pt>
                <c:pt idx="582">
                  <c:v>1.2739130497013695</c:v>
                </c:pt>
                <c:pt idx="583">
                  <c:v>1.2611417986307938</c:v>
                </c:pt>
                <c:pt idx="584">
                  <c:v>1.2484744141283421</c:v>
                </c:pt>
                <c:pt idx="585">
                  <c:v>1.2359338812800713</c:v>
                </c:pt>
                <c:pt idx="586">
                  <c:v>1.2235076233407804</c:v>
                </c:pt>
                <c:pt idx="587">
                  <c:v>1.2112045307682839</c:v>
                </c:pt>
                <c:pt idx="588">
                  <c:v>1.1989990163913111</c:v>
                </c:pt>
                <c:pt idx="589">
                  <c:v>1.1869175347428707</c:v>
                </c:pt>
                <c:pt idx="590">
                  <c:v>1.1749344986516919</c:v>
                </c:pt>
                <c:pt idx="591">
                  <c:v>1.1630880720342462</c:v>
                </c:pt>
                <c:pt idx="592">
                  <c:v>1.1513353204845034</c:v>
                </c:pt>
                <c:pt idx="593">
                  <c:v>1.1396805808111532</c:v>
                </c:pt>
                <c:pt idx="594">
                  <c:v>1.1281466212598179</c:v>
                </c:pt>
                <c:pt idx="595">
                  <c:v>1.1166937600309845</c:v>
                </c:pt>
                <c:pt idx="596">
                  <c:v>1.1053883502976092</c:v>
                </c:pt>
                <c:pt idx="597">
                  <c:v>1.0941644725676047</c:v>
                </c:pt>
                <c:pt idx="598">
                  <c:v>1.0830453287674624</c:v>
                </c:pt>
                <c:pt idx="599">
                  <c:v>1.0720315694184857</c:v>
                </c:pt>
                <c:pt idx="600">
                  <c:v>1.0611281818506679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14-4645-9E3F-86C5AB133A39}"/>
            </c:ext>
          </c:extLst>
        </c:ser>
        <c:ser>
          <c:idx val="2"/>
          <c:order val="2"/>
          <c:tx>
            <c:strRef>
              <c:f>MarketFit!$U$4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MarketFit!$U$5:$U$605</c:f>
              <c:numCache>
                <c:formatCode>0</c:formatCode>
                <c:ptCount val="601"/>
                <c:pt idx="0">
                  <c:v>16.053907335444872</c:v>
                </c:pt>
                <c:pt idx="1">
                  <c:v>16.146716776133108</c:v>
                </c:pt>
                <c:pt idx="2">
                  <c:v>16.239437312243201</c:v>
                </c:pt>
                <c:pt idx="3">
                  <c:v>16.332061571200374</c:v>
                </c:pt>
                <c:pt idx="4">
                  <c:v>16.424582180429859</c:v>
                </c:pt>
                <c:pt idx="5">
                  <c:v>16.516986563186453</c:v>
                </c:pt>
                <c:pt idx="6">
                  <c:v>16.609271250023205</c:v>
                </c:pt>
                <c:pt idx="7">
                  <c:v>16.701427567322735</c:v>
                </c:pt>
                <c:pt idx="8">
                  <c:v>16.793450310914615</c:v>
                </c:pt>
                <c:pt idx="9">
                  <c:v>16.885326904053645</c:v>
                </c:pt>
                <c:pt idx="10">
                  <c:v>16.977051275207657</c:v>
                </c:pt>
                <c:pt idx="11">
                  <c:v>17.068615184440141</c:v>
                </c:pt>
                <c:pt idx="12">
                  <c:v>17.160014294942407</c:v>
                </c:pt>
                <c:pt idx="13">
                  <c:v>17.251233427884038</c:v>
                </c:pt>
                <c:pt idx="14">
                  <c:v>17.342273450626777</c:v>
                </c:pt>
                <c:pt idx="15">
                  <c:v>17.433118316978469</c:v>
                </c:pt>
                <c:pt idx="16">
                  <c:v>17.523765424853899</c:v>
                </c:pt>
                <c:pt idx="17">
                  <c:v>17.614200462784392</c:v>
                </c:pt>
                <c:pt idx="18">
                  <c:v>17.704422997089075</c:v>
                </c:pt>
                <c:pt idx="19">
                  <c:v>17.794421752065361</c:v>
                </c:pt>
                <c:pt idx="20">
                  <c:v>17.884187186734124</c:v>
                </c:pt>
                <c:pt idx="21">
                  <c:v>17.973713229563206</c:v>
                </c:pt>
                <c:pt idx="22">
                  <c:v>18.062990773254352</c:v>
                </c:pt>
                <c:pt idx="23">
                  <c:v>18.152012011551921</c:v>
                </c:pt>
                <c:pt idx="24">
                  <c:v>18.240766969795931</c:v>
                </c:pt>
                <c:pt idx="25">
                  <c:v>18.329251311177686</c:v>
                </c:pt>
                <c:pt idx="26">
                  <c:v>18.417453759994597</c:v>
                </c:pt>
                <c:pt idx="27">
                  <c:v>18.505366943671888</c:v>
                </c:pt>
                <c:pt idx="28">
                  <c:v>18.592983923315654</c:v>
                </c:pt>
                <c:pt idx="29">
                  <c:v>18.680293856904175</c:v>
                </c:pt>
                <c:pt idx="30">
                  <c:v>18.76729110658615</c:v>
                </c:pt>
                <c:pt idx="31">
                  <c:v>18.853965697701593</c:v>
                </c:pt>
                <c:pt idx="32">
                  <c:v>18.940311125037468</c:v>
                </c:pt>
                <c:pt idx="33">
                  <c:v>19.026315679210317</c:v>
                </c:pt>
                <c:pt idx="34">
                  <c:v>19.111977191815789</c:v>
                </c:pt>
                <c:pt idx="35">
                  <c:v>19.197284387151292</c:v>
                </c:pt>
                <c:pt idx="36">
                  <c:v>19.282225989514234</c:v>
                </c:pt>
                <c:pt idx="37">
                  <c:v>19.36679983050027</c:v>
                </c:pt>
                <c:pt idx="38">
                  <c:v>19.450992899683328</c:v>
                </c:pt>
                <c:pt idx="39">
                  <c:v>19.534798258169506</c:v>
                </c:pt>
                <c:pt idx="40">
                  <c:v>19.61820809970316</c:v>
                </c:pt>
                <c:pt idx="41">
                  <c:v>19.701213750666913</c:v>
                </c:pt>
                <c:pt idx="42">
                  <c:v>19.783808705847729</c:v>
                </c:pt>
                <c:pt idx="43">
                  <c:v>19.86598646003257</c:v>
                </c:pt>
                <c:pt idx="44">
                  <c:v>19.947733569114501</c:v>
                </c:pt>
                <c:pt idx="45">
                  <c:v>20.029044395242224</c:v>
                </c:pt>
                <c:pt idx="46">
                  <c:v>20.109914601607048</c:v>
                </c:pt>
                <c:pt idx="47">
                  <c:v>20.190329443059429</c:v>
                </c:pt>
                <c:pt idx="48">
                  <c:v>20.270285450152414</c:v>
                </c:pt>
                <c:pt idx="49">
                  <c:v>20.34977134718341</c:v>
                </c:pt>
                <c:pt idx="50">
                  <c:v>20.428784098386334</c:v>
                </c:pt>
                <c:pt idx="51">
                  <c:v>20.507310693335114</c:v>
                </c:pt>
                <c:pt idx="52">
                  <c:v>20.585348529944536</c:v>
                </c:pt>
                <c:pt idx="53">
                  <c:v>20.662883730426795</c:v>
                </c:pt>
                <c:pt idx="54">
                  <c:v>20.739910656930594</c:v>
                </c:pt>
                <c:pt idx="55">
                  <c:v>20.816426707370717</c:v>
                </c:pt>
                <c:pt idx="56">
                  <c:v>20.892413233469799</c:v>
                </c:pt>
                <c:pt idx="57">
                  <c:v>20.96787327099392</c:v>
                </c:pt>
                <c:pt idx="58">
                  <c:v>21.042790340070063</c:v>
                </c:pt>
                <c:pt idx="59">
                  <c:v>21.11716530805996</c:v>
                </c:pt>
                <c:pt idx="60">
                  <c:v>21.190984730856677</c:v>
                </c:pt>
                <c:pt idx="61">
                  <c:v>21.264243404289786</c:v>
                </c:pt>
                <c:pt idx="62">
                  <c:v>21.336927016890606</c:v>
                </c:pt>
                <c:pt idx="63">
                  <c:v>21.409037303382618</c:v>
                </c:pt>
                <c:pt idx="64">
                  <c:v>21.480563421744094</c:v>
                </c:pt>
                <c:pt idx="65">
                  <c:v>21.551497132038524</c:v>
                </c:pt>
                <c:pt idx="66">
                  <c:v>21.621832362733741</c:v>
                </c:pt>
                <c:pt idx="67">
                  <c:v>21.691559572850629</c:v>
                </c:pt>
                <c:pt idx="68">
                  <c:v>21.760670956133545</c:v>
                </c:pt>
                <c:pt idx="69">
                  <c:v>21.829164344178142</c:v>
                </c:pt>
                <c:pt idx="70">
                  <c:v>21.897022823430536</c:v>
                </c:pt>
                <c:pt idx="71">
                  <c:v>21.964251598061146</c:v>
                </c:pt>
                <c:pt idx="72">
                  <c:v>22.030837657643911</c:v>
                </c:pt>
                <c:pt idx="73">
                  <c:v>22.096770593837967</c:v>
                </c:pt>
                <c:pt idx="74">
                  <c:v>22.162046069834631</c:v>
                </c:pt>
                <c:pt idx="75">
                  <c:v>22.226655412016516</c:v>
                </c:pt>
                <c:pt idx="76">
                  <c:v>22.290597319341021</c:v>
                </c:pt>
                <c:pt idx="77">
                  <c:v>22.35386138346729</c:v>
                </c:pt>
                <c:pt idx="78">
                  <c:v>22.416438497097069</c:v>
                </c:pt>
                <c:pt idx="79">
                  <c:v>22.478325190783412</c:v>
                </c:pt>
                <c:pt idx="80">
                  <c:v>22.539514525632409</c:v>
                </c:pt>
                <c:pt idx="81">
                  <c:v>22.599996526984079</c:v>
                </c:pt>
                <c:pt idx="82">
                  <c:v>22.659767291710597</c:v>
                </c:pt>
                <c:pt idx="83">
                  <c:v>22.718821181960671</c:v>
                </c:pt>
                <c:pt idx="84">
                  <c:v>22.777149957797782</c:v>
                </c:pt>
                <c:pt idx="85">
                  <c:v>22.834749282413249</c:v>
                </c:pt>
                <c:pt idx="86">
                  <c:v>22.891611783232293</c:v>
                </c:pt>
                <c:pt idx="87">
                  <c:v>22.947731388722747</c:v>
                </c:pt>
                <c:pt idx="88">
                  <c:v>23.003099425267237</c:v>
                </c:pt>
                <c:pt idx="89">
                  <c:v>23.057715892865762</c:v>
                </c:pt>
                <c:pt idx="90">
                  <c:v>23.111563877964425</c:v>
                </c:pt>
                <c:pt idx="91">
                  <c:v>23.164650319457138</c:v>
                </c:pt>
                <c:pt idx="92">
                  <c:v>23.216962206917824</c:v>
                </c:pt>
                <c:pt idx="93">
                  <c:v>23.268494769856929</c:v>
                </c:pt>
                <c:pt idx="94">
                  <c:v>23.31923976833794</c:v>
                </c:pt>
                <c:pt idx="95">
                  <c:v>23.369198069722597</c:v>
                </c:pt>
                <c:pt idx="96">
                  <c:v>23.418360133031779</c:v>
                </c:pt>
                <c:pt idx="97">
                  <c:v>23.466719886733323</c:v>
                </c:pt>
                <c:pt idx="98">
                  <c:v>23.514271259295061</c:v>
                </c:pt>
                <c:pt idx="99">
                  <c:v>23.56101164863178</c:v>
                </c:pt>
                <c:pt idx="100">
                  <c:v>23.606933248487838</c:v>
                </c:pt>
                <c:pt idx="101">
                  <c:v>23.652037793586711</c:v>
                </c:pt>
                <c:pt idx="102">
                  <c:v>23.696307069331901</c:v>
                </c:pt>
                <c:pt idx="103">
                  <c:v>23.739748014617312</c:v>
                </c:pt>
                <c:pt idx="104">
                  <c:v>23.782351088463827</c:v>
                </c:pt>
                <c:pt idx="105">
                  <c:v>23.824112821424492</c:v>
                </c:pt>
                <c:pt idx="106">
                  <c:v>23.865027141967143</c:v>
                </c:pt>
                <c:pt idx="107">
                  <c:v>23.90508971328309</c:v>
                </c:pt>
                <c:pt idx="108">
                  <c:v>23.944296198563642</c:v>
                </c:pt>
                <c:pt idx="109">
                  <c:v>23.982641393638371</c:v>
                </c:pt>
                <c:pt idx="110">
                  <c:v>24.020120961698588</c:v>
                </c:pt>
                <c:pt idx="111">
                  <c:v>24.05673577010603</c:v>
                </c:pt>
                <c:pt idx="112">
                  <c:v>24.092474543158104</c:v>
                </c:pt>
                <c:pt idx="113">
                  <c:v>24.12733728085481</c:v>
                </c:pt>
                <c:pt idx="114">
                  <c:v>24.161317911663982</c:v>
                </c:pt>
                <c:pt idx="115">
                  <c:v>24.194414700862144</c:v>
                </c:pt>
                <c:pt idx="116">
                  <c:v>24.226620709555391</c:v>
                </c:pt>
                <c:pt idx="117">
                  <c:v>24.25793333565851</c:v>
                </c:pt>
                <c:pt idx="118">
                  <c:v>24.288355181256716</c:v>
                </c:pt>
                <c:pt idx="119">
                  <c:v>24.317869766476985</c:v>
                </c:pt>
                <c:pt idx="120">
                  <c:v>24.346488367021912</c:v>
                </c:pt>
                <c:pt idx="121">
                  <c:v>24.374197972465428</c:v>
                </c:pt>
                <c:pt idx="122">
                  <c:v>24.400997715445794</c:v>
                </c:pt>
                <c:pt idx="123">
                  <c:v>24.426883259154319</c:v>
                </c:pt>
                <c:pt idx="124">
                  <c:v>24.451856338314482</c:v>
                </c:pt>
                <c:pt idx="125">
                  <c:v>24.475909146670638</c:v>
                </c:pt>
                <c:pt idx="126">
                  <c:v>24.499045153669741</c:v>
                </c:pt>
                <c:pt idx="127">
                  <c:v>24.521253083609196</c:v>
                </c:pt>
                <c:pt idx="128">
                  <c:v>24.542536405935955</c:v>
                </c:pt>
                <c:pt idx="129">
                  <c:v>24.562890783841329</c:v>
                </c:pt>
                <c:pt idx="130">
                  <c:v>24.582315349963579</c:v>
                </c:pt>
                <c:pt idx="131">
                  <c:v>24.600803165408802</c:v>
                </c:pt>
                <c:pt idx="132">
                  <c:v>24.618358566985687</c:v>
                </c:pt>
                <c:pt idx="133">
                  <c:v>24.634978952609021</c:v>
                </c:pt>
                <c:pt idx="134">
                  <c:v>24.650655648661424</c:v>
                </c:pt>
                <c:pt idx="135">
                  <c:v>24.665394726675061</c:v>
                </c:pt>
                <c:pt idx="136">
                  <c:v>24.679186645670814</c:v>
                </c:pt>
                <c:pt idx="137">
                  <c:v>24.69203747718085</c:v>
                </c:pt>
                <c:pt idx="138">
                  <c:v>24.703944619119955</c:v>
                </c:pt>
                <c:pt idx="139">
                  <c:v>24.714896795785535</c:v>
                </c:pt>
                <c:pt idx="140">
                  <c:v>24.724906150241921</c:v>
                </c:pt>
                <c:pt idx="141">
                  <c:v>24.73396574359521</c:v>
                </c:pt>
                <c:pt idx="142">
                  <c:v>24.742073841121925</c:v>
                </c:pt>
                <c:pt idx="143">
                  <c:v>24.749226973375116</c:v>
                </c:pt>
                <c:pt idx="144">
                  <c:v>24.755431211886947</c:v>
                </c:pt>
                <c:pt idx="145">
                  <c:v>24.760683087210467</c:v>
                </c:pt>
                <c:pt idx="146">
                  <c:v>24.764977395175247</c:v>
                </c:pt>
                <c:pt idx="147">
                  <c:v>24.768322809398668</c:v>
                </c:pt>
                <c:pt idx="148">
                  <c:v>24.770710656263351</c:v>
                </c:pt>
                <c:pt idx="149">
                  <c:v>24.772141803131031</c:v>
                </c:pt>
                <c:pt idx="150">
                  <c:v>24.772618852086925</c:v>
                </c:pt>
                <c:pt idx="151">
                  <c:v>24.772141803131031</c:v>
                </c:pt>
                <c:pt idx="152">
                  <c:v>24.770711523625089</c:v>
                </c:pt>
                <c:pt idx="153">
                  <c:v>24.768321074675193</c:v>
                </c:pt>
                <c:pt idx="154">
                  <c:v>24.764979129898723</c:v>
                </c:pt>
                <c:pt idx="155">
                  <c:v>24.760683954572205</c:v>
                </c:pt>
                <c:pt idx="156">
                  <c:v>24.755433813972161</c:v>
                </c:pt>
                <c:pt idx="157">
                  <c:v>24.749226973375116</c:v>
                </c:pt>
                <c:pt idx="158">
                  <c:v>24.742072973760187</c:v>
                </c:pt>
                <c:pt idx="159">
                  <c:v>24.733964008871734</c:v>
                </c:pt>
                <c:pt idx="160">
                  <c:v>24.724906150241921</c:v>
                </c:pt>
                <c:pt idx="161">
                  <c:v>24.714895928423797</c:v>
                </c:pt>
                <c:pt idx="162">
                  <c:v>24.703943751758217</c:v>
                </c:pt>
                <c:pt idx="163">
                  <c:v>24.692038344542588</c:v>
                </c:pt>
                <c:pt idx="164">
                  <c:v>24.679186645670814</c:v>
                </c:pt>
                <c:pt idx="165">
                  <c:v>24.665394726675061</c:v>
                </c:pt>
                <c:pt idx="166">
                  <c:v>24.650654781299686</c:v>
                </c:pt>
                <c:pt idx="167">
                  <c:v>24.634977217885545</c:v>
                </c:pt>
                <c:pt idx="168">
                  <c:v>24.618359434347425</c:v>
                </c:pt>
                <c:pt idx="169">
                  <c:v>24.600803165408802</c:v>
                </c:pt>
                <c:pt idx="170">
                  <c:v>24.582313615240103</c:v>
                </c:pt>
                <c:pt idx="171">
                  <c:v>24.562890783841329</c:v>
                </c:pt>
                <c:pt idx="172">
                  <c:v>24.542534671212479</c:v>
                </c:pt>
                <c:pt idx="173">
                  <c:v>24.521254818332672</c:v>
                </c:pt>
                <c:pt idx="174">
                  <c:v>24.499045153669741</c:v>
                </c:pt>
                <c:pt idx="175">
                  <c:v>24.475909146670638</c:v>
                </c:pt>
                <c:pt idx="176">
                  <c:v>24.451856338314482</c:v>
                </c:pt>
                <c:pt idx="177">
                  <c:v>24.426884126516057</c:v>
                </c:pt>
                <c:pt idx="178">
                  <c:v>24.400996848084056</c:v>
                </c:pt>
                <c:pt idx="179">
                  <c:v>24.374198839827166</c:v>
                </c:pt>
                <c:pt idx="180">
                  <c:v>24.346485764936698</c:v>
                </c:pt>
                <c:pt idx="181">
                  <c:v>24.317869766476985</c:v>
                </c:pt>
                <c:pt idx="182">
                  <c:v>24.288351711809764</c:v>
                </c:pt>
                <c:pt idx="183">
                  <c:v>24.25793333565851</c:v>
                </c:pt>
                <c:pt idx="184">
                  <c:v>24.226621576917129</c:v>
                </c:pt>
                <c:pt idx="185">
                  <c:v>24.194415568223882</c:v>
                </c:pt>
                <c:pt idx="186">
                  <c:v>24.161319646387458</c:v>
                </c:pt>
                <c:pt idx="187">
                  <c:v>24.127336413493072</c:v>
                </c:pt>
                <c:pt idx="188">
                  <c:v>24.092473675796366</c:v>
                </c:pt>
                <c:pt idx="189">
                  <c:v>24.056734035382554</c:v>
                </c:pt>
                <c:pt idx="190">
                  <c:v>24.020121829060326</c:v>
                </c:pt>
                <c:pt idx="191">
                  <c:v>23.982643128361847</c:v>
                </c:pt>
                <c:pt idx="192">
                  <c:v>23.944297933287118</c:v>
                </c:pt>
                <c:pt idx="193">
                  <c:v>23.905087978559614</c:v>
                </c:pt>
                <c:pt idx="194">
                  <c:v>23.865027141967143</c:v>
                </c:pt>
                <c:pt idx="195">
                  <c:v>23.824112821424492</c:v>
                </c:pt>
                <c:pt idx="196">
                  <c:v>23.782351088463827</c:v>
                </c:pt>
                <c:pt idx="197">
                  <c:v>23.739749749340788</c:v>
                </c:pt>
                <c:pt idx="198">
                  <c:v>23.696307936693639</c:v>
                </c:pt>
                <c:pt idx="199">
                  <c:v>23.652036058863235</c:v>
                </c:pt>
                <c:pt idx="200">
                  <c:v>23.606934983211314</c:v>
                </c:pt>
                <c:pt idx="201">
                  <c:v>23.561010781270042</c:v>
                </c:pt>
                <c:pt idx="202">
                  <c:v>23.514272126656799</c:v>
                </c:pt>
                <c:pt idx="203">
                  <c:v>23.466716417286371</c:v>
                </c:pt>
                <c:pt idx="204">
                  <c:v>23.418359265670041</c:v>
                </c:pt>
                <c:pt idx="205">
                  <c:v>23.369195467637383</c:v>
                </c:pt>
                <c:pt idx="206">
                  <c:v>23.319238900976202</c:v>
                </c:pt>
                <c:pt idx="207">
                  <c:v>23.268494769856929</c:v>
                </c:pt>
                <c:pt idx="208">
                  <c:v>23.216961339556086</c:v>
                </c:pt>
                <c:pt idx="209">
                  <c:v>23.164652054180614</c:v>
                </c:pt>
                <c:pt idx="210">
                  <c:v>23.111566046368772</c:v>
                </c:pt>
                <c:pt idx="211">
                  <c:v>23.057714591823153</c:v>
                </c:pt>
                <c:pt idx="212">
                  <c:v>23.003097256862894</c:v>
                </c:pt>
                <c:pt idx="213">
                  <c:v>22.947731388722747</c:v>
                </c:pt>
                <c:pt idx="214">
                  <c:v>22.891611349551422</c:v>
                </c:pt>
                <c:pt idx="215">
                  <c:v>22.834749282413249</c:v>
                </c:pt>
                <c:pt idx="216">
                  <c:v>22.777151692521258</c:v>
                </c:pt>
                <c:pt idx="217">
                  <c:v>22.718823784045885</c:v>
                </c:pt>
                <c:pt idx="218">
                  <c:v>22.659768159072335</c:v>
                </c:pt>
                <c:pt idx="219">
                  <c:v>22.599996960664949</c:v>
                </c:pt>
                <c:pt idx="220">
                  <c:v>22.539514091951542</c:v>
                </c:pt>
                <c:pt idx="221">
                  <c:v>22.478325190783412</c:v>
                </c:pt>
                <c:pt idx="222">
                  <c:v>22.416438497097069</c:v>
                </c:pt>
                <c:pt idx="223">
                  <c:v>22.353861817148157</c:v>
                </c:pt>
                <c:pt idx="224">
                  <c:v>22.290596885660154</c:v>
                </c:pt>
                <c:pt idx="225">
                  <c:v>22.226657580420863</c:v>
                </c:pt>
                <c:pt idx="226">
                  <c:v>22.162044768792022</c:v>
                </c:pt>
                <c:pt idx="227">
                  <c:v>22.096769292795361</c:v>
                </c:pt>
                <c:pt idx="228">
                  <c:v>22.030833754516088</c:v>
                </c:pt>
                <c:pt idx="229">
                  <c:v>21.964252465422884</c:v>
                </c:pt>
                <c:pt idx="230">
                  <c:v>21.897026726558355</c:v>
                </c:pt>
                <c:pt idx="231">
                  <c:v>21.829164344178142</c:v>
                </c:pt>
                <c:pt idx="232">
                  <c:v>21.760673124537888</c:v>
                </c:pt>
                <c:pt idx="233">
                  <c:v>21.69155827180802</c:v>
                </c:pt>
                <c:pt idx="234">
                  <c:v>21.621830628010265</c:v>
                </c:pt>
                <c:pt idx="235">
                  <c:v>21.551497132038524</c:v>
                </c:pt>
                <c:pt idx="236">
                  <c:v>21.480564289105832</c:v>
                </c:pt>
                <c:pt idx="237">
                  <c:v>21.409038604425223</c:v>
                </c:pt>
                <c:pt idx="238">
                  <c:v>21.336928751614082</c:v>
                </c:pt>
                <c:pt idx="239">
                  <c:v>21.26424166956631</c:v>
                </c:pt>
                <c:pt idx="240">
                  <c:v>21.190982996133201</c:v>
                </c:pt>
                <c:pt idx="241">
                  <c:v>21.117167476464306</c:v>
                </c:pt>
                <c:pt idx="242">
                  <c:v>21.042792508474406</c:v>
                </c:pt>
                <c:pt idx="243">
                  <c:v>20.967874138355658</c:v>
                </c:pt>
                <c:pt idx="244">
                  <c:v>20.892415835555013</c:v>
                </c:pt>
                <c:pt idx="245">
                  <c:v>20.816426273689849</c:v>
                </c:pt>
                <c:pt idx="246">
                  <c:v>20.739914560058416</c:v>
                </c:pt>
                <c:pt idx="247">
                  <c:v>20.662885031469404</c:v>
                </c:pt>
                <c:pt idx="248">
                  <c:v>20.585350264668012</c:v>
                </c:pt>
                <c:pt idx="249">
                  <c:v>20.507311994377719</c:v>
                </c:pt>
                <c:pt idx="250">
                  <c:v>20.428786266790677</c:v>
                </c:pt>
                <c:pt idx="251">
                  <c:v>20.349773081906886</c:v>
                </c:pt>
                <c:pt idx="252">
                  <c:v>20.270286751195023</c:v>
                </c:pt>
                <c:pt idx="253">
                  <c:v>20.190330310421167</c:v>
                </c:pt>
                <c:pt idx="254">
                  <c:v>20.109915035287919</c:v>
                </c:pt>
                <c:pt idx="255">
                  <c:v>20.029044395242224</c:v>
                </c:pt>
                <c:pt idx="256">
                  <c:v>19.947735303837977</c:v>
                </c:pt>
                <c:pt idx="257">
                  <c:v>19.865989062117784</c:v>
                </c:pt>
                <c:pt idx="258">
                  <c:v>19.783810006890334</c:v>
                </c:pt>
                <c:pt idx="259">
                  <c:v>19.701216352752127</c:v>
                </c:pt>
                <c:pt idx="260">
                  <c:v>19.618207232341422</c:v>
                </c:pt>
                <c:pt idx="261">
                  <c:v>19.534799125531244</c:v>
                </c:pt>
                <c:pt idx="262">
                  <c:v>19.45099203232159</c:v>
                </c:pt>
                <c:pt idx="263">
                  <c:v>19.366798529457665</c:v>
                </c:pt>
                <c:pt idx="264">
                  <c:v>19.282226856875972</c:v>
                </c:pt>
                <c:pt idx="265">
                  <c:v>19.197283953470425</c:v>
                </c:pt>
                <c:pt idx="266">
                  <c:v>19.111979793901003</c:v>
                </c:pt>
                <c:pt idx="267">
                  <c:v>19.02631784761466</c:v>
                </c:pt>
                <c:pt idx="268">
                  <c:v>18.940311558718339</c:v>
                </c:pt>
                <c:pt idx="269">
                  <c:v>18.853965264020722</c:v>
                </c:pt>
                <c:pt idx="270">
                  <c:v>18.767292407628755</c:v>
                </c:pt>
                <c:pt idx="271">
                  <c:v>18.680294724265913</c:v>
                </c:pt>
                <c:pt idx="272">
                  <c:v>18.592983923315654</c:v>
                </c:pt>
                <c:pt idx="273">
                  <c:v>18.505366509991017</c:v>
                </c:pt>
                <c:pt idx="274">
                  <c:v>18.417455494718073</c:v>
                </c:pt>
                <c:pt idx="275">
                  <c:v>18.329253479582032</c:v>
                </c:pt>
                <c:pt idx="276">
                  <c:v>18.240767403476799</c:v>
                </c:pt>
                <c:pt idx="277">
                  <c:v>18.15201331259453</c:v>
                </c:pt>
                <c:pt idx="278">
                  <c:v>18.062992941658695</c:v>
                </c:pt>
                <c:pt idx="279">
                  <c:v>17.973713663244073</c:v>
                </c:pt>
                <c:pt idx="280">
                  <c:v>17.884186753053257</c:v>
                </c:pt>
                <c:pt idx="281">
                  <c:v>17.794422185746228</c:v>
                </c:pt>
                <c:pt idx="282">
                  <c:v>17.704424731812551</c:v>
                </c:pt>
                <c:pt idx="283">
                  <c:v>17.614204365912212</c:v>
                </c:pt>
                <c:pt idx="284">
                  <c:v>17.523764123811294</c:v>
                </c:pt>
                <c:pt idx="285">
                  <c:v>17.433119184340207</c:v>
                </c:pt>
                <c:pt idx="286">
                  <c:v>17.342271715903301</c:v>
                </c:pt>
                <c:pt idx="287">
                  <c:v>17.251236463650123</c:v>
                </c:pt>
                <c:pt idx="288">
                  <c:v>17.160012560218931</c:v>
                </c:pt>
                <c:pt idx="289">
                  <c:v>17.068615618121008</c:v>
                </c:pt>
                <c:pt idx="290">
                  <c:v>16.977053009931133</c:v>
                </c:pt>
                <c:pt idx="291">
                  <c:v>16.885327771415383</c:v>
                </c:pt>
                <c:pt idx="292">
                  <c:v>16.793449877233748</c:v>
                </c:pt>
                <c:pt idx="293">
                  <c:v>16.701429735727082</c:v>
                </c:pt>
                <c:pt idx="294">
                  <c:v>16.609272117384943</c:v>
                </c:pt>
                <c:pt idx="295">
                  <c:v>16.516990032633405</c:v>
                </c:pt>
                <c:pt idx="296">
                  <c:v>16.424581313068121</c:v>
                </c:pt>
                <c:pt idx="297">
                  <c:v>16.332061571200374</c:v>
                </c:pt>
                <c:pt idx="298">
                  <c:v>16.239439914328415</c:v>
                </c:pt>
                <c:pt idx="299">
                  <c:v>16.146719378218322</c:v>
                </c:pt>
                <c:pt idx="300">
                  <c:v>16.053907335444872</c:v>
                </c:pt>
                <c:pt idx="301">
                  <c:v>15.961012893306314</c:v>
                </c:pt>
                <c:pt idx="302">
                  <c:v>15.868049062228717</c:v>
                </c:pt>
                <c:pt idx="303">
                  <c:v>15.775015408531212</c:v>
                </c:pt>
                <c:pt idx="304">
                  <c:v>15.681922340554655</c:v>
                </c:pt>
                <c:pt idx="305">
                  <c:v>15.58877636351208</c:v>
                </c:pt>
                <c:pt idx="306">
                  <c:v>15.495588753106082</c:v>
                </c:pt>
                <c:pt idx="307">
                  <c:v>15.402362978783612</c:v>
                </c:pt>
                <c:pt idx="308">
                  <c:v>15.309105545757706</c:v>
                </c:pt>
                <c:pt idx="309">
                  <c:v>15.215827729730957</c:v>
                </c:pt>
                <c:pt idx="310">
                  <c:v>15.12253646959727</c:v>
                </c:pt>
                <c:pt idx="311">
                  <c:v>15.02923740320794</c:v>
                </c:pt>
                <c:pt idx="312">
                  <c:v>14.935937035776004</c:v>
                </c:pt>
                <c:pt idx="313">
                  <c:v>14.842643607237971</c:v>
                </c:pt>
                <c:pt idx="314">
                  <c:v>14.749364490168615</c:v>
                </c:pt>
                <c:pt idx="315">
                  <c:v>14.65610662346184</c:v>
                </c:pt>
                <c:pt idx="316">
                  <c:v>14.56287651233068</c:v>
                </c:pt>
                <c:pt idx="317">
                  <c:v>14.469681529349909</c:v>
                </c:pt>
                <c:pt idx="318">
                  <c:v>14.376529480775169</c:v>
                </c:pt>
                <c:pt idx="319">
                  <c:v>14.283424269734279</c:v>
                </c:pt>
                <c:pt idx="320">
                  <c:v>14.190375870887229</c:v>
                </c:pt>
                <c:pt idx="321">
                  <c:v>14.09739122312792</c:v>
                </c:pt>
                <c:pt idx="322">
                  <c:v>14.004475530626781</c:v>
                </c:pt>
                <c:pt idx="323">
                  <c:v>13.911634864915978</c:v>
                </c:pt>
                <c:pt idx="324">
                  <c:v>13.818877032251153</c:v>
                </c:pt>
                <c:pt idx="325">
                  <c:v>13.726207670483603</c:v>
                </c:pt>
                <c:pt idx="326">
                  <c:v>13.63363458586897</c:v>
                </c:pt>
                <c:pt idx="327">
                  <c:v>13.541163849939419</c:v>
                </c:pt>
                <c:pt idx="328">
                  <c:v>13.448802401588855</c:v>
                </c:pt>
                <c:pt idx="329">
                  <c:v>13.356556746030313</c:v>
                </c:pt>
                <c:pt idx="330">
                  <c:v>13.26443165375335</c:v>
                </c:pt>
                <c:pt idx="331">
                  <c:v>13.172434497332741</c:v>
                </c:pt>
                <c:pt idx="332">
                  <c:v>13.08056744517283</c:v>
                </c:pt>
                <c:pt idx="333">
                  <c:v>12.98884264033795</c:v>
                </c:pt>
                <c:pt idx="334">
                  <c:v>12.897265286998527</c:v>
                </c:pt>
                <c:pt idx="335">
                  <c:v>12.805838420920646</c:v>
                </c:pt>
                <c:pt idx="336">
                  <c:v>12.714568980998209</c:v>
                </c:pt>
                <c:pt idx="337">
                  <c:v>12.623463906125121</c:v>
                </c:pt>
                <c:pt idx="338">
                  <c:v>12.532527966790941</c:v>
                </c:pt>
                <c:pt idx="339">
                  <c:v>12.441766800846965</c:v>
                </c:pt>
                <c:pt idx="340">
                  <c:v>12.351186913506229</c:v>
                </c:pt>
                <c:pt idx="341">
                  <c:v>12.260796544705244</c:v>
                </c:pt>
                <c:pt idx="342">
                  <c:v>12.17059526076314</c:v>
                </c:pt>
                <c:pt idx="343">
                  <c:v>12.080592602659035</c:v>
                </c:pt>
                <c:pt idx="344">
                  <c:v>11.990793774563357</c:v>
                </c:pt>
                <c:pt idx="345">
                  <c:v>11.901199643837845</c:v>
                </c:pt>
                <c:pt idx="346">
                  <c:v>11.811825389312913</c:v>
                </c:pt>
                <c:pt idx="347">
                  <c:v>11.722668408903347</c:v>
                </c:pt>
                <c:pt idx="348">
                  <c:v>11.633733039417837</c:v>
                </c:pt>
                <c:pt idx="349">
                  <c:v>11.545030122878108</c:v>
                </c:pt>
                <c:pt idx="350">
                  <c:v>11.456560526645898</c:v>
                </c:pt>
                <c:pt idx="351">
                  <c:v>11.368330755934242</c:v>
                </c:pt>
                <c:pt idx="352">
                  <c:v>11.280346448594436</c:v>
                </c:pt>
                <c:pt idx="353">
                  <c:v>11.192607604626481</c:v>
                </c:pt>
                <c:pt idx="354">
                  <c:v>11.105130703903399</c:v>
                </c:pt>
                <c:pt idx="355">
                  <c:v>11.017905338084333</c:v>
                </c:pt>
                <c:pt idx="356">
                  <c:v>10.93094581863796</c:v>
                </c:pt>
                <c:pt idx="357">
                  <c:v>10.844257349734709</c:v>
                </c:pt>
                <c:pt idx="358">
                  <c:v>10.757839497693711</c:v>
                </c:pt>
                <c:pt idx="359">
                  <c:v>10.671696599323655</c:v>
                </c:pt>
                <c:pt idx="360">
                  <c:v>10.585836460880182</c:v>
                </c:pt>
                <c:pt idx="361">
                  <c:v>10.500262551810247</c:v>
                </c:pt>
                <c:pt idx="362">
                  <c:v>10.414980509965144</c:v>
                </c:pt>
                <c:pt idx="363">
                  <c:v>10.329990769025743</c:v>
                </c:pt>
                <c:pt idx="364">
                  <c:v>10.245299834205079</c:v>
                </c:pt>
                <c:pt idx="365">
                  <c:v>10.160912475992712</c:v>
                </c:pt>
                <c:pt idx="366">
                  <c:v>10.076831513314289</c:v>
                </c:pt>
                <c:pt idx="367">
                  <c:v>9.9930604156167622</c:v>
                </c:pt>
                <c:pt idx="368">
                  <c:v>9.9096022186662136</c:v>
                </c:pt>
                <c:pt idx="369">
                  <c:v>9.8264627771543775</c:v>
                </c:pt>
                <c:pt idx="370">
                  <c:v>9.7436453436877688</c:v>
                </c:pt>
                <c:pt idx="371">
                  <c:v>9.6611566403198577</c:v>
                </c:pt>
                <c:pt idx="372">
                  <c:v>9.5789934144441258</c:v>
                </c:pt>
                <c:pt idx="373">
                  <c:v>9.4971645565183902</c:v>
                </c:pt>
                <c:pt idx="374">
                  <c:v>9.4156707170639518</c:v>
                </c:pt>
                <c:pt idx="375">
                  <c:v>9.3345142813255908</c:v>
                </c:pt>
                <c:pt idx="376">
                  <c:v>9.2537043566015562</c:v>
                </c:pt>
                <c:pt idx="377">
                  <c:v>9.1732361724022891</c:v>
                </c:pt>
                <c:pt idx="378">
                  <c:v>9.0931190528664718</c:v>
                </c:pt>
                <c:pt idx="379">
                  <c:v>9.0133542990367133</c:v>
                </c:pt>
                <c:pt idx="380">
                  <c:v>8.9339451635195299</c:v>
                </c:pt>
                <c:pt idx="381">
                  <c:v>8.8548955494427428</c:v>
                </c:pt>
                <c:pt idx="382">
                  <c:v>8.7762037220828759</c:v>
                </c:pt>
                <c:pt idx="383">
                  <c:v>8.6978779213764401</c:v>
                </c:pt>
                <c:pt idx="384">
                  <c:v>8.6199190146851734</c:v>
                </c:pt>
                <c:pt idx="385">
                  <c:v>8.5423298209347251</c:v>
                </c:pt>
                <c:pt idx="386">
                  <c:v>8.4651079548803132</c:v>
                </c:pt>
                <c:pt idx="387">
                  <c:v>8.388265993267142</c:v>
                </c:pt>
                <c:pt idx="388">
                  <c:v>8.3117978645630419</c:v>
                </c:pt>
                <c:pt idx="389">
                  <c:v>8.2357126760662656</c:v>
                </c:pt>
                <c:pt idx="390">
                  <c:v>8.1600058741276857</c:v>
                </c:pt>
                <c:pt idx="391">
                  <c:v>8.0846839639603374</c:v>
                </c:pt>
                <c:pt idx="392">
                  <c:v>8.0097510655324786</c:v>
                </c:pt>
                <c:pt idx="393">
                  <c:v>7.9352050104397609</c:v>
                </c:pt>
                <c:pt idx="394">
                  <c:v>7.8610479670865319</c:v>
                </c:pt>
                <c:pt idx="395">
                  <c:v>7.7872849228027841</c:v>
                </c:pt>
                <c:pt idx="396">
                  <c:v>7.713917395471559</c:v>
                </c:pt>
                <c:pt idx="397">
                  <c:v>7.6409477703376361</c:v>
                </c:pt>
                <c:pt idx="398">
                  <c:v>7.5683719274327599</c:v>
                </c:pt>
                <c:pt idx="399">
                  <c:v>7.4962004919382208</c:v>
                </c:pt>
                <c:pt idx="400">
                  <c:v>7.4244295607261979</c:v>
                </c:pt>
                <c:pt idx="401">
                  <c:v>7.3530623864032085</c:v>
                </c:pt>
                <c:pt idx="402">
                  <c:v>7.2820998363309908</c:v>
                </c:pt>
                <c:pt idx="403">
                  <c:v>7.2115453799564966</c:v>
                </c:pt>
                <c:pt idx="404">
                  <c:v>7.1413994509605949</c:v>
                </c:pt>
                <c:pt idx="405">
                  <c:v>7.0716624830241548</c:v>
                </c:pt>
                <c:pt idx="406">
                  <c:v>7.0023364277110867</c:v>
                </c:pt>
                <c:pt idx="407">
                  <c:v>6.9334204176596526</c:v>
                </c:pt>
                <c:pt idx="408">
                  <c:v>6.8649183559976734</c:v>
                </c:pt>
                <c:pt idx="409">
                  <c:v>6.7968321942890597</c:v>
                </c:pt>
                <c:pt idx="410">
                  <c:v>6.7291621493742459</c:v>
                </c:pt>
                <c:pt idx="411">
                  <c:v>6.6619119075406186</c:v>
                </c:pt>
                <c:pt idx="412">
                  <c:v>6.5950723614899287</c:v>
                </c:pt>
                <c:pt idx="413">
                  <c:v>6.5286604247760671</c:v>
                </c:pt>
                <c:pt idx="414">
                  <c:v>6.462660918568619</c:v>
                </c:pt>
                <c:pt idx="415">
                  <c:v>6.3970849017297438</c:v>
                </c:pt>
                <c:pt idx="416">
                  <c:v>6.3319291216529239</c:v>
                </c:pt>
                <c:pt idx="417">
                  <c:v>6.2671957467425043</c:v>
                </c:pt>
                <c:pt idx="418">
                  <c:v>6.2028849938389197</c:v>
                </c:pt>
                <c:pt idx="419">
                  <c:v>6.1389983808252113</c:v>
                </c:pt>
                <c:pt idx="420">
                  <c:v>6.0755361245418138</c:v>
                </c:pt>
                <c:pt idx="421">
                  <c:v>6.0124936713396027</c:v>
                </c:pt>
                <c:pt idx="422">
                  <c:v>5.9498770927507438</c:v>
                </c:pt>
                <c:pt idx="423">
                  <c:v>5.8876915929456652</c:v>
                </c:pt>
                <c:pt idx="424">
                  <c:v>5.82592719726438</c:v>
                </c:pt>
                <c:pt idx="425">
                  <c:v>5.7645873751538401</c:v>
                </c:pt>
                <c:pt idx="426">
                  <c:v>5.703674078177956</c:v>
                </c:pt>
                <c:pt idx="427">
                  <c:v>5.6431875231771622</c:v>
                </c:pt>
                <c:pt idx="428">
                  <c:v>5.5831264091088517</c:v>
                </c:pt>
                <c:pt idx="429">
                  <c:v>5.5234916033347625</c:v>
                </c:pt>
                <c:pt idx="430">
                  <c:v>5.4642835395357636</c:v>
                </c:pt>
                <c:pt idx="431">
                  <c:v>5.405503518754462</c:v>
                </c:pt>
                <c:pt idx="432">
                  <c:v>5.3471469873417332</c:v>
                </c:pt>
                <c:pt idx="433">
                  <c:v>5.2892152463401843</c:v>
                </c:pt>
                <c:pt idx="434">
                  <c:v>5.231714367281981</c:v>
                </c:pt>
                <c:pt idx="435">
                  <c:v>5.1746339418262677</c:v>
                </c:pt>
                <c:pt idx="436">
                  <c:v>5.1179817762286861</c:v>
                </c:pt>
                <c:pt idx="437">
                  <c:v>5.0617567862870638</c:v>
                </c:pt>
                <c:pt idx="438">
                  <c:v>5.0059533341501039</c:v>
                </c:pt>
                <c:pt idx="439">
                  <c:v>4.9505738050625858</c:v>
                </c:pt>
                <c:pt idx="440">
                  <c:v>4.8956164643010336</c:v>
                </c:pt>
                <c:pt idx="441">
                  <c:v>4.8410878170784821</c:v>
                </c:pt>
                <c:pt idx="442">
                  <c:v>4.7869776718945101</c:v>
                </c:pt>
                <c:pt idx="443">
                  <c:v>4.7332912329195453</c:v>
                </c:pt>
                <c:pt idx="444">
                  <c:v>4.6800282833131535</c:v>
                </c:pt>
                <c:pt idx="445">
                  <c:v>4.6271860041496859</c:v>
                </c:pt>
                <c:pt idx="446">
                  <c:v>4.5747615765034944</c:v>
                </c:pt>
                <c:pt idx="447">
                  <c:v>4.5227552172150132</c:v>
                </c:pt>
                <c:pt idx="448">
                  <c:v>4.4711732146568428</c:v>
                </c:pt>
                <c:pt idx="449">
                  <c:v>4.4200033173444346</c:v>
                </c:pt>
                <c:pt idx="450">
                  <c:v>4.369252789432343</c:v>
                </c:pt>
                <c:pt idx="451">
                  <c:v>4.3189203298779626</c:v>
                </c:pt>
                <c:pt idx="452">
                  <c:v>4.2689986745267365</c:v>
                </c:pt>
                <c:pt idx="453">
                  <c:v>4.2194956296343067</c:v>
                </c:pt>
                <c:pt idx="454">
                  <c:v>4.170402955264163</c:v>
                </c:pt>
                <c:pt idx="455">
                  <c:v>4.1217271566293405</c:v>
                </c:pt>
                <c:pt idx="456">
                  <c:v>4.0734590180113717</c:v>
                </c:pt>
                <c:pt idx="457">
                  <c:v>4.0256007078146032</c:v>
                </c:pt>
                <c:pt idx="458">
                  <c:v>3.9781499492144712</c:v>
                </c:pt>
                <c:pt idx="459">
                  <c:v>3.9311093442961909</c:v>
                </c:pt>
                <c:pt idx="460">
                  <c:v>3.8844706531232509</c:v>
                </c:pt>
                <c:pt idx="461">
                  <c:v>3.8382461271802004</c:v>
                </c:pt>
                <c:pt idx="462">
                  <c:v>3.7924183108120624</c:v>
                </c:pt>
                <c:pt idx="463">
                  <c:v>3.7469978292001271</c:v>
                </c:pt>
                <c:pt idx="464">
                  <c:v>3.7019751413652768</c:v>
                </c:pt>
                <c:pt idx="465">
                  <c:v>3.6573512230894667</c:v>
                </c:pt>
                <c:pt idx="466">
                  <c:v>3.6131313869633419</c:v>
                </c:pt>
                <c:pt idx="467">
                  <c:v>3.5693041404438741</c:v>
                </c:pt>
                <c:pt idx="468">
                  <c:v>3.5258707845736703</c:v>
                </c:pt>
                <c:pt idx="469">
                  <c:v>3.4828339214379445</c:v>
                </c:pt>
                <c:pt idx="470">
                  <c:v>3.4401913826323516</c:v>
                </c:pt>
                <c:pt idx="471">
                  <c:v>3.3979386145077672</c:v>
                </c:pt>
                <c:pt idx="472">
                  <c:v>3.3560763760057122</c:v>
                </c:pt>
                <c:pt idx="473">
                  <c:v>3.3146017397803207</c:v>
                </c:pt>
                <c:pt idx="474">
                  <c:v>3.2735119953261615</c:v>
                </c:pt>
                <c:pt idx="475">
                  <c:v>3.232806383701714</c:v>
                </c:pt>
                <c:pt idx="476">
                  <c:v>3.1924860975293679</c:v>
                </c:pt>
                <c:pt idx="477">
                  <c:v>3.1525470168408676</c:v>
                </c:pt>
                <c:pt idx="478">
                  <c:v>3.1129861058701302</c:v>
                </c:pt>
                <c:pt idx="479">
                  <c:v>3.0738044488193283</c:v>
                </c:pt>
                <c:pt idx="480">
                  <c:v>3.0350005278054204</c:v>
                </c:pt>
                <c:pt idx="481">
                  <c:v>2.9965662113121128</c:v>
                </c:pt>
                <c:pt idx="482">
                  <c:v>2.9585081129726576</c:v>
                </c:pt>
                <c:pt idx="483">
                  <c:v>2.9208194023133682</c:v>
                </c:pt>
                <c:pt idx="484">
                  <c:v>2.8835015972172862</c:v>
                </c:pt>
                <c:pt idx="485">
                  <c:v>2.8465469998489867</c:v>
                </c:pt>
                <c:pt idx="486">
                  <c:v>2.8099634164641119</c:v>
                </c:pt>
                <c:pt idx="487">
                  <c:v>2.7737375113759399</c:v>
                </c:pt>
                <c:pt idx="488">
                  <c:v>2.7378766571592439</c:v>
                </c:pt>
                <c:pt idx="489">
                  <c:v>2.7023726138775128</c:v>
                </c:pt>
                <c:pt idx="490">
                  <c:v>2.6672262488924847</c:v>
                </c:pt>
                <c:pt idx="491">
                  <c:v>2.6324371285232906</c:v>
                </c:pt>
                <c:pt idx="492">
                  <c:v>2.597999831759068</c:v>
                </c:pt>
                <c:pt idx="493">
                  <c:v>2.5639159849030757</c:v>
                </c:pt>
                <c:pt idx="494">
                  <c:v>2.5301806006253202</c:v>
                </c:pt>
                <c:pt idx="495">
                  <c:v>2.4967941126066706</c:v>
                </c:pt>
                <c:pt idx="496">
                  <c:v>2.4637512082564816</c:v>
           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2.366680636189944</c:v>
                </c:pt>
                <c:pt idx="500">
                  <c:v>2.3349973213640518</c:v>
                </c:pt>
                <c:pt idx="501">
                  <c:v>2.3036508681531509</c:v>
                </c:pt>
                <c:pt idx="502">
                  <c:v>2.2726397586741998</c:v>
                </c:pt>
                <c:pt idx="503">
                  <c:v>2.2419619329430707</c:v>
                </c:pt>
                <c:pt idx="504">
                  <c:v>2.2116115362680322</c:v>
                </c:pt>
                <c:pt idx="505">
                  <c:v>2.1815833644786564</c:v>
                </c:pt>
                <c:pt idx="506">
                  <c:v>2.1518850612002596</c:v>
                </c:pt>
                <c:pt idx="507">
                  <c:v>2.1225045917887266</c:v>
                </c:pt>
                <c:pt idx="508">
                  <c:v>2.0934479735661151</c:v>
                </c:pt>
                <c:pt idx="509">
                  <c:v>2.0647064787049363</c:v>
                </c:pt>
                <c:pt idx="510">
                  <c:v>2.0362873171496378</c:v>
                </c:pt>
                <c:pt idx="511">
                  <c:v>2.0081786168864304</c:v>
                </c:pt>
                <c:pt idx="512">
                  <c:v>1.980378643191838</c:v>
                </c:pt>
                <c:pt idx="513">
                  <c:v>1.9528914618240079</c:v>
                </c:pt>
                <c:pt idx="514">
                  <c:v>1.9257120312428377</c:v>
                </c:pt>
                <c:pt idx="515">
                  <c:v>1.8988329788735547</c:v>
                </c:pt>
                <c:pt idx="516">
                  <c:v>1.8722583704743057</c:v>
                </c:pt>
                <c:pt idx="517">
                  <c:v>1.8459876097338956</c:v>
                </c:pt>
                <c:pt idx="518">
                  <c:v>1.8200150045909191</c:v>
                </c:pt>
                <c:pt idx="519">
                  <c:v>1.7943364350771207</c:v>
                </c:pt>
                <c:pt idx="520">
                  <c:v>1.768955695900104</c:v>
                </c:pt>
                <c:pt idx="521">
                  <c:v>1.7438610776764063</c:v>
                </c:pt>
                <c:pt idx="522">
                  <c:v>1.7190579472067813</c:v>
                </c:pt>
                <c:pt idx="523">
                  <c:v>1.6945444071374272</c:v>
                </c:pt>
                <c:pt idx="524">
                  <c:v>1.6703146027766125</c:v>
                </c:pt>
                <c:pt idx="525">
                  <c:v>1.6463682630737941</c:v>
                </c:pt>
                <c:pt idx="526">
                  <c:v>1.6227023522628892</c:v>
                </c:pt>
                <c:pt idx="527">
                  <c:v>1.5993182255966132</c:v>
                </c:pt>
                <c:pt idx="528">
                  <c:v>1.5762027100185705</c:v>
                </c:pt>
                <c:pt idx="529">
                  <c:v>1.5533670812313549</c:v>
                </c:pt>
                <c:pt idx="530">
                  <c:v>1.530803912450085</c:v>
                </c:pt>
                <c:pt idx="531">
                  <c:v>1.5085061563606394</c:v>
                </c:pt>
                <c:pt idx="532">
                  <c:v>1.4864796676547498</c:v>
                </c:pt>
                <c:pt idx="533">
                  <c:v>1.4647170737576432</c:v>
                </c:pt>
                <c:pt idx="534">
                  <c:v>1.443213387339326</c:v>
                </c:pt>
                <c:pt idx="535">
                  <c:v>1.4219780409586991</c:v>
                </c:pt>
                <c:pt idx="536">
                  <c:v>1.4009974278784976</c:v>
                </c:pt>
                <c:pt idx="537">
                  <c:v>1.3802737165030665</c:v>
                </c:pt>
                <c:pt idx="538">
                  <c:v>1.3598006726699141</c:v>
                </c:pt>
                <c:pt idx="539">
                  <c:v>1.3395844221213149</c:v>
                </c:pt>
                <c:pt idx="540">
                  <c:v>1.3196148817770648</c:v>
                </c:pt>
                <c:pt idx="541">
                  <c:v>1.2998950874032467</c:v>
                </c:pt>
                <c:pt idx="542">
                  <c:v>1.2804207021911707</c:v>
                </c:pt>
                <c:pt idx="543">
                  <c:v>1.2611857630288881</c:v>
                </c:pt>
                <c:pt idx="544">
                  <c:v>1.2421947693554147</c:v>
                </c:pt>
                <c:pt idx="545">
                  <c:v>1.2234411617476071</c:v>
                </c:pt>
                <c:pt idx="546">
                  <c:v>1.204927271240136</c:v>
                </c:pt>
                <c:pt idx="547">
                  <c:v>1.1866458878885544</c:v>
                </c:pt>
                <c:pt idx="548">
                  <c:v>1.1685976080040572</c:v>
                </c:pt>
                <c:pt idx="549">
                  <c:v>1.1507780405678458</c:v>
                </c:pt>
                <c:pt idx="550">
                  <c:v>1.1331852882261184</c:v>
                </c:pt>
                <c:pt idx="551">
                  <c:v>1.1158231998965873</c:v>
                </c:pt>
                <c:pt idx="552">
                  <c:v>1.0986790904138344</c:v>
                </c:pt>
                <c:pt idx="553">
                  <c:v>1.0817618502356741</c:v>
                </c:pt>
                <c:pt idx="554">
                  <c:v>1.0650616131223367</c:v>
                </c:pt>
                <c:pt idx="555">
                  <c:v>1.0485754517279566</c:v>
                </c:pt>
                <c:pt idx="556">
                  <c:v>1.0323122023002396</c:v>
                </c:pt>
                <c:pt idx="557">
                  <c:v>1.0162543820791543</c:v>
                </c:pt>
                <c:pt idx="558">
                  <c:v>1.0004124807207193</c:v>
                </c:pt>
                <c:pt idx="559">
                  <c:v>0.98477682172054548</c:v>
                </c:pt>
                <c:pt idx="560">
                  <c:v>0.96934846217575088</c:v>
                </c:pt>
                <c:pt idx="561">
                  <c:v>0.95412891996937699</c:v>
                </c:pt>
                <c:pt idx="562">
                  <c:v>0.93910518467535398</c:v>
                </c:pt>
                <c:pt idx="563">
                  <c:v>0.92428939935801369</c:v>
                </c:pt>
                <c:pt idx="564">
                  <c:v>0.90967004436927346</c:v>
                </c:pt>
                <c:pt idx="565">
                  <c:v>0.89524495130478832</c:v>
                </c:pt>
                <c:pt idx="566">
                  <c:v>0.8810155296273825</c:v>
                </c:pt>
                <c:pt idx="567">
                  <c:v>0.86697980066809122</c:v>
                </c:pt>
                <c:pt idx="568">
                  <c:v>0.85313708680055667</c:v>
                </c:pt>
                <c:pt idx="569">
                  <c:v>0.83947996123989732</c:v>
                </c:pt>
                <c:pt idx="570">
                  <c:v>0.82601051107529522</c:v>
                </c:pt>
                <c:pt idx="571">
                  <c:v>0.81272353213632242</c:v>
                </c:pt>
                <c:pt idx="572">
                  <c:v>0.79962035257064024</c:v>
                </c:pt>
                <c:pt idx="573">
                  <c:v>0.78670146026922627</c:v>
                </c:pt>
                <c:pt idx="574">
                  <c:v>0.77395839845513514</c:v>
                </c:pt>
                <c:pt idx="575">
                  <c:v>0.76139577498759992</c:v>
                </c:pt>
                <c:pt idx="576">
                  <c:v>0.74900467230375189</c:v>
                </c:pt>
                <c:pt idx="577">
                  <c:v>0.73678861406065166</c:v>
                </c:pt>
                <c:pt idx="578">
                  <c:v>0.72474071557450392</c:v>
                </c:pt>
                <c:pt idx="579">
                  <c:v>0.71286582865003056</c:v>
                </c:pt>
                <c:pt idx="580">
                  <c:v>0.70115514414458013</c:v>
                </c:pt>
                <c:pt idx="581">
                  <c:v>0.68961150808885541</c:v>
                </c:pt>
                <c:pt idx="582">
                  <c:v>0.67823253523807692</c:v>
                </c:pt>
                <c:pt idx="583">
                  <c:v>0.66701621981822556</c:v>
                </c:pt>
                <c:pt idx="584">
                  <c:v>0.65596042053001069</c:v>
                </c:pt>
                <c:pt idx="585">
                  <c:v>0.64506318580952182</c:v>
                </c:pt>
                <c:pt idx="586">
                  <c:v>0.63431977227225433</c:v>
                </c:pt>
                <c:pt idx="587">
                  <c:v>0.62373551961390772</c:v>
                </c:pt>
                <c:pt idx="588">
                  <c:v>0.61330018212395199</c:v>
                </c:pt>
                <c:pt idx="589">
                  <c:v>0.60301766293020809</c:v>
                </c:pt>
                <c:pt idx="590">
                  <c:v>0.59288731151137253</c:v>
                </c:pt>
                <c:pt idx="591">
                  <c:v>0.5828974997991454</c:v>
                </c:pt>
                <c:pt idx="592">
                  <c:v>0.57305801271813339</c:v>
                </c:pt>
                <c:pt idx="593">
                  <c:v>0.56336673607410015</c:v>
                </c:pt>
                <c:pt idx="594">
                  <c:v>0.55381388494243899</c:v>
                </c:pt>
                <c:pt idx="595">
                  <c:v>0.5443994051130413</c:v>
                </c:pt>
                <c:pt idx="596">
                  <c:v>0.53512906996247556</c:v>
                </c:pt>
                <c:pt idx="597">
                  <c:v>0.52599724163944483</c:v>
                </c:pt>
                <c:pt idx="598">
                  <c:v>0.51699707611773538</c:v>
                </c:pt>
                <c:pt idx="599">
                  <c:v>0.50813620347013588</c:v>
                </c:pt>
                <c:pt idx="600">
                  <c:v>0.4993999463097365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14-4645-9E3F-86C5AB133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36032"/>
        <c:axId val="169038208"/>
      </c:scatterChart>
      <c:valAx>
        <c:axId val="16903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38208"/>
        <c:crosses val="autoZero"/>
        <c:crossBetween val="midCat"/>
      </c:valAx>
      <c:valAx>
        <c:axId val="169038208"/>
        <c:scaling>
          <c:orientation val="minMax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Implied 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36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MarketFit!$S$4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80-44FF-AA2E-B6D808C01793}"/>
            </c:ext>
          </c:extLst>
        </c:ser>
        <c:ser>
          <c:idx val="1"/>
          <c:order val="1"/>
          <c:tx>
            <c:strRef>
              <c:f>MarketFit!$T$4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MarketFit!$T$5:$T$605</c:f>
              <c:numCache>
                <c:formatCode>0</c:formatCode>
                <c:ptCount val="601"/>
                <c:pt idx="0">
                  <c:v>19.520312449783361</c:v>
                </c:pt>
                <c:pt idx="1">
                  <c:v>19.62854358217303</c:v>
                </c:pt>
                <c:pt idx="2">
                  <c:v>19.7361103154714</c:v>
                </c:pt>
                <c:pt idx="3">
                  <c:v>19.842958873250716</c:v>
                </c:pt>
                <c:pt idx="4">
                  <c:v>19.949141297215256</c:v>
                </c:pt>
                <c:pt idx="5">
                  <c:v>20.054605545660742</c:v>
                </c:pt>
                <c:pt idx="6">
                  <c:v>20.159362026928029</c:v>
                </c:pt>
                <c:pt idx="7">
                  <c:v>20.263391659058883</c:v>
                </c:pt>
                <c:pt idx="8">
                  <c:v>20.366652808689878</c:v>
                </c:pt>
                <c:pt idx="9">
                  <c:v>20.469173231396631</c:v>
                </c:pt>
                <c:pt idx="10">
                  <c:v>20.570932110497431</c:v>
                </c:pt>
                <c:pt idx="11">
                  <c:v>20.671906894587089</c:v>
                </c:pt>
                <c:pt idx="12">
                  <c:v>20.772106257282985</c:v>
                </c:pt>
                <c:pt idx="13">
                  <c:v>20.871502443009504</c:v>
                </c:pt>
                <c:pt idx="14">
                  <c:v>20.970086778149266</c:v>
                </c:pt>
                <c:pt idx="15">
                  <c:v>21.067847119637939</c:v>
                </c:pt>
                <c:pt idx="16">
                  <c:v>21.164781732752047</c:v>
                </c:pt>
                <c:pt idx="17">
                  <c:v>21.260869800809878</c:v>
                </c:pt>
                <c:pt idx="18">
                  <c:v>21.356107854364481</c:v>
                </c:pt>
                <c:pt idx="19">
                  <c:v>21.450487219798475</c:v>
                </c:pt>
                <c:pt idx="20">
                  <c:v>21.543985345706673</c:v>
                </c:pt>
                <c:pt idx="21">
                  <c:v>21.636617844600359</c:v>
                </c:pt>
                <c:pt idx="22">
                  <c:v>21.728351756733488</c:v>
                </c:pt>
                <c:pt idx="23">
                  <c:v>21.819178408488682</c:v>
                </c:pt>
                <c:pt idx="24">
                  <c:v>21.909103004036368</c:v>
                </c:pt>
                <c:pt idx="25">
                  <c:v>21.998109930865262</c:v>
                </c:pt>
                <c:pt idx="26">
                  <c:v>22.08619225008146</c:v>
                </c:pt>
                <c:pt idx="27">
                  <c:v>22.173323940832823</c:v>
                </c:pt>
                <c:pt idx="28">
                  <c:v>22.259510207289779</c:v>
                </c:pt>
                <c:pt idx="29">
                  <c:v>22.344745845281899</c:v>
                </c:pt>
                <c:pt idx="30">
                  <c:v>22.429030854809184</c:v>
                </c:pt>
                <c:pt idx="31">
                  <c:v>22.512321867784735</c:v>
                </c:pt>
                <c:pt idx="32">
                  <c:v>22.594669191189354</c:v>
                </c:pt>
                <c:pt idx="33">
                  <c:v>22.67599996663705</c:v>
                </c:pt>
                <c:pt idx="34">
                  <c:v>22.756335010809536</c:v>
                </c:pt>
                <c:pt idx="35">
                  <c:v>22.835695140388523</c:v>
                </c:pt>
                <c:pt idx="36">
                  <c:v>22.914017905328876</c:v>
                </c:pt>
                <c:pt idx="37">
                  <c:v>22.991344938994018</c:v>
                </c:pt>
                <c:pt idx="38">
                  <c:v>23.06764154691443</c:v>
                </c:pt>
                <c:pt idx="39">
                  <c:v>23.142897320749256</c:v>
                </c:pt>
                <c:pt idx="40">
                  <c:v>23.217126138286304</c:v>
                </c:pt>
                <c:pt idx="41">
                  <c:v>23.290317591184717</c:v>
                </c:pt>
                <c:pt idx="42">
                  <c:v>23.362433515528025</c:v>
                </c:pt>
                <c:pt idx="43">
                  <c:v>23.433529422467458</c:v>
                </c:pt>
                <c:pt idx="44">
                  <c:v>23.50355673974569</c:v>
                </c:pt>
                <c:pt idx="45">
                  <c:v>23.572494650681008</c:v>
                </c:pt>
                <c:pt idx="46">
                  <c:v>23.640377849742933</c:v>
                </c:pt>
                <c:pt idx="47">
                  <c:v>23.707188989696704</c:v>
                </c:pt>
                <c:pt idx="48">
                  <c:v>23.772910723307561</c:v>
                </c:pt>
                <c:pt idx="49">
                  <c:v>23.837515294999889</c:v>
                </c:pt>
                <c:pt idx="50">
                  <c:v>23.901054746477968</c:v>
                </c:pt>
                <c:pt idx="51">
                  <c:v>23.963487444378373</c:v>
                </c:pt>
                <c:pt idx="52">
                  <c:v>24.024813388701105</c:v>
                </c:pt>
                <c:pt idx="53">
                  <c:v>24.08504298778702</c:v>
                </c:pt>
                <c:pt idx="54">
                  <c:v>24.144162363848309</c:v>
                </c:pt>
                <c:pt idx="55">
                  <c:v>24.202161108544118</c:v>
                </c:pt>
                <c:pt idx="56">
                  <c:v>24.259046160768349</c:v>
                </c:pt>
                <c:pt idx="57">
                  <c:v>24.31479323439234</c:v>
                </c:pt>
                <c:pt idx="58">
                  <c:v>24.369443962779513</c:v>
                </c:pt>
                <c:pt idx="59">
                  <c:v>24.422939365331686</c:v>
                </c:pt>
                <c:pt idx="60">
                  <c:v>24.475303728177522</c:v>
                </c:pt>
                <c:pt idx="61">
                  <c:v>24.526540520763973</c:v>
                </c:pt>
                <c:pt idx="62">
                  <c:v>24.576632395856279</c:v>
                </c:pt>
                <c:pt idx="63">
                  <c:v>24.625582822901393</c:v>
                </c:pt>
                <c:pt idx="64">
                  <c:v>24.673412618581025</c:v>
                </c:pt>
                <c:pt idx="65">
                  <c:v>24.72007321063785</c:v>
                </c:pt>
                <c:pt idx="66">
                  <c:v>24.765568068518817</c:v>
                </c:pt>
                <c:pt idx="67">
                  <c:v>24.809949233928208</c:v>
                </c:pt>
                <c:pt idx="68">
                  <c:v>24.853182012396502</c:v>
                </c:pt>
                <c:pt idx="69">
                  <c:v>24.895252526135891</c:v>
                </c:pt>
                <c:pt idx="70">
                  <c:v>24.936160775146377</c:v>
                </c:pt>
                <c:pt idx="71">
                  <c:v>24.975910228874909</c:v>
                </c:pt>
                <c:pt idx="72">
                  <c:v>25.014507826215393</c:v>
                </c:pt>
                <c:pt idx="73">
                  <c:v>25.051953567167828</c:v>
                </c:pt>
                <c:pt idx="74">
                  <c:v>25.088243982285263</c:v>
                </c:pt>
                <c:pt idx="75">
                  <c:v>25.123361724332938</c:v>
                </c:pt>
                <c:pt idx="76">
                  <c:v>25.157324140545612</c:v>
                </c:pt>
                <c:pt idx="77">
                  <c:v>25.190141639264141</c:v>
                </c:pt>
                <c:pt idx="78">
                  <c:v>25.221793403806814</c:v>
                </c:pt>
                <c:pt idx="79">
                  <c:v>25.25227943417363</c:v>
                </c:pt>
                <c:pt idx="80">
                  <c:v>25.281613608152398</c:v>
                </c:pt>
                <c:pt idx="81">
                  <c:v>25.309799395190069</c:v>
                </c:pt>
                <c:pt idx="82">
                  <c:v>25.336798631370172</c:v>
                </c:pt>
                <c:pt idx="83">
                  <c:v>25.362666827843938</c:v>
                </c:pt>
                <c:pt idx="84">
                  <c:v>25.387365820694896</c:v>
                </c:pt>
                <c:pt idx="85">
                  <c:v>25.410895609923045</c:v>
                </c:pt>
                <c:pt idx="86">
                  <c:v>25.43329782889181</c:v>
                </c:pt>
                <c:pt idx="87">
                  <c:v>25.454541252578622</c:v>
                </c:pt>
                <c:pt idx="88">
                  <c:v>25.474632819877385</c:v>
                </c:pt>
                <c:pt idx="89">
                  <c:v>25.493565591894196</c:v>
                </c:pt>
                <c:pt idx="90">
                  <c:v>25.511370793651622</c:v>
                </c:pt>
                <c:pt idx="91">
                  <c:v>25.528027608467951</c:v>
                </c:pt>
                <c:pt idx="92">
                  <c:v>25.543525628002328</c:v>
                </c:pt>
                <c:pt idx="93">
                  <c:v>25.557882199489512</c:v>
                </c:pt>
                <c:pt idx="94">
                  <c:v>25.571114670164263</c:v>
                </c:pt>
                <c:pt idx="95">
                  <c:v>25.583198753897918</c:v>
                </c:pt>
                <c:pt idx="96">
                  <c:v>25.594148328478283</c:v>
                </c:pt>
                <c:pt idx="97">
                  <c:v>25.603970332799264</c:v>
                </c:pt>
                <c:pt idx="98">
                  <c:v>25.612671705754764</c:v>
                </c:pt>
                <c:pt idx="99">
                  <c:v>25.620242039003926</c:v>
                </c:pt>
                <c:pt idx="100">
                  <c:v>25.626698679781512</c:v>
                </c:pt>
                <c:pt idx="101">
                  <c:v>25.632024280852761</c:v>
                </c:pt>
                <c:pt idx="102">
                  <c:v>25.636243128346337</c:v>
                </c:pt>
                <c:pt idx="103">
                  <c:v>25.639355222262239</c:v>
                </c:pt>
                <c:pt idx="104">
                  <c:v>25.64134668481266</c:v>
                </c:pt>
                <c:pt idx="105">
                  <c:v>25.642220985444553</c:v>
                </c:pt>
                <c:pt idx="106">
                  <c:v>25.642037104756099</c:v>
                </c:pt>
                <c:pt idx="107">
                  <c:v>25.640729123255213</c:v>
                </c:pt>
                <c:pt idx="108">
                  <c:v>25.638342143752268</c:v>
                </c:pt>
                <c:pt idx="109">
                  <c:v>25.634848410671651</c:v>
                </c:pt>
                <c:pt idx="110">
                  <c:v>25.63029996571764</c:v>
                </c:pt>
                <c:pt idx="111">
                  <c:v>25.624682931102427</c:v>
                </c:pt>
                <c:pt idx="112">
                  <c:v>25.617938326227829</c:v>
                </c:pt>
                <c:pt idx="113">
                  <c:v>25.610180642843261</c:v>
                </c:pt>
                <c:pt idx="114">
                  <c:v>25.601326614221875</c:v>
                </c:pt>
                <c:pt idx="115">
                  <c:v>25.591424812621</c:v>
                </c:pt>
                <c:pt idx="116">
                  <c:v>25.580475238040634</c:v>
                </c:pt>
                <c:pt idx="117">
                  <c:v>25.568491768268586</c:v>
                </c:pt>
                <c:pt idx="118">
                  <c:v>25.555425831047529</c:v>
                </c:pt>
                <c:pt idx="119">
                  <c:v>25.541339876422597</c:v>
                </c:pt>
                <c:pt idx="120">
                  <c:v>25.526233904393791</c:v>
                </c:pt>
                <c:pt idx="121">
                  <c:v>25.510094037173303</c:v>
                </c:pt>
                <c:pt idx="122">
                  <c:v>25.492941091442844</c:v>
                </c:pt>
                <c:pt idx="123">
                  <c:v>25.474761189414608</c:v>
                </c:pt>
                <c:pt idx="124">
                  <c:v>25.455582086664208</c:v>
                </c:pt>
                <c:pt idx="125">
                  <c:v>25.435403783191646</c:v>
                </c:pt>
                <c:pt idx="126">
                  <c:v>25.414226278996921</c:v>
                </c:pt>
                <c:pt idx="127">
                  <c:v>25.392063451867841</c:v>
                </c:pt>
                <c:pt idx="128">
                  <c:v>25.368901424016599</c:v>
                </c:pt>
                <c:pt idx="129">
                  <c:v>25.344781828806617</c:v>
                </c:pt>
                <c:pt idx="130">
                  <c:v>25.319669971768377</c:v>
                </c:pt>
                <c:pt idx="131">
                  <c:v>25.293607486265302</c:v>
                </c:pt>
                <c:pt idx="132">
                  <c:v>25.266608250085199</c:v>
                </c:pt>
                <c:pt idx="133">
                  <c:v>25.238616752076837</c:v>
                </c:pt>
                <c:pt idx="134">
                  <c:v>25.209709320073159</c:v>
                </c:pt>
                <c:pt idx="135">
                  <c:v>25.179851259604646</c:v>
                </c:pt>
                <c:pt idx="136">
                  <c:v>25.149077265140818</c:v>
                </c:pt>
                <c:pt idx="137">
                  <c:v>25.117352642212154</c:v>
                </c:pt>
                <c:pt idx="138">
                  <c:v>25.084725963075982</c:v>
                </c:pt>
                <c:pt idx="139">
                  <c:v>25.051204166626206</c:v>
                </c:pt>
                <c:pt idx="140">
                  <c:v>25.016766436181115</c:v>
                </c:pt>
                <c:pt idx="141">
                  <c:v>24.981447466210227</c:v>
                </c:pt>
                <c:pt idx="142">
                  <c:v>24.945219501137927</c:v>
                </c:pt>
                <c:pt idx="143">
                  <c:v>24.908110296539832</c:v>
                </c:pt>
                <c:pt idx="144">
                  <c:v>24.870154546885459</c:v>
                </c:pt>
                <c:pt idx="145">
                  <c:v>24.83131755770529</c:v>
                </c:pt>
                <c:pt idx="146">
                  <c:v>24.791627084574941</c:v>
                </c:pt>
                <c:pt idx="147">
                  <c:v>24.751090066388315</c:v>
                </c:pt>
                <c:pt idx="148">
                  <c:v>24.709692625357604</c:v>
                </c:pt>
                <c:pt idx="149">
                  <c:v>24.667490272634041</c:v>
                </c:pt>
                <c:pt idx="150">
                  <c:v>24.6244413748542</c:v>
                </c:pt>
                <c:pt idx="151">
                  <c:v>24.580573687593699</c:v>
                </c:pt>
                <c:pt idx="152">
                  <c:v>24.535901088640344</c:v>
                </c:pt>
                <c:pt idx="153">
                  <c:v>24.490437455781944</c:v>
                </c:pt>
                <c:pt idx="154">
                  <c:v>24.444148094548979</c:v>
                </c:pt>
                <c:pt idx="155">
                  <c:v>24.39708851609268</c:v>
                </c:pt>
                <c:pt idx="156">
                  <c:v>24.349258720413047</c:v>
                </c:pt>
                <c:pt idx="157">
                  <c:v>24.300651768616177</c:v>
                </c:pt>
                <c:pt idx="158">
                  <c:v>24.251267660702069</c:v>
                </c:pt>
                <c:pt idx="159">
                  <c:v>24.20113415224634</c:v>
                </c:pt>
                <c:pt idx="160">
                  <c:v>24.150244304355084</c:v>
                </c:pt>
                <c:pt idx="161">
                  <c:v>24.098667505967342</c:v>
                </c:pt>
                <c:pt idx="162">
                  <c:v>24.046320490356266</c:v>
                </c:pt>
                <c:pt idx="163">
                  <c:v>23.993251829779183</c:v>
                </c:pt>
                <c:pt idx="164">
                  <c:v>23.939482340917806</c:v>
                </c:pt>
                <c:pt idx="165">
                  <c:v>23.884970390408711</c:v>
                </c:pt>
                <c:pt idx="166">
                  <c:v>23.829806183872648</c:v>
                </c:pt>
                <c:pt idx="167">
                  <c:v>23.773927271264483</c:v>
                </c:pt>
                <c:pt idx="168">
                  <c:v>23.717368347053736</c:v>
                </c:pt>
                <c:pt idx="169">
                  <c:v>23.660171044603828</c:v>
                </c:pt>
                <c:pt idx="170">
                  <c:v>23.602272913869626</c:v>
                </c:pt>
                <c:pt idx="171">
                  <c:v>23.543722527108457</c:v>
                </c:pt>
                <c:pt idx="172">
                  <c:v>23.484526823214225</c:v>
                </c:pt>
                <c:pt idx="173">
                  <c:v>23.424699679974736</c:v>
                </c:pt>
                <c:pt idx="174">
                  <c:v>23.364241097389993</c:v>
                </c:pt>
                <c:pt idx="175">
                  <c:v>23.303137197672186</c:v>
                </c:pt>
                <c:pt idx="176">
                  <c:v>23.241443491972547</c:v>
                </c:pt>
                <c:pt idx="177">
                  <c:v>23.179146102503267</c:v>
                </c:pt>
                <c:pt idx="178">
                  <c:v>23.116258907052156</c:v>
                </c:pt>
                <c:pt idx="179">
                  <c:v>23.052761088937501</c:v>
                </c:pt>
                <c:pt idx="180">
                  <c:v>22.988715098204437</c:v>
                </c:pt>
                <c:pt idx="181">
                  <c:v>22.924051545913926</c:v>
                </c:pt>
                <c:pt idx="182">
                  <c:v>22.858888393262333</c:v>
                </c:pt>
                <c:pt idx="183">
                  <c:v>22.793114617947197</c:v>
                </c:pt>
                <c:pt idx="184">
                  <c:v>22.726827364483171</c:v>
                </c:pt>
                <c:pt idx="185">
                  <c:v>22.659978060612929</c:v>
                </c:pt>
                <c:pt idx="186">
                  <c:v>22.592594461912086</c:v>
                </c:pt>
                <c:pt idx="187">
                  <c:v>22.524739018425777</c:v>
                </c:pt>
                <c:pt idx="188">
                  <c:v>22.456328463427155</c:v>
                </c:pt>
                <c:pt idx="189">
                  <c:v>22.387425246961357</c:v>
                </c:pt>
                <c:pt idx="190">
                  <c:v>22.318022430134477</c:v>
                </c:pt>
                <c:pt idx="191">
                  <c:v>22.248133890734323</c:v>
                </c:pt>
                <c:pt idx="192">
                  <c:v>22.177773506548704</c:v>
                </c:pt>
                <c:pt idx="193">
                  <c:v>22.106948216471523</c:v>
                </c:pt>
                <c:pt idx="194">
                  <c:v>22.035644142714972</c:v>
                </c:pt>
                <c:pt idx="195">
                  <c:v>21.963875163066859</c:v>
                </c:pt>
                <c:pt idx="196">
                  <c:v>21.89170372757232</c:v>
                </c:pt>
                <c:pt idx="197">
                  <c:v>21.819060447292316</c:v>
                </c:pt>
                <c:pt idx="198">
                  <c:v>21.746014711165884</c:v>
                </c:pt>
                <c:pt idx="199">
                  <c:v>21.672524885829603</c:v>
                </c:pt>
                <c:pt idx="200">
                  <c:v>21.598622196306039</c:v>
                </c:pt>
                <c:pt idx="201">
                  <c:v>21.524317050936048</c:v>
                </c:pt>
                <c:pt idx="202">
                  <c:v>21.449623327507439</c:v>
                </c:pt>
                <c:pt idx="203">
                  <c:v>21.37455837325497</c:v>
                </c:pt>
                <c:pt idx="204">
                  <c:v>21.299094432603027</c:v>
                </c:pt>
                <c:pt idx="205">
                  <c:v>21.223238444445514</c:v>
                </c:pt>
                <c:pt idx="206">
                  <c:v>21.147059797721468</c:v>
                </c:pt>
                <c:pt idx="207">
                  <c:v>21.070496042385756</c:v>
                </c:pt>
                <c:pt idx="208">
                  <c:v>20.993620036824368</c:v>
                </c:pt>
                <c:pt idx="209">
                  <c:v>20.916365861545216</c:v>
                </c:pt>
                <c:pt idx="210">
                  <c:v>20.838792497146486</c:v>
                </c:pt>
                <c:pt idx="211">
                  <c:v>20.760903413075127</c:v>
                </c:pt>
                <c:pt idx="212">
                  <c:v>20.682695139884189</c:v>
                </c:pt>
                <c:pt idx="213">
                  <c:v>20.604153799785863</c:v>
                </c:pt>
                <c:pt idx="214">
                  <c:v>20.525355720613092</c:v>
                </c:pt>
                <c:pt idx="215">
                  <c:v>20.446238452320742</c:v>
                </c:pt>
                <c:pt idx="216">
                  <c:v>20.366857506060043</c:v>
                </c:pt>
                <c:pt idx="217">
                  <c:v>20.287188595702332</c:v>
                </c:pt>
                <c:pt idx="218">
                  <c:v>20.207245599035417</c:v>
                </c:pt>
                <c:pt idx="219">
                  <c:v>20.127035454953202</c:v>
                </c:pt>
                <c:pt idx="220">
                  <c:v>20.046589388478253</c:v>
                </c:pt>
                <c:pt idx="221">
                  <c:v>19.965876174588004</c:v>
                </c:pt>
                <c:pt idx="222">
                  <c:v>19.884944385539782</c:v>
                </c:pt>
                <c:pt idx="223">
                  <c:v>19.803769735204924</c:v>
                </c:pt>
                <c:pt idx="224">
                  <c:v>19.722383448605996</c:v>
                </c:pt>
                <c:pt idx="225">
                  <c:v>19.640764709061287</c:v>
                </c:pt>
                <c:pt idx="226">
                  <c:v>19.558944741593365</c:v>
                </c:pt>
                <c:pt idx="227">
                  <c:v>19.476916607308326</c:v>
                </c:pt>
                <c:pt idx="228">
                  <c:v>19.394694183993977</c:v>
                </c:pt>
                <c:pt idx="229">
                  <c:v>19.312301757778982</c:v>
                </c:pt>
                <c:pt idx="230">
                  <c:v>19.229711573087727</c:v>
                </c:pt>
                <c:pt idx="231">
                  <c:v>19.146951385495825</c:v>
                </c:pt>
                <c:pt idx="232">
                  <c:v>19.06400731721547</c:v>
                </c:pt>
                <c:pt idx="233">
                  <c:v>18.980931409950941</c:v>
                </c:pt>
                <c:pt idx="234">
                  <c:v>18.897702847020525</c:v>
                </c:pt>
                <c:pt idx="235">
                  <c:v>18.814321628424224</c:v>
                </c:pt>
                <c:pt idx="236">
                  <c:v>18.730808570843749</c:v>
                </c:pt>
                <c:pt idx="237">
                  <c:v>18.647135918703484</c:v>
                </c:pt>
                <c:pt idx="238">
                  <c:v>18.563373060942467</c:v>
                </c:pt>
                <c:pt idx="239">
                  <c:v>18.479478364197277</c:v>
                </c:pt>
                <c:pt idx="240">
                  <c:v>18.395455297914864</c:v>
                </c:pt>
                <c:pt idx="241">
                  <c:v>18.311342026011701</c:v>
                </c:pt>
                <c:pt idx="242">
                  <c:v>18.227152426275595</c:v>
                </c:pt>
                <c:pt idx="243">
                  <c:v>18.142851804237026</c:v>
                </c:pt>
                <c:pt idx="244">
                  <c:v>18.058474854365514</c:v>
                </c:pt>
                <c:pt idx="245">
                  <c:v>17.973997290532395</c:v>
                </c:pt>
                <c:pt idx="246">
                  <c:v>17.889460746101093</c:v>
                </c:pt>
                <c:pt idx="247">
                  <c:v>17.804851343283801</c:v>
                </c:pt>
                <c:pt idx="248">
                  <c:v>17.720196837656133</c:v>
                </c:pt>
                <c:pt idx="249">
                  <c:v>17.635486820877233</c:v>
                </c:pt>
                <c:pt idx="250">
                  <c:v>17.55071782350015</c:v>
                </c:pt>
                <c:pt idx="251">
                  <c:v>17.465907192759644</c:v>
                </c:pt>
                <c:pt idx="252">
                  <c:v>17.381075745337426</c:v>
                </c:pt>
                <c:pt idx="253">
                  <c:v>17.296188786763977</c:v>
                </c:pt>
                <c:pt idx="254">
                  <c:v>17.21130529763748</c:v>
                </c:pt>
                <c:pt idx="255">
                  <c:v>17.126407930723175</c:v>
                </c:pt>
                <c:pt idx="256">
                  <c:v>17.041479338786303</c:v>
                </c:pt>
                <c:pt idx="257">
                  <c:v>16.956543807955526</c:v>
                </c:pt>
                <c:pt idx="258">
                  <c:v>16.87160827712475</c:v>
                </c:pt>
                <c:pt idx="259">
                  <c:v>16.786703971316541</c:v>
                </c:pt>
                <c:pt idx="260">
                  <c:v>16.701782318273573</c:v>
                </c:pt>
                <c:pt idx="261">
                  <c:v>16.616902298594027</c:v>
                </c:pt>
                <c:pt idx="262">
                  <c:v>16.532011870573626</c:v>
                </c:pt>
                <c:pt idx="263">
                  <c:v>16.447176953704457</c:v>
                </c:pt>
                <c:pt idx="264">
                  <c:v>16.362359384070047</c:v>
                </c:pt>
                <c:pt idx="265">
                  <c:v>16.27758344779906</c:v>
                </c:pt>
                <c:pt idx="266">
                  <c:v>16.192863022679305</c:v>
                </c:pt>
                <c:pt idx="267">
                  <c:v>16.108166883688213</c:v>
                </c:pt>
                <c:pt idx="268">
                  <c:v>16.023550541977016</c:v>
                </c:pt>
                <c:pt idx="269">
                  <c:v>15.938975833629243</c:v>
                </c:pt>
                <c:pt idx="270">
                  <c:v>15.854480922561365</c:v>
                </c:pt>
                <c:pt idx="271">
                  <c:v>15.77004499209167</c:v>
                </c:pt>
                <c:pt idx="272">
                  <c:v>15.685699267242725</c:v>
                </c:pt>
                <c:pt idx="273">
                  <c:v>15.601412522991964</c:v>
                </c:pt>
                <c:pt idx="274">
                  <c:v>15.51720904546805</c:v>
                </c:pt>
                <c:pt idx="275">
                  <c:v>15.433085365224031</c:v>
                </c:pt>
                <c:pt idx="276">
                  <c:v>15.349079646176378</c:v>
                </c:pt>
                <c:pt idx="277">
                  <c:v>15.265160663302524</c:v>
                </c:pt>
                <c:pt idx="278">
                  <c:v>15.181338824943325</c:v>
                </c:pt>
                <c:pt idx="279">
                  <c:v>15.097645356121348</c:v>
                </c:pt>
                <c:pt idx="280">
                  <c:v>15.014035154026217</c:v>
                </c:pt>
                <c:pt idx="281">
                  <c:v>14.930556790915261</c:v>
                </c:pt>
                <c:pt idx="282">
                  <c:v>14.847182511212864</c:v>
                </c:pt>
                <c:pt idx="283">
                  <c:v>14.763960887176353</c:v>
                </c:pt>
                <c:pt idx="284">
                  <c:v>14.680857224336208</c:v>
                </c:pt>
                <c:pt idx="285">
                  <c:v>14.597864583798525</c:v>
                </c:pt>
                <c:pt idx="286">
                  <c:v>14.515024598926729</c:v>
                </c:pt>
                <c:pt idx="287">
                  <c:v>14.432330330826915</c:v>
                </c:pt>
                <c:pt idx="288">
                  <c:v>14.34979565728689</c:v>
                </c:pt>
                <c:pt idx="289">
                  <c:v>14.267365067155424</c:v>
                </c:pt>
                <c:pt idx="290">
                  <c:v>14.185139174394124</c:v>
                </c:pt>
                <c:pt idx="291">
                  <c:v>14.103041651170045</c:v>
                </c:pt>
                <c:pt idx="292">
                  <c:v>14.021110661399661</c:v>
                </c:pt>
                <c:pt idx="293">
                  <c:v>13.93934620508297</c:v>
                </c:pt>
                <c:pt idx="294">
                  <c:v>13.857744812773021</c:v>
                </c:pt>
                <c:pt idx="295">
                  <c:v>13.776334240045429</c:v>
                </c:pt>
                <c:pt idx="296">
                  <c:v>13.695065914642868</c:v>
                </c:pt>
                <c:pt idx="297">
                  <c:v>13.613984939375712</c:v>
                </c:pt>
                <c:pt idx="298">
                  <c:v>13.533115600372625</c:v>
                </c:pt>
                <c:pt idx="299">
                  <c:v>13.45239197814152</c:v>
                </c:pt>
                <c:pt idx="300">
                  <c:v>13.371883461621437</c:v>
                </c:pt>
                <c:pt idx="301">
                  <c:v>13.291569234130662</c:v>
                </c:pt>
                <c:pt idx="302">
                  <c:v>13.211438887328342</c:v>
                </c:pt>
                <c:pt idx="303">
                  <c:v>13.13152017679009</c:v>
                </c:pt>
                <c:pt idx="304">
                  <c:v>13.051802694175052</c:v>
                </c:pt>
                <c:pt idx="305">
                  <c:v>12.972251745013708</c:v>
                </c:pt>
                <c:pt idx="306">
                  <c:v>12.892964473820712</c:v>
                </c:pt>
                <c:pt idx="307">
                  <c:v>12.813840266634458</c:v>
                </c:pt>
                <c:pt idx="308">
                  <c:v>12.734962390181792</c:v>
                </c:pt>
                <c:pt idx="309">
                  <c:v>12.656299619440148</c:v>
                </c:pt>
                <c:pt idx="310">
                  <c:v>12.577858893303429</c:v>
                </c:pt>
                <c:pt idx="311">
                  <c:v>12.499636742324682</c:v>
                </c:pt>
                <c:pt idx="312">
                  <c:v>12.421633166503909</c:v>
                </c:pt>
                <c:pt idx="313">
                  <c:v>12.343851635288061</c:v>
                </c:pt>
                <c:pt idx="314">
                  <c:v>12.266309495911898</c:v>
                </c:pt>
                <c:pt idx="315">
                  <c:v>12.189025830333655</c:v>
                </c:pt>
                <c:pt idx="316">
                  <c:v>12.111936453784722</c:v>
                </c:pt>
                <c:pt idx="317">
                  <c:v>12.035109020480661</c:v>
                </c:pt>
                <c:pt idx="318">
                  <c:v>11.958533122080617</c:v>
                </c:pt>
                <c:pt idx="319">
                  <c:v>11.882175798838546</c:v>
                </c:pt>
                <c:pt idx="320">
                  <c:v>11.806083888288299</c:v>
                </c:pt>
                <c:pt idx="321">
                  <c:v>11.730231369577737</c:v>
                </c:pt>
                <c:pt idx="322">
                  <c:v>11.654633855218144</c:v>
                </c:pt>
                <c:pt idx="323">
                  <c:v>11.579287875762567</c:v>
                </c:pt>
                <c:pt idx="324">
                  <c:v>11.504188227040579</c:v>
                </c:pt>
                <c:pt idx="325">
                  <c:v>11.429347052116512</c:v>
                </c:pt>
                <c:pt idx="326">
                  <c:v>11.354773024607745</c:v>
                </c:pt>
                <c:pt idx="327">
                  <c:v>11.280471348684706</c:v>
                </c:pt>
                <c:pt idx="328">
                  <c:v>11.206386513196165</c:v>
                </c:pt>
                <c:pt idx="329">
                  <c:v>11.132608723762871</c:v>
                </c:pt>
                <c:pt idx="330">
                  <c:v>11.059089408127498</c:v>
                </c:pt>
                <c:pt idx="331">
                  <c:v>10.985832035736998</c:v>
                </c:pt>
                <c:pt idx="332">
                  <c:v>10.912876505231317</c:v>
                </c:pt>
                <c:pt idx="333">
                  <c:v>10.840153427671417</c:v>
                </c:pt>
                <c:pt idx="334">
                  <c:v>10.767706171144198</c:v>
                </c:pt>
                <c:pt idx="335">
                  <c:v>10.695552082884419</c:v>
                </c:pt>
                <c:pt idx="336">
                  <c:v>10.623666876763416</c:v>
                </c:pt>
                <c:pt idx="337">
                  <c:v>10.552054022228141</c:v>
                </c:pt>
                <c:pt idx="338">
                  <c:v>10.480736070683783</c:v>
                </c:pt>
                <c:pt idx="339">
                  <c:v>10.409699144342532</c:v>
                </c:pt>
                <c:pt idx="340">
                  <c:v>10.338936304310486</c:v>
                </c:pt>
                <c:pt idx="341">
                  <c:v>10.268478775610212</c:v>
                </c:pt>
                <c:pt idx="342">
                  <c:v>10.198272781813955</c:v>
                </c:pt>
                <c:pt idx="343">
                  <c:v>10.12838077296685</c:v>
                </c:pt>
                <c:pt idx="344">
                  <c:v>10.058762850428948</c:v>
                </c:pt>
                <c:pt idx="345">
                  <c:v>9.9894328919880593</c:v>
                </c:pt>
                <c:pt idx="346">
                  <c:v>9.9204065101554662</c:v>
                </c:pt>
                <c:pt idx="347">
                  <c:v>9.8516715618668371</c:v>
                </c:pt>
                <c:pt idx="348">
                  <c:v>9.7832263123986962</c:v>
                </c:pt>
                <c:pt idx="349">
                  <c:v>9.7150915784327552</c:v>
                </c:pt>
                <c:pt idx="350">
                  <c:v>9.6472205224351626</c:v>
                </c:pt>
                <c:pt idx="351">
                  <c:v>9.5796755944510537</c:v>
                </c:pt>
                <c:pt idx="352">
                  <c:v>9.5123960791587692</c:v>
                </c:pt>
                <c:pt idx="353">
                  <c:v>9.4454409571564923</c:v>
                </c:pt>
                <c:pt idx="354">
                  <c:v>9.3787772686981796</c:v>
                </c:pt>
                <c:pt idx="355">
                  <c:v>9.3123998096134031</c:v>
                </c:pt>
                <c:pt idx="356">
                  <c:v>9.246358886882966</c:v>
                </c:pt>
                <c:pt idx="357">
                  <c:v>9.1805885810147814</c:v>
                </c:pt>
                <c:pt idx="358">
                  <c:v>9.1151305253722725</c:v>
                </c:pt>
                <c:pt idx="359">
                  <c:v>9.0499829852319635</c:v>
                </c:pt>
                <c:pt idx="360">
                  <c:v>8.9851476953173304</c:v>
                </c:pt>
                <c:pt idx="361">
                  <c:v>8.9205934306058055</c:v>
                </c:pt>
                <c:pt idx="362">
                  <c:v>8.8563583550138603</c:v>
                </c:pt>
                <c:pt idx="363">
                  <c:v>8.792430325477163</c:v>
                </c:pt>
                <c:pt idx="364">
                  <c:v>8.7287937294844298</c:v>
                </c:pt>
                <c:pt idx="365">
                  <c:v>8.6654641795469445</c:v>
                </c:pt>
                <c:pt idx="366">
                  <c:v>8.6024624923464188</c:v>
                </c:pt>
                <c:pt idx="367">
                  <c:v>8.5397522386898572</c:v>
                </c:pt>
                <c:pt idx="368">
                  <c:v>8.4773594394293994</c:v>
                </c:pt>
                <c:pt idx="369">
                  <c:v>8.4152788903946174</c:v>
                </c:pt>
                <c:pt idx="370">
                  <c:v>8.3534967137977034</c:v>
                </c:pt>
                <c:pt idx="371">
                  <c:v>8.2920267874264653</c:v>
                </c:pt>
                <c:pt idx="372">
                  <c:v>8.2308777848982828</c:v>
                </c:pt>
                <c:pt idx="373">
                  <c:v>8.1700323589783963</c:v>
                </c:pt>
                <c:pt idx="374">
                  <c:v>8.1094922443902817</c:v>
                </c:pt>
                <c:pt idx="375">
                  <c:v>8.0492643800278429</c:v>
                </c:pt>
                <c:pt idx="376">
                  <c:v>7.9893418269971761</c:v>
                </c:pt>
                <c:pt idx="377">
                  <c:v>7.9297263200217571</c:v>
                </c:pt>
                <c:pt idx="378">
                  <c:v>7.8704334716128699</c:v>
                </c:pt>
                <c:pt idx="379">
                  <c:v>7.8114615470470383</c:v>
                </c:pt>
                <c:pt idx="380">
                  <c:v>7.7527879949190748</c:v>
                </c:pt>
                <c:pt idx="381">
                  <c:v>7.694430162463739</c:v>
                </c:pt>
                <c:pt idx="382">
                  <c:v>7.6363741718932232</c:v>
                </c:pt>
                <c:pt idx="383">
                  <c:v>7.5786252273779553</c:v>
                </c:pt>
                <c:pt idx="384">
                  <c:v>7.5212162886639788</c:v>
                </c:pt>
                <c:pt idx="385">
                  <c:v>7.4641022529409184</c:v>
                </c:pt>
                <c:pt idx="386">
                  <c:v>7.4073039368904858</c:v>
                </c:pt>
                <c:pt idx="387">
                  <c:v>7.3507935849370654</c:v>
                </c:pt>
                <c:pt idx="388">
                  <c:v>7.2946180346145084</c:v>
                </c:pt>
                <c:pt idx="389">
                  <c:v>7.2387425914532955</c:v>
                </c:pt>
                <c:pt idx="390">
                  <c:v>7.1831811332412343</c:v>
                </c:pt>
                <c:pt idx="391">
                  <c:v>7.1279388641487529</c:v>
                </c:pt>
                <c:pt idx="392">
                  <c:v>7.0729793549828557</c:v>
                </c:pt>
                <c:pt idx="393">
                  <c:v>7.0183477085539181</c:v>
                </c:pt>
                <c:pt idx="394">
                  <c:v>6.9640213734567524</c:v>
                </c:pt>
                <c:pt idx="395">
                  <c:v>6.9100246358200224</c:v>
                </c:pt>
                <c:pt idx="396">
                  <c:v>6.8563193317272564</c:v>
                </c:pt>
                <c:pt idx="397">
                  <c:v>6.8029332167540701</c:v>
                </c:pt>
                <c:pt idx="398">
                  <c:v>6.749836800601372</c:v>
                </c:pt>
                <c:pt idx="399">
                  <c:v>6.6970456957804458</c:v>
                </c:pt>
                <c:pt idx="400">
                  <c:v>6.6445789842495273</c:v>
                </c:pt>
                <c:pt idx="401">
                  <c:v>6.5924158493269047</c:v>
                </c:pt>
                <c:pt idx="402">
                  <c:v>6.5405406785012943</c:v>
                </c:pt>
                <c:pt idx="403">
                  <c:v>6.4889951051361194</c:v>
                </c:pt>
                <c:pt idx="404">
                  <c:v>6.4377557104644545</c:v>
                </c:pt>
                <c:pt idx="405">
                  <c:v>6.3867964736341598</c:v>
                </c:pt>
                <c:pt idx="406">
                  <c:v>6.3361616300938728</c:v>
                </c:pt>
                <c:pt idx="407">
                  <c:v>6.2858373020557856</c:v>
                </c:pt>
                <c:pt idx="408">
                  <c:v>6.2358156832642564</c:v>
                </c:pt>
                <c:pt idx="409">
                  <c:v>6.1860907021871192</c:v>
                </c:pt>
                <c:pt idx="410">
                  <c:v>6.1366510831217802</c:v>
                </c:pt>
                <c:pt idx="411">
                  <c:v>6.087528051090807</c:v>
                </c:pt>
                <c:pt idx="412">
                  <c:v>6.0387164019237716</c:v>
                </c:pt>
                <c:pt idx="413">
                  <c:v>5.9901909821302723</c:v>
                </c:pt>
                <c:pt idx="414">
                  <c:v>5.941974343115497</c:v>
                </c:pt>
                <c:pt idx="415">
                  <c:v>5.8940526070916377</c:v>
                </c:pt>
                <c:pt idx="416">
                  <c:v>5.8464266414204324</c:v>
                </c:pt>
                <c:pt idx="417">
                  <c:v>5.7990860377610254</c:v>
                </c:pt>
                <c:pt idx="418">
                  <c:v>5.752067225306412</c:v>
                </c:pt>
                <c:pt idx="419">
                  <c:v>5.705323366522741</c:v>
                </c:pt>
                <c:pt idx="420">
                  <c:v>5.6588900232412698</c:v>
                </c:pt>
                <c:pt idx="421">
                  <c:v>5.6127524503124526</c:v>
                </c:pt>
                <c:pt idx="422">
                  <c:v>5.5668880963311018</c:v>
                </c:pt>
                <c:pt idx="423">
                  <c:v>5.5213455335545447</c:v>
                </c:pt>
                <c:pt idx="424">
                  <c:v>5.4760805265341439</c:v>
                </c:pt>
                <c:pt idx="425">
                  <c:v>5.4311060856959692</c:v>
                </c:pt>
                <c:pt idx="426">
                  <c:v>5.3864291499339245</c:v>
                </c:pt>
                <c:pt idx="427">
                  <c:v>5.3420280352045602</c:v>
                </c:pt>
                <c:pt idx="428">
                  <c:v>5.2979296297217537</c:v>
                </c:pt>
                <c:pt idx="429">
                  <c:v>5.2541087799951036</c:v>
                </c:pt>
                <c:pt idx="430">
                  <c:v>5.2105941089619634</c:v>
                </c:pt>
                <c:pt idx="431">
                  <c:v>5.1673552589615035</c:v>
                </c:pt>
                <c:pt idx="432">
                  <c:v>5.1243948320789379</c:v>
                </c:pt>
                <c:pt idx="433">
                  <c:v>5.0817319102725023</c:v>
                </c:pt>
                <c:pt idx="434">
                  <c:v>5.039343942137009</c:v>
                </c:pt>
                <c:pt idx="435">
                  <c:v>4.9972144477994362</c:v>
                </c:pt>
                <c:pt idx="436">
                  <c:v>4.9553980710492773</c:v>
                </c:pt>
                <c:pt idx="437">
                  <c:v>4.9138531785231088</c:v>
                </c:pt>
                <c:pt idx="438">
                  <c:v>4.8725875764765725</c:v>
                </c:pt>
                <c:pt idx="439">
                  <c:v>4.8315995301861925</c:v>
                </c:pt>
                <c:pt idx="440">
                  <c:v>4.7908994479928246</c:v>
                </c:pt>
                <c:pt idx="441">
                  <c:v>4.7504751868321371</c:v>
                </c:pt>
                <c:pt idx="442">
                  <c:v>4.7103093994693701</c:v>
                </c:pt>
                <c:pt idx="443">
                  <c:v>4.6704315762036153</c:v>
                </c:pt>
                <c:pt idx="444">
                  <c:v>4.6308235024383748</c:v>
                </c:pt>
                <c:pt idx="445">
                  <c:v>4.5915042601318845</c:v>
                </c:pt>
                <c:pt idx="446">
                  <c:v>4.5524460937085287</c:v>
                </c:pt>
                <c:pt idx="447">
                  <c:v>4.5136342580187616</c:v>
                </c:pt>
                <c:pt idx="448">
                  <c:v>4.4751242642138145</c:v>
                </c:pt>
                <c:pt idx="449">
                  <c:v>4.4368545296102901</c:v>
                </c:pt>
                <c:pt idx="450">
                  <c:v>4.3988779632742059</c:v>
                </c:pt>
                <c:pt idx="451">
                  <c:v>4.3611607380977802</c:v>
                </c:pt>
                <c:pt idx="452">
                  <c:v>4.323699384634061</c:v>
                </c:pt>
                <c:pt idx="453">
                  <c:v>4.2865051785856423</c:v>
                </c:pt>
                <c:pt idx="454">
                  <c:v>4.2495963345490217</c:v>
                </c:pt>
                <c:pt idx="455">
                  <c:v>4.2129199434581821</c:v>
                </c:pt>
                <c:pt idx="456">
                  <c:v>4.1765193734000228</c:v>
                </c:pt>
                <c:pt idx="457">
                  <c:v>4.1403798792249979</c:v>
                </c:pt>
                <c:pt idx="458">
                  <c:v>4.1044667664635881</c:v>
                </c:pt>
                <c:pt idx="459">
                  <c:v>4.0688485566930943</c:v>
                </c:pt>
                <c:pt idx="460">
                  <c:v>4.0334758102944512</c:v>
                </c:pt>
                <c:pt idx="461">
                  <c:v>3.9983615376937287</c:v>
                </c:pt>
                <c:pt idx="462">
                  <c:v>3.9634918611031189</c:v>
                </c:pt>
                <c:pt idx="463">
                  <c:v>3.9288771888634777</c:v>
                </c:pt>
                <c:pt idx="464">
                  <c:v>3.8945331334860889</c:v>
                </c:pt>
                <c:pt idx="465">
                  <c:v>3.8604033164579832</c:v>
                </c:pt>
                <c:pt idx="466">
                  <c:v>3.8265614635268896</c:v>
                </c:pt>
                <c:pt idx="467">
                  <c:v>3.792948594094625</c:v>
                </c:pt>
                <c:pt idx="468">
                  <c:v>3.7595829227576871</c:v>
                </c:pt>
                <c:pt idx="469">
                  <c:v>3.7264661842395519</c:v>
                </c:pt>
                <c:pt idx="470">
                  <c:v>3.6935827660289355</c:v>
                </c:pt>
                <c:pt idx="471">
                  <c:v>3.6609578216162397</c:v>
                </c:pt>
                <c:pt idx="472">
                  <c:v>3.6285618607023729</c:v>
                </c:pt>
                <c:pt idx="473">
                  <c:v>3.5964261083099025</c:v>
                </c:pt>
                <c:pt idx="474">
                  <c:v>3.5645045942667153</c:v>
                </c:pt>
                <c:pt idx="475">
                  <c:v>3.5328389519362347</c:v>
                </c:pt>
                <c:pt idx="476">
                  <c:v>3.5014153035306528</c:v>
                </c:pt>
                <c:pt idx="477">
                  <c:v>3.4702180365386859</c:v>
                </c:pt>
                <c:pt idx="478">
                  <c:v>3.4392549572159758</c:v>
                </c:pt>
                <c:pt idx="479">
                  <c:v>3.4085260655625227</c:v>
                </c:pt>
                <c:pt idx="480">
                  <c:v>3.3780356983870163</c:v>
                </c:pt>
                <c:pt idx="481">
                  <c:v>3.347769110539911</c:v>
                </c:pt>
                <c:pt idx="482">
                  <c:v>3.3177393124472765</c:v>
                </c:pt>
                <c:pt idx="483">
                  <c:v>3.2879489061943268</c:v>
                </c:pt>
                <c:pt idx="484">
                  <c:v>3.2583649320350183</c:v>
                </c:pt>
                <c:pt idx="485">
                  <c:v>3.2290181813110497</c:v>
                </c:pt>
                <c:pt idx="486">
                  <c:v>3.199897378319827</c:v>
                </c:pt>
                <c:pt idx="487">
                  <c:v>3.1710029567422193</c:v>
                </c:pt>
                <c:pt idx="488">
                  <c:v>3.1423275440034537</c:v>
                </c:pt>
                <c:pt idx="489">
                  <c:v>3.1138707064226612</c:v>
                </c:pt>
                <c:pt idx="490">
                  <c:v>3.0856276735102828</c:v>
                </c:pt>
                <c:pt idx="491">
                  <c:v>3.0576140577776023</c:v>
                </c:pt>
                <c:pt idx="492">
                  <c:v>3.0298307265863578</c:v>
                </c:pt>
                <c:pt idx="493">
                  <c:v>3.0022542611696235</c:v>
                </c:pt>
                <c:pt idx="494">
                  <c:v>2.9748933351447793</c:v>
                </c:pt>
                <c:pt idx="495">
                  <c:v>2.9477332033622794</c:v>
                </c:pt>
                <c:pt idx="496">
                  <c:v>2.9208046571638224</c:v>
                </c:pt>
                <c:pt idx="497">
                  <c:v>2.8940769052077098</c:v>
                </c:pt>
                <c:pt idx="498">
                  <c:v>2.8675707641756532</c:v>
                </c:pt>
                <c:pt idx="499">
                  <c:v>2.8412680194711548</c:v>
                </c:pt>
                <c:pt idx="500">
                  <c:v>2.8151808141585466</c:v>
                </c:pt>
                <c:pt idx="501">
                  <c:v>2.7892961378117587</c:v>
                </c:pt>
                <c:pt idx="502">
                  <c:v>2.7636109546647081</c:v>
                </c:pt>
                <c:pt idx="503">
                  <c:v>2.7381413109095476</c:v>
                </c:pt>
                <c:pt idx="504">
                  <c:v>2.7128685582689105</c:v>
                </c:pt>
                <c:pt idx="505">
                  <c:v>2.6878031050836526</c:v>
                </c:pt>
                <c:pt idx="506">
                  <c:v>2.6629202315442413</c:v>
                </c:pt>
                <c:pt idx="507">
                  <c:v>2.6382828213766807</c:v>
                </c:pt>
                <c:pt idx="508">
                  <c:v>2.6138102099393379</c:v>
                </c:pt>
                <c:pt idx="509">
                  <c:v>2.5895297191269595</c:v>
                </c:pt>
                <c:pt idx="510">
                  <c:v>2.5654539256847464</c:v>
                </c:pt>
                <c:pt idx="511">
                  <c:v>2.5415784928040086</c:v>
                </c:pt>
                <c:pt idx="512">
                  <c:v>2.5178752312282615</c:v>
                </c:pt>
                <c:pt idx="513">
                  <c:v>2.4944000857896054</c:v>
                </c:pt>
                <c:pt idx="514">
                  <c:v>2.4711031831881058</c:v>
                </c:pt>
                <c:pt idx="515">
                  <c:v>2.4479849571046319</c:v>
                </c:pt>
                <c:pt idx="516">
                  <c:v>2.4250601526887294</c:v>
                </c:pt>
                <c:pt idx="517">
                  <c:v>2.4023478518986341</c:v>
                </c:pt>
                <c:pt idx="518">
                  <c:v>2.3797834362848658</c:v>
                </c:pt>
                <c:pt idx="519">
                  <c:v>2.3574193812325728</c:v>
                </c:pt>
                <c:pt idx="520">
                  <c:v>2.3352422426348163</c:v>
                </c:pt>
                <c:pt idx="521">
                  <c:v>2.3132472500020373</c:v>
                </c:pt>
                <c:pt idx="522">
                  <c:v>2.2914521842498647</c:v>
                </c:pt>
                <c:pt idx="523">
                  <c:v>2.269816713057482</c:v>
                </c:pt>
                <c:pt idx="524">
                  <c:v>2.2483664235961598</c:v>
                </c:pt>
                <c:pt idx="525">
                  <c:v>2.2271030505893741</c:v>
                </c:pt>
                <c:pt idx="526">
                  <c:v>2.206017920419745</c:v>
                </c:pt>
                <c:pt idx="527">
                  <c:v>2.1850980226612027</c:v>
                </c:pt>
                <c:pt idx="528">
                  <c:v>2.1643494288459131</c:v>
                </c:pt>
                <c:pt idx="529">
                  <c:v>2.1437743073782212</c:v>
                </c:pt>
                <c:pt idx="530">
                  <c:v>2.1233917402163627</c:v>
                </c:pt>
                <c:pt idx="531">
                  <c:v>2.103172670742115</c:v>
                </c:pt>
                <c:pt idx="532">
                  <c:v>2.0831123284659192</c:v>
                </c:pt>
                <c:pt idx="533">
                  <c:v>2.063229795346011</c:v>
                </c:pt>
                <c:pt idx="534">
                  <c:v>2.0435207345737005</c:v>
                </c:pt>
                <c:pt idx="535">
                  <c:v>2.023961293701193</c:v>
                </c:pt>
                <c:pt idx="536">
                  <c:v>2.0045857335171391</c:v>
                </c:pt>
                <c:pt idx="537">
                  <c:v>1.985370635254613</c:v>
                </c:pt>
                <c:pt idx="538">
                  <c:v>1.9663268409353396</c:v>
                </c:pt>
                <c:pt idx="539">
                  <c:v>1.9474291970689173</c:v>
                </c:pt>
                <c:pt idx="540">
                  <c:v>1.9287163012526864</c:v>
                </c:pt>
                <c:pt idx="541">
                  <c:v>1.910125703441512</c:v>
                </c:pt>
                <c:pt idx="542">
                  <c:v>1.8917302620213849</c:v>
                </c:pt>
                <c:pt idx="543">
                  <c:v>1.8734631901384802</c:v>
                </c:pt>
                <c:pt idx="544">
                  <c:v>1.8553886725614088</c:v>
                </c:pt>
                <c:pt idx="545">
                  <c:v>1.8374442592450357</c:v>
                </c:pt>
                <c:pt idx="546">
                  <c:v>1.8196737519571293</c:v>
                </c:pt>
                <c:pt idx="547">
                  <c:v>1.8020294458021002</c:v>
                </c:pt>
                <c:pt idx="548">
                  <c:v>1.7845664182503107</c:v>
                </c:pt>
                <c:pt idx="549">
                  <c:v>1.7672360970444334</c:v>
                </c:pt>
                <c:pt idx="550">
                  <c:v>1.7500701408879049</c:v>
                </c:pt>
                <c:pt idx="551">
                  <c:v>1.7330407942051096</c:v>
                </c:pt>
                <c:pt idx="552">
                  <c:v>1.7161723431247111</c:v>
                </c:pt>
                <c:pt idx="553">
                  <c:v>1.6994500424971637</c:v>
                </c:pt>
                <c:pt idx="554">
                  <c:v>1.6828582798111835</c:v>
                </c:pt>
                <c:pt idx="555">
                  <c:v>1.6664200401528273</c:v>
                </c:pt>
                <c:pt idx="556">
                  <c:v>1.6501513697142478</c:v>
                </c:pt>
                <c:pt idx="557">
                  <c:v>1.6339974078655173</c:v>
                </c:pt>
                <c:pt idx="558">
                  <c:v>1.6179932827570243</c:v>
                </c:pt>
                <c:pt idx="559">
                  <c:v>1.60212121347314</c:v>
                </c:pt>
                <c:pt idx="560">
                  <c:v>1.5863972462060172</c:v>
                </c:pt>
                <c:pt idx="561">
                  <c:v>1.570814875742621</c:v>
                </c:pt>
                <c:pt idx="562">
                  <c:v>1.5553649947847026</c:v>
                </c:pt>
                <c:pt idx="563">
                  <c:v>1.5400521569813863</c:v>
                </c:pt>
                <c:pt idx="564">
                  <c:v>1.5248867706735281</c:v>
                </c:pt>
                <c:pt idx="565">
                  <c:v>1.5098445497324642</c:v>
                </c:pt>
                <c:pt idx="566">
                  <c:v>1.4949367698607885</c:v>
                </c:pt>
                <c:pt idx="567">
                  <c:v>1.4801684183884944</c:v>
                </c:pt>
                <c:pt idx="568">
                  <c:v>1.4655310385386366</c:v>
                </c:pt>
                <c:pt idx="569">
                  <c:v>1.4510330870881605</c:v>
                </c:pt>
                <c:pt idx="570">
                  <c:v>1.4366461579401468</c:v>
                </c:pt>
                <c:pt idx="571">
                  <c:v>1.4224038613619427</c:v>
                </c:pt>
                <c:pt idx="572">
                  <c:v>1.4082736712883737</c:v>
                </c:pt>
                <c:pt idx="573">
                  <c:v>1.3942857285398347</c:v>
                </c:pt>
                <c:pt idx="574">
                  <c:v>1.3804163975089656</c:v>
                </c:pt>
                <c:pt idx="575">
                  <c:v>1.3666890969626921</c:v>
                </c:pt>
                <c:pt idx="576">
                  <c:v>1.3530626272184598</c:v>
                </c:pt>
                <c:pt idx="577">
                  <c:v>1.3395764532353471</c:v>
                </c:pt>
                <c:pt idx="578">
                  <c:v>1.3261989163099175</c:v>
                </c:pt>
                <c:pt idx="579">
                  <c:v>1.3129360879743368</c:v>
                </c:pt>
                <c:pt idx="580">
                  <c:v>1.2998042312611924</c:v>
                </c:pt>
                <c:pt idx="581">
                  <c:v>1.2868046472130912</c:v>
                </c:pt>
                <c:pt idx="582">
                  <c:v>1.2739130497013695</c:v>
                </c:pt>
                <c:pt idx="583">
                  <c:v>1.2611417986307938</c:v>
                </c:pt>
                <c:pt idx="584">
                  <c:v>1.2484744141283421</c:v>
                </c:pt>
                <c:pt idx="585">
                  <c:v>1.2359338812800713</c:v>
                </c:pt>
                <c:pt idx="586">
                  <c:v>1.2235076233407804</c:v>
                </c:pt>
                <c:pt idx="587">
                  <c:v>1.2112045307682839</c:v>
                </c:pt>
                <c:pt idx="588">
                  <c:v>1.1989990163913111</c:v>
                </c:pt>
                <c:pt idx="589">
                  <c:v>1.1869175347428707</c:v>
                </c:pt>
                <c:pt idx="590">
                  <c:v>1.1749344986516919</c:v>
                </c:pt>
                <c:pt idx="591">
                  <c:v>1.1630880720342462</c:v>
                </c:pt>
                <c:pt idx="592">
                  <c:v>1.1513353204845034</c:v>
                </c:pt>
                <c:pt idx="593">
                  <c:v>1.1396805808111532</c:v>
                </c:pt>
                <c:pt idx="594">
                  <c:v>1.1281466212598179</c:v>
                </c:pt>
                <c:pt idx="595">
                  <c:v>1.1166937600309845</c:v>
                </c:pt>
                <c:pt idx="596">
                  <c:v>1.1053883502976092</c:v>
                </c:pt>
                <c:pt idx="597">
                  <c:v>1.0941644725676047</c:v>
                </c:pt>
                <c:pt idx="598">
                  <c:v>1.0830453287674624</c:v>
                </c:pt>
                <c:pt idx="599">
                  <c:v>1.0720315694184857</c:v>
                </c:pt>
                <c:pt idx="600">
                  <c:v>1.0611281818506679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80-44FF-AA2E-B6D808C01793}"/>
            </c:ext>
          </c:extLst>
        </c:ser>
        <c:ser>
          <c:idx val="2"/>
          <c:order val="2"/>
          <c:tx>
            <c:strRef>
              <c:f>MarketFit!$U$4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MarketFit!$U$5:$U$605</c:f>
              <c:numCache>
                <c:formatCode>0</c:formatCode>
                <c:ptCount val="601"/>
                <c:pt idx="0">
                  <c:v>16.053907335444872</c:v>
                </c:pt>
                <c:pt idx="1">
                  <c:v>16.146716776133108</c:v>
                </c:pt>
                <c:pt idx="2">
                  <c:v>16.239437312243201</c:v>
                </c:pt>
                <c:pt idx="3">
                  <c:v>16.332061571200374</c:v>
                </c:pt>
                <c:pt idx="4">
                  <c:v>16.424582180429859</c:v>
                </c:pt>
                <c:pt idx="5">
                  <c:v>16.516986563186453</c:v>
                </c:pt>
                <c:pt idx="6">
                  <c:v>16.609271250023205</c:v>
                </c:pt>
                <c:pt idx="7">
                  <c:v>16.701427567322735</c:v>
                </c:pt>
                <c:pt idx="8">
                  <c:v>16.793450310914615</c:v>
                </c:pt>
                <c:pt idx="9">
                  <c:v>16.885326904053645</c:v>
                </c:pt>
                <c:pt idx="10">
                  <c:v>16.977051275207657</c:v>
                </c:pt>
                <c:pt idx="11">
                  <c:v>17.068615184440141</c:v>
                </c:pt>
                <c:pt idx="12">
                  <c:v>17.160014294942407</c:v>
                </c:pt>
                <c:pt idx="13">
                  <c:v>17.251233427884038</c:v>
                </c:pt>
                <c:pt idx="14">
                  <c:v>17.342273450626777</c:v>
                </c:pt>
                <c:pt idx="15">
                  <c:v>17.433118316978469</c:v>
                </c:pt>
                <c:pt idx="16">
                  <c:v>17.523765424853899</c:v>
                </c:pt>
                <c:pt idx="17">
                  <c:v>17.614200462784392</c:v>
                </c:pt>
                <c:pt idx="18">
                  <c:v>17.704422997089075</c:v>
                </c:pt>
                <c:pt idx="19">
                  <c:v>17.794421752065361</c:v>
                </c:pt>
                <c:pt idx="20">
                  <c:v>17.884187186734124</c:v>
                </c:pt>
                <c:pt idx="21">
                  <c:v>17.973713229563206</c:v>
                </c:pt>
                <c:pt idx="22">
                  <c:v>18.062990773254352</c:v>
                </c:pt>
                <c:pt idx="23">
                  <c:v>18.152012011551921</c:v>
                </c:pt>
                <c:pt idx="24">
                  <c:v>18.240766969795931</c:v>
                </c:pt>
                <c:pt idx="25">
                  <c:v>18.329251311177686</c:v>
                </c:pt>
                <c:pt idx="26">
                  <c:v>18.417453759994597</c:v>
                </c:pt>
                <c:pt idx="27">
                  <c:v>18.505366943671888</c:v>
                </c:pt>
                <c:pt idx="28">
                  <c:v>18.592983923315654</c:v>
                </c:pt>
                <c:pt idx="29">
                  <c:v>18.680293856904175</c:v>
                </c:pt>
                <c:pt idx="30">
                  <c:v>18.76729110658615</c:v>
                </c:pt>
                <c:pt idx="31">
                  <c:v>18.853965697701593</c:v>
                </c:pt>
                <c:pt idx="32">
                  <c:v>18.940311125037468</c:v>
                </c:pt>
                <c:pt idx="33">
                  <c:v>19.026315679210317</c:v>
                </c:pt>
                <c:pt idx="34">
                  <c:v>19.111977191815789</c:v>
                </c:pt>
                <c:pt idx="35">
                  <c:v>19.197284387151292</c:v>
                </c:pt>
                <c:pt idx="36">
                  <c:v>19.282225989514234</c:v>
                </c:pt>
                <c:pt idx="37">
                  <c:v>19.36679983050027</c:v>
                </c:pt>
                <c:pt idx="38">
                  <c:v>19.450992899683328</c:v>
                </c:pt>
                <c:pt idx="39">
                  <c:v>19.534798258169506</c:v>
                </c:pt>
                <c:pt idx="40">
                  <c:v>19.61820809970316</c:v>
                </c:pt>
                <c:pt idx="41">
                  <c:v>19.701213750666913</c:v>
                </c:pt>
                <c:pt idx="42">
                  <c:v>19.783808705847729</c:v>
                </c:pt>
                <c:pt idx="43">
                  <c:v>19.86598646003257</c:v>
                </c:pt>
                <c:pt idx="44">
                  <c:v>19.947733569114501</c:v>
                </c:pt>
                <c:pt idx="45">
                  <c:v>20.029044395242224</c:v>
                </c:pt>
                <c:pt idx="46">
                  <c:v>20.109914601607048</c:v>
                </c:pt>
                <c:pt idx="47">
                  <c:v>20.190329443059429</c:v>
                </c:pt>
                <c:pt idx="48">
                  <c:v>20.270285450152414</c:v>
                </c:pt>
                <c:pt idx="49">
                  <c:v>20.34977134718341</c:v>
                </c:pt>
                <c:pt idx="50">
                  <c:v>20.428784098386334</c:v>
                </c:pt>
                <c:pt idx="51">
                  <c:v>20.507310693335114</c:v>
                </c:pt>
                <c:pt idx="52">
                  <c:v>20.585348529944536</c:v>
                </c:pt>
                <c:pt idx="53">
                  <c:v>20.662883730426795</c:v>
                </c:pt>
                <c:pt idx="54">
                  <c:v>20.739910656930594</c:v>
                </c:pt>
                <c:pt idx="55">
                  <c:v>20.816426707370717</c:v>
                </c:pt>
                <c:pt idx="56">
                  <c:v>20.892413233469799</c:v>
                </c:pt>
                <c:pt idx="57">
                  <c:v>20.96787327099392</c:v>
                </c:pt>
                <c:pt idx="58">
                  <c:v>21.042790340070063</c:v>
                </c:pt>
                <c:pt idx="59">
                  <c:v>21.11716530805996</c:v>
                </c:pt>
                <c:pt idx="60">
                  <c:v>21.190984730856677</c:v>
                </c:pt>
                <c:pt idx="61">
                  <c:v>21.264243404289786</c:v>
                </c:pt>
                <c:pt idx="62">
                  <c:v>21.336927016890606</c:v>
                </c:pt>
                <c:pt idx="63">
                  <c:v>21.409037303382618</c:v>
                </c:pt>
                <c:pt idx="64">
                  <c:v>21.480563421744094</c:v>
                </c:pt>
                <c:pt idx="65">
                  <c:v>21.551497132038524</c:v>
                </c:pt>
                <c:pt idx="66">
                  <c:v>21.621832362733741</c:v>
                </c:pt>
                <c:pt idx="67">
                  <c:v>21.691559572850629</c:v>
                </c:pt>
                <c:pt idx="68">
                  <c:v>21.760670956133545</c:v>
                </c:pt>
                <c:pt idx="69">
                  <c:v>21.829164344178142</c:v>
                </c:pt>
                <c:pt idx="70">
                  <c:v>21.897022823430536</c:v>
                </c:pt>
                <c:pt idx="71">
                  <c:v>21.964251598061146</c:v>
                </c:pt>
                <c:pt idx="72">
                  <c:v>22.030837657643911</c:v>
                </c:pt>
                <c:pt idx="73">
                  <c:v>22.096770593837967</c:v>
                </c:pt>
                <c:pt idx="74">
                  <c:v>22.162046069834631</c:v>
                </c:pt>
                <c:pt idx="75">
                  <c:v>22.226655412016516</c:v>
                </c:pt>
                <c:pt idx="76">
                  <c:v>22.290597319341021</c:v>
                </c:pt>
                <c:pt idx="77">
                  <c:v>22.35386138346729</c:v>
                </c:pt>
                <c:pt idx="78">
                  <c:v>22.416438497097069</c:v>
                </c:pt>
                <c:pt idx="79">
                  <c:v>22.478325190783412</c:v>
                </c:pt>
                <c:pt idx="80">
                  <c:v>22.539514525632409</c:v>
                </c:pt>
                <c:pt idx="81">
                  <c:v>22.599996526984079</c:v>
                </c:pt>
                <c:pt idx="82">
                  <c:v>22.659767291710597</c:v>
                </c:pt>
                <c:pt idx="83">
                  <c:v>22.718821181960671</c:v>
                </c:pt>
                <c:pt idx="84">
                  <c:v>22.777149957797782</c:v>
                </c:pt>
                <c:pt idx="85">
                  <c:v>22.834749282413249</c:v>
                </c:pt>
                <c:pt idx="86">
                  <c:v>22.891611783232293</c:v>
                </c:pt>
                <c:pt idx="87">
                  <c:v>22.947731388722747</c:v>
                </c:pt>
                <c:pt idx="88">
                  <c:v>23.003099425267237</c:v>
                </c:pt>
                <c:pt idx="89">
                  <c:v>23.057715892865762</c:v>
                </c:pt>
                <c:pt idx="90">
                  <c:v>23.111563877964425</c:v>
                </c:pt>
                <c:pt idx="91">
                  <c:v>23.164650319457138</c:v>
                </c:pt>
                <c:pt idx="92">
                  <c:v>23.216962206917824</c:v>
                </c:pt>
                <c:pt idx="93">
                  <c:v>23.268494769856929</c:v>
                </c:pt>
                <c:pt idx="94">
                  <c:v>23.31923976833794</c:v>
                </c:pt>
                <c:pt idx="95">
                  <c:v>23.369198069722597</c:v>
                </c:pt>
                <c:pt idx="96">
                  <c:v>23.418360133031779</c:v>
                </c:pt>
                <c:pt idx="97">
                  <c:v>23.466719886733323</c:v>
                </c:pt>
                <c:pt idx="98">
                  <c:v>23.514271259295061</c:v>
                </c:pt>
                <c:pt idx="99">
                  <c:v>23.56101164863178</c:v>
                </c:pt>
                <c:pt idx="100">
                  <c:v>23.606933248487838</c:v>
                </c:pt>
                <c:pt idx="101">
                  <c:v>23.652037793586711</c:v>
                </c:pt>
                <c:pt idx="102">
                  <c:v>23.696307069331901</c:v>
                </c:pt>
                <c:pt idx="103">
                  <c:v>23.739748014617312</c:v>
                </c:pt>
                <c:pt idx="104">
                  <c:v>23.782351088463827</c:v>
                </c:pt>
                <c:pt idx="105">
                  <c:v>23.824112821424492</c:v>
                </c:pt>
                <c:pt idx="106">
                  <c:v>23.865027141967143</c:v>
                </c:pt>
                <c:pt idx="107">
                  <c:v>23.90508971328309</c:v>
                </c:pt>
                <c:pt idx="108">
                  <c:v>23.944296198563642</c:v>
                </c:pt>
                <c:pt idx="109">
                  <c:v>23.982641393638371</c:v>
                </c:pt>
                <c:pt idx="110">
                  <c:v>24.020120961698588</c:v>
                </c:pt>
                <c:pt idx="111">
                  <c:v>24.05673577010603</c:v>
                </c:pt>
                <c:pt idx="112">
                  <c:v>24.092474543158104</c:v>
                </c:pt>
                <c:pt idx="113">
                  <c:v>24.12733728085481</c:v>
                </c:pt>
                <c:pt idx="114">
                  <c:v>24.161317911663982</c:v>
                </c:pt>
                <c:pt idx="115">
                  <c:v>24.194414700862144</c:v>
                </c:pt>
                <c:pt idx="116">
                  <c:v>24.226620709555391</c:v>
                </c:pt>
                <c:pt idx="117">
                  <c:v>24.25793333565851</c:v>
                </c:pt>
                <c:pt idx="118">
                  <c:v>24.288355181256716</c:v>
                </c:pt>
                <c:pt idx="119">
                  <c:v>24.317869766476985</c:v>
                </c:pt>
                <c:pt idx="120">
                  <c:v>24.346488367021912</c:v>
                </c:pt>
                <c:pt idx="121">
                  <c:v>24.374197972465428</c:v>
                </c:pt>
                <c:pt idx="122">
                  <c:v>24.400997715445794</c:v>
                </c:pt>
                <c:pt idx="123">
                  <c:v>24.426883259154319</c:v>
                </c:pt>
                <c:pt idx="124">
                  <c:v>24.451856338314482</c:v>
                </c:pt>
                <c:pt idx="125">
                  <c:v>24.475909146670638</c:v>
                </c:pt>
                <c:pt idx="126">
                  <c:v>24.499045153669741</c:v>
                </c:pt>
                <c:pt idx="127">
                  <c:v>24.521253083609196</c:v>
                </c:pt>
                <c:pt idx="128">
                  <c:v>24.542536405935955</c:v>
                </c:pt>
                <c:pt idx="129">
                  <c:v>24.562890783841329</c:v>
                </c:pt>
                <c:pt idx="130">
                  <c:v>24.582315349963579</c:v>
                </c:pt>
                <c:pt idx="131">
                  <c:v>24.600803165408802</c:v>
                </c:pt>
                <c:pt idx="132">
                  <c:v>24.618358566985687</c:v>
                </c:pt>
                <c:pt idx="133">
                  <c:v>24.634978952609021</c:v>
                </c:pt>
                <c:pt idx="134">
                  <c:v>24.650655648661424</c:v>
                </c:pt>
                <c:pt idx="135">
                  <c:v>24.665394726675061</c:v>
                </c:pt>
                <c:pt idx="136">
                  <c:v>24.679186645670814</c:v>
                </c:pt>
                <c:pt idx="137">
                  <c:v>24.69203747718085</c:v>
                </c:pt>
                <c:pt idx="138">
                  <c:v>24.703944619119955</c:v>
                </c:pt>
                <c:pt idx="139">
                  <c:v>24.714896795785535</c:v>
                </c:pt>
                <c:pt idx="140">
                  <c:v>24.724906150241921</c:v>
                </c:pt>
                <c:pt idx="141">
                  <c:v>24.73396574359521</c:v>
                </c:pt>
                <c:pt idx="142">
                  <c:v>24.742073841121925</c:v>
                </c:pt>
                <c:pt idx="143">
                  <c:v>24.749226973375116</c:v>
                </c:pt>
                <c:pt idx="144">
                  <c:v>24.755431211886947</c:v>
                </c:pt>
                <c:pt idx="145">
                  <c:v>24.760683087210467</c:v>
                </c:pt>
                <c:pt idx="146">
                  <c:v>24.764977395175247</c:v>
                </c:pt>
                <c:pt idx="147">
                  <c:v>24.768322809398668</c:v>
                </c:pt>
                <c:pt idx="148">
                  <c:v>24.770710656263351</c:v>
                </c:pt>
                <c:pt idx="149">
                  <c:v>24.772141803131031</c:v>
                </c:pt>
                <c:pt idx="150">
                  <c:v>24.772618852086925</c:v>
                </c:pt>
                <c:pt idx="151">
                  <c:v>24.772141803131031</c:v>
                </c:pt>
                <c:pt idx="152">
                  <c:v>24.770711523625089</c:v>
                </c:pt>
                <c:pt idx="153">
                  <c:v>24.768321074675193</c:v>
                </c:pt>
                <c:pt idx="154">
                  <c:v>24.764979129898723</c:v>
                </c:pt>
                <c:pt idx="155">
                  <c:v>24.760683954572205</c:v>
                </c:pt>
                <c:pt idx="156">
                  <c:v>24.755433813972161</c:v>
                </c:pt>
                <c:pt idx="157">
                  <c:v>24.749226973375116</c:v>
                </c:pt>
                <c:pt idx="158">
                  <c:v>24.742072973760187</c:v>
                </c:pt>
                <c:pt idx="159">
                  <c:v>24.733964008871734</c:v>
                </c:pt>
                <c:pt idx="160">
                  <c:v>24.724906150241921</c:v>
                </c:pt>
                <c:pt idx="161">
                  <c:v>24.714895928423797</c:v>
                </c:pt>
                <c:pt idx="162">
                  <c:v>24.703943751758217</c:v>
                </c:pt>
                <c:pt idx="163">
                  <c:v>24.692038344542588</c:v>
                </c:pt>
                <c:pt idx="164">
                  <c:v>24.679186645670814</c:v>
                </c:pt>
                <c:pt idx="165">
                  <c:v>24.665394726675061</c:v>
                </c:pt>
                <c:pt idx="166">
                  <c:v>24.650654781299686</c:v>
                </c:pt>
                <c:pt idx="167">
                  <c:v>24.634977217885545</c:v>
                </c:pt>
                <c:pt idx="168">
                  <c:v>24.618359434347425</c:v>
                </c:pt>
                <c:pt idx="169">
                  <c:v>24.600803165408802</c:v>
                </c:pt>
                <c:pt idx="170">
                  <c:v>24.582313615240103</c:v>
                </c:pt>
                <c:pt idx="171">
                  <c:v>24.562890783841329</c:v>
                </c:pt>
                <c:pt idx="172">
                  <c:v>24.542534671212479</c:v>
                </c:pt>
                <c:pt idx="173">
                  <c:v>24.521254818332672</c:v>
                </c:pt>
                <c:pt idx="174">
                  <c:v>24.499045153669741</c:v>
                </c:pt>
                <c:pt idx="175">
                  <c:v>24.475909146670638</c:v>
                </c:pt>
                <c:pt idx="176">
                  <c:v>24.451856338314482</c:v>
                </c:pt>
                <c:pt idx="177">
                  <c:v>24.426884126516057</c:v>
                </c:pt>
                <c:pt idx="178">
                  <c:v>24.400996848084056</c:v>
                </c:pt>
                <c:pt idx="179">
                  <c:v>24.374198839827166</c:v>
                </c:pt>
                <c:pt idx="180">
                  <c:v>24.346485764936698</c:v>
                </c:pt>
                <c:pt idx="181">
                  <c:v>24.317869766476985</c:v>
                </c:pt>
                <c:pt idx="182">
                  <c:v>24.288351711809764</c:v>
                </c:pt>
                <c:pt idx="183">
                  <c:v>24.25793333565851</c:v>
                </c:pt>
                <c:pt idx="184">
                  <c:v>24.226621576917129</c:v>
                </c:pt>
                <c:pt idx="185">
                  <c:v>24.194415568223882</c:v>
                </c:pt>
                <c:pt idx="186">
                  <c:v>24.161319646387458</c:v>
                </c:pt>
                <c:pt idx="187">
                  <c:v>24.127336413493072</c:v>
                </c:pt>
                <c:pt idx="188">
                  <c:v>24.092473675796366</c:v>
                </c:pt>
                <c:pt idx="189">
                  <c:v>24.056734035382554</c:v>
                </c:pt>
                <c:pt idx="190">
                  <c:v>24.020121829060326</c:v>
                </c:pt>
                <c:pt idx="191">
                  <c:v>23.982643128361847</c:v>
                </c:pt>
                <c:pt idx="192">
                  <c:v>23.944297933287118</c:v>
                </c:pt>
                <c:pt idx="193">
                  <c:v>23.905087978559614</c:v>
                </c:pt>
                <c:pt idx="194">
                  <c:v>23.865027141967143</c:v>
                </c:pt>
                <c:pt idx="195">
                  <c:v>23.824112821424492</c:v>
                </c:pt>
                <c:pt idx="196">
                  <c:v>23.782351088463827</c:v>
                </c:pt>
                <c:pt idx="197">
                  <c:v>23.739749749340788</c:v>
                </c:pt>
                <c:pt idx="198">
                  <c:v>23.696307936693639</c:v>
                </c:pt>
                <c:pt idx="199">
                  <c:v>23.652036058863235</c:v>
                </c:pt>
                <c:pt idx="200">
                  <c:v>23.606934983211314</c:v>
                </c:pt>
                <c:pt idx="201">
                  <c:v>23.561010781270042</c:v>
                </c:pt>
                <c:pt idx="202">
                  <c:v>23.514272126656799</c:v>
                </c:pt>
                <c:pt idx="203">
                  <c:v>23.466716417286371</c:v>
                </c:pt>
                <c:pt idx="204">
                  <c:v>23.418359265670041</c:v>
                </c:pt>
                <c:pt idx="205">
                  <c:v>23.369195467637383</c:v>
                </c:pt>
                <c:pt idx="206">
                  <c:v>23.319238900976202</c:v>
                </c:pt>
                <c:pt idx="207">
                  <c:v>23.268494769856929</c:v>
                </c:pt>
                <c:pt idx="208">
                  <c:v>23.216961339556086</c:v>
                </c:pt>
                <c:pt idx="209">
                  <c:v>23.164652054180614</c:v>
                </c:pt>
                <c:pt idx="210">
                  <c:v>23.111566046368772</c:v>
                </c:pt>
                <c:pt idx="211">
                  <c:v>23.057714591823153</c:v>
                </c:pt>
                <c:pt idx="212">
                  <c:v>23.003097256862894</c:v>
                </c:pt>
                <c:pt idx="213">
                  <c:v>22.947731388722747</c:v>
                </c:pt>
                <c:pt idx="214">
                  <c:v>22.891611349551422</c:v>
                </c:pt>
                <c:pt idx="215">
                  <c:v>22.834749282413249</c:v>
                </c:pt>
                <c:pt idx="216">
                  <c:v>22.777151692521258</c:v>
                </c:pt>
                <c:pt idx="217">
                  <c:v>22.718823784045885</c:v>
                </c:pt>
                <c:pt idx="218">
                  <c:v>22.659768159072335</c:v>
                </c:pt>
                <c:pt idx="219">
                  <c:v>22.599996960664949</c:v>
                </c:pt>
                <c:pt idx="220">
                  <c:v>22.539514091951542</c:v>
                </c:pt>
                <c:pt idx="221">
                  <c:v>22.478325190783412</c:v>
                </c:pt>
                <c:pt idx="222">
                  <c:v>22.416438497097069</c:v>
                </c:pt>
                <c:pt idx="223">
                  <c:v>22.353861817148157</c:v>
                </c:pt>
                <c:pt idx="224">
                  <c:v>22.290596885660154</c:v>
                </c:pt>
                <c:pt idx="225">
                  <c:v>22.226657580420863</c:v>
                </c:pt>
                <c:pt idx="226">
                  <c:v>22.162044768792022</c:v>
                </c:pt>
                <c:pt idx="227">
                  <c:v>22.096769292795361</c:v>
                </c:pt>
                <c:pt idx="228">
                  <c:v>22.030833754516088</c:v>
                </c:pt>
                <c:pt idx="229">
                  <c:v>21.964252465422884</c:v>
                </c:pt>
                <c:pt idx="230">
                  <c:v>21.897026726558355</c:v>
                </c:pt>
                <c:pt idx="231">
                  <c:v>21.829164344178142</c:v>
                </c:pt>
                <c:pt idx="232">
                  <c:v>21.760673124537888</c:v>
                </c:pt>
                <c:pt idx="233">
                  <c:v>21.69155827180802</c:v>
                </c:pt>
                <c:pt idx="234">
                  <c:v>21.621830628010265</c:v>
                </c:pt>
                <c:pt idx="235">
                  <c:v>21.551497132038524</c:v>
                </c:pt>
                <c:pt idx="236">
                  <c:v>21.480564289105832</c:v>
                </c:pt>
                <c:pt idx="237">
                  <c:v>21.409038604425223</c:v>
                </c:pt>
                <c:pt idx="238">
                  <c:v>21.336928751614082</c:v>
                </c:pt>
                <c:pt idx="239">
                  <c:v>21.26424166956631</c:v>
                </c:pt>
                <c:pt idx="240">
                  <c:v>21.190982996133201</c:v>
                </c:pt>
                <c:pt idx="241">
                  <c:v>21.117167476464306</c:v>
                </c:pt>
                <c:pt idx="242">
                  <c:v>21.042792508474406</c:v>
                </c:pt>
                <c:pt idx="243">
                  <c:v>20.967874138355658</c:v>
                </c:pt>
                <c:pt idx="244">
                  <c:v>20.892415835555013</c:v>
                </c:pt>
                <c:pt idx="245">
                  <c:v>20.816426273689849</c:v>
                </c:pt>
                <c:pt idx="246">
                  <c:v>20.739914560058416</c:v>
                </c:pt>
                <c:pt idx="247">
                  <c:v>20.662885031469404</c:v>
                </c:pt>
                <c:pt idx="248">
                  <c:v>20.585350264668012</c:v>
                </c:pt>
                <c:pt idx="249">
                  <c:v>20.507311994377719</c:v>
                </c:pt>
                <c:pt idx="250">
                  <c:v>20.428786266790677</c:v>
                </c:pt>
                <c:pt idx="251">
                  <c:v>20.349773081906886</c:v>
                </c:pt>
                <c:pt idx="252">
                  <c:v>20.270286751195023</c:v>
                </c:pt>
                <c:pt idx="253">
                  <c:v>20.190330310421167</c:v>
                </c:pt>
                <c:pt idx="254">
                  <c:v>20.109915035287919</c:v>
                </c:pt>
                <c:pt idx="255">
                  <c:v>20.029044395242224</c:v>
                </c:pt>
                <c:pt idx="256">
                  <c:v>19.947735303837977</c:v>
                </c:pt>
                <c:pt idx="257">
                  <c:v>19.865989062117784</c:v>
                </c:pt>
                <c:pt idx="258">
                  <c:v>19.783810006890334</c:v>
                </c:pt>
                <c:pt idx="259">
                  <c:v>19.701216352752127</c:v>
                </c:pt>
                <c:pt idx="260">
                  <c:v>19.618207232341422</c:v>
                </c:pt>
                <c:pt idx="261">
                  <c:v>19.534799125531244</c:v>
                </c:pt>
                <c:pt idx="262">
                  <c:v>19.45099203232159</c:v>
                </c:pt>
                <c:pt idx="263">
                  <c:v>19.366798529457665</c:v>
                </c:pt>
                <c:pt idx="264">
                  <c:v>19.282226856875972</c:v>
                </c:pt>
                <c:pt idx="265">
                  <c:v>19.197283953470425</c:v>
                </c:pt>
                <c:pt idx="266">
                  <c:v>19.111979793901003</c:v>
                </c:pt>
                <c:pt idx="267">
                  <c:v>19.02631784761466</c:v>
                </c:pt>
                <c:pt idx="268">
                  <c:v>18.940311558718339</c:v>
                </c:pt>
                <c:pt idx="269">
                  <c:v>18.853965264020722</c:v>
                </c:pt>
                <c:pt idx="270">
                  <c:v>18.767292407628755</c:v>
                </c:pt>
                <c:pt idx="271">
                  <c:v>18.680294724265913</c:v>
                </c:pt>
                <c:pt idx="272">
                  <c:v>18.592983923315654</c:v>
                </c:pt>
                <c:pt idx="273">
                  <c:v>18.505366509991017</c:v>
                </c:pt>
                <c:pt idx="274">
                  <c:v>18.417455494718073</c:v>
                </c:pt>
                <c:pt idx="275">
                  <c:v>18.329253479582032</c:v>
                </c:pt>
                <c:pt idx="276">
                  <c:v>18.240767403476799</c:v>
                </c:pt>
                <c:pt idx="277">
                  <c:v>18.15201331259453</c:v>
                </c:pt>
                <c:pt idx="278">
                  <c:v>18.062992941658695</c:v>
                </c:pt>
                <c:pt idx="279">
                  <c:v>17.973713663244073</c:v>
                </c:pt>
                <c:pt idx="280">
                  <c:v>17.884186753053257</c:v>
                </c:pt>
                <c:pt idx="281">
                  <c:v>17.794422185746228</c:v>
                </c:pt>
                <c:pt idx="282">
                  <c:v>17.704424731812551</c:v>
                </c:pt>
                <c:pt idx="283">
                  <c:v>17.614204365912212</c:v>
                </c:pt>
                <c:pt idx="284">
                  <c:v>17.523764123811294</c:v>
                </c:pt>
                <c:pt idx="285">
                  <c:v>17.433119184340207</c:v>
                </c:pt>
                <c:pt idx="286">
                  <c:v>17.342271715903301</c:v>
                </c:pt>
                <c:pt idx="287">
                  <c:v>17.251236463650123</c:v>
                </c:pt>
                <c:pt idx="288">
                  <c:v>17.160012560218931</c:v>
                </c:pt>
                <c:pt idx="289">
                  <c:v>17.068615618121008</c:v>
                </c:pt>
                <c:pt idx="290">
                  <c:v>16.977053009931133</c:v>
                </c:pt>
                <c:pt idx="291">
                  <c:v>16.885327771415383</c:v>
                </c:pt>
                <c:pt idx="292">
                  <c:v>16.793449877233748</c:v>
                </c:pt>
                <c:pt idx="293">
                  <c:v>16.701429735727082</c:v>
                </c:pt>
                <c:pt idx="294">
                  <c:v>16.609272117384943</c:v>
                </c:pt>
                <c:pt idx="295">
                  <c:v>16.516990032633405</c:v>
                </c:pt>
                <c:pt idx="296">
                  <c:v>16.424581313068121</c:v>
                </c:pt>
                <c:pt idx="297">
                  <c:v>16.332061571200374</c:v>
                </c:pt>
                <c:pt idx="298">
                  <c:v>16.239439914328415</c:v>
                </c:pt>
                <c:pt idx="299">
                  <c:v>16.146719378218322</c:v>
                </c:pt>
                <c:pt idx="300">
                  <c:v>16.053907335444872</c:v>
                </c:pt>
                <c:pt idx="301">
                  <c:v>15.961012893306314</c:v>
                </c:pt>
                <c:pt idx="302">
                  <c:v>15.868049062228717</c:v>
                </c:pt>
                <c:pt idx="303">
                  <c:v>15.775015408531212</c:v>
                </c:pt>
                <c:pt idx="304">
                  <c:v>15.681922340554655</c:v>
                </c:pt>
                <c:pt idx="305">
                  <c:v>15.58877636351208</c:v>
                </c:pt>
                <c:pt idx="306">
                  <c:v>15.495588753106082</c:v>
                </c:pt>
                <c:pt idx="307">
                  <c:v>15.402362978783612</c:v>
                </c:pt>
                <c:pt idx="308">
                  <c:v>15.309105545757706</c:v>
                </c:pt>
                <c:pt idx="309">
                  <c:v>15.215827729730957</c:v>
                </c:pt>
                <c:pt idx="310">
                  <c:v>15.12253646959727</c:v>
                </c:pt>
                <c:pt idx="311">
                  <c:v>15.02923740320794</c:v>
                </c:pt>
                <c:pt idx="312">
                  <c:v>14.935937035776004</c:v>
                </c:pt>
                <c:pt idx="313">
                  <c:v>14.842643607237971</c:v>
                </c:pt>
                <c:pt idx="314">
                  <c:v>14.749364490168615</c:v>
                </c:pt>
                <c:pt idx="315">
                  <c:v>14.65610662346184</c:v>
                </c:pt>
                <c:pt idx="316">
                  <c:v>14.56287651233068</c:v>
                </c:pt>
                <c:pt idx="317">
                  <c:v>14.469681529349909</c:v>
                </c:pt>
                <c:pt idx="318">
                  <c:v>14.376529480775169</c:v>
                </c:pt>
                <c:pt idx="319">
                  <c:v>14.283424269734279</c:v>
                </c:pt>
                <c:pt idx="320">
                  <c:v>14.190375870887229</c:v>
                </c:pt>
                <c:pt idx="321">
                  <c:v>14.09739122312792</c:v>
                </c:pt>
                <c:pt idx="322">
                  <c:v>14.004475530626781</c:v>
                </c:pt>
                <c:pt idx="323">
                  <c:v>13.911634864915978</c:v>
                </c:pt>
                <c:pt idx="324">
                  <c:v>13.818877032251153</c:v>
                </c:pt>
                <c:pt idx="325">
                  <c:v>13.726207670483603</c:v>
                </c:pt>
                <c:pt idx="326">
                  <c:v>13.63363458586897</c:v>
                </c:pt>
                <c:pt idx="327">
                  <c:v>13.541163849939419</c:v>
                </c:pt>
                <c:pt idx="328">
                  <c:v>13.448802401588855</c:v>
                </c:pt>
                <c:pt idx="329">
                  <c:v>13.356556746030313</c:v>
                </c:pt>
                <c:pt idx="330">
                  <c:v>13.26443165375335</c:v>
                </c:pt>
                <c:pt idx="331">
                  <c:v>13.172434497332741</c:v>
                </c:pt>
                <c:pt idx="332">
                  <c:v>13.08056744517283</c:v>
                </c:pt>
                <c:pt idx="333">
                  <c:v>12.98884264033795</c:v>
                </c:pt>
                <c:pt idx="334">
                  <c:v>12.897265286998527</c:v>
                </c:pt>
                <c:pt idx="335">
                  <c:v>12.805838420920646</c:v>
                </c:pt>
                <c:pt idx="336">
                  <c:v>12.714568980998209</c:v>
                </c:pt>
                <c:pt idx="337">
                  <c:v>12.623463906125121</c:v>
                </c:pt>
                <c:pt idx="338">
                  <c:v>12.532527966790941</c:v>
                </c:pt>
                <c:pt idx="339">
                  <c:v>12.441766800846965</c:v>
                </c:pt>
                <c:pt idx="340">
                  <c:v>12.351186913506229</c:v>
                </c:pt>
                <c:pt idx="341">
                  <c:v>12.260796544705244</c:v>
                </c:pt>
                <c:pt idx="342">
                  <c:v>12.17059526076314</c:v>
                </c:pt>
                <c:pt idx="343">
                  <c:v>12.080592602659035</c:v>
                </c:pt>
                <c:pt idx="344">
                  <c:v>11.990793774563357</c:v>
                </c:pt>
                <c:pt idx="345">
                  <c:v>11.901199643837845</c:v>
                </c:pt>
                <c:pt idx="346">
                  <c:v>11.811825389312913</c:v>
                </c:pt>
                <c:pt idx="347">
                  <c:v>11.722668408903347</c:v>
                </c:pt>
                <c:pt idx="348">
                  <c:v>11.633733039417837</c:v>
                </c:pt>
                <c:pt idx="349">
                  <c:v>11.545030122878108</c:v>
                </c:pt>
                <c:pt idx="350">
                  <c:v>11.456560526645898</c:v>
                </c:pt>
                <c:pt idx="351">
                  <c:v>11.368330755934242</c:v>
                </c:pt>
                <c:pt idx="352">
                  <c:v>11.280346448594436</c:v>
                </c:pt>
                <c:pt idx="353">
                  <c:v>11.192607604626481</c:v>
                </c:pt>
                <c:pt idx="354">
                  <c:v>11.105130703903399</c:v>
                </c:pt>
                <c:pt idx="355">
                  <c:v>11.017905338084333</c:v>
                </c:pt>
                <c:pt idx="356">
                  <c:v>10.93094581863796</c:v>
                </c:pt>
                <c:pt idx="357">
                  <c:v>10.844257349734709</c:v>
                </c:pt>
                <c:pt idx="358">
                  <c:v>10.757839497693711</c:v>
                </c:pt>
                <c:pt idx="359">
                  <c:v>10.671696599323655</c:v>
                </c:pt>
                <c:pt idx="360">
                  <c:v>10.585836460880182</c:v>
                </c:pt>
                <c:pt idx="361">
                  <c:v>10.500262551810247</c:v>
                </c:pt>
                <c:pt idx="362">
                  <c:v>10.414980509965144</c:v>
                </c:pt>
                <c:pt idx="363">
                  <c:v>10.329990769025743</c:v>
                </c:pt>
                <c:pt idx="364">
                  <c:v>10.245299834205079</c:v>
                </c:pt>
                <c:pt idx="365">
                  <c:v>10.160912475992712</c:v>
                </c:pt>
                <c:pt idx="366">
                  <c:v>10.076831513314289</c:v>
                </c:pt>
                <c:pt idx="367">
                  <c:v>9.9930604156167622</c:v>
                </c:pt>
                <c:pt idx="368">
                  <c:v>9.9096022186662136</c:v>
                </c:pt>
                <c:pt idx="369">
                  <c:v>9.8264627771543775</c:v>
                </c:pt>
                <c:pt idx="370">
                  <c:v>9.7436453436877688</c:v>
                </c:pt>
                <c:pt idx="371">
                  <c:v>9.6611566403198577</c:v>
                </c:pt>
                <c:pt idx="372">
                  <c:v>9.5789934144441258</c:v>
                </c:pt>
                <c:pt idx="373">
                  <c:v>9.4971645565183902</c:v>
                </c:pt>
                <c:pt idx="374">
                  <c:v>9.4156707170639518</c:v>
                </c:pt>
                <c:pt idx="375">
                  <c:v>9.3345142813255908</c:v>
                </c:pt>
                <c:pt idx="376">
                  <c:v>9.2537043566015562</c:v>
                </c:pt>
                <c:pt idx="377">
                  <c:v>9.1732361724022891</c:v>
                </c:pt>
                <c:pt idx="378">
                  <c:v>9.0931190528664718</c:v>
                </c:pt>
                <c:pt idx="379">
                  <c:v>9.0133542990367133</c:v>
                </c:pt>
                <c:pt idx="380">
                  <c:v>8.9339451635195299</c:v>
                </c:pt>
                <c:pt idx="381">
                  <c:v>8.8548955494427428</c:v>
                </c:pt>
                <c:pt idx="382">
                  <c:v>8.7762037220828759</c:v>
                </c:pt>
                <c:pt idx="383">
                  <c:v>8.6978779213764401</c:v>
                </c:pt>
                <c:pt idx="384">
                  <c:v>8.6199190146851734</c:v>
                </c:pt>
                <c:pt idx="385">
                  <c:v>8.5423298209347251</c:v>
                </c:pt>
                <c:pt idx="386">
                  <c:v>8.4651079548803132</c:v>
                </c:pt>
                <c:pt idx="387">
                  <c:v>8.388265993267142</c:v>
                </c:pt>
                <c:pt idx="388">
                  <c:v>8.3117978645630419</c:v>
                </c:pt>
                <c:pt idx="389">
                  <c:v>8.2357126760662656</c:v>
                </c:pt>
                <c:pt idx="390">
                  <c:v>8.1600058741276857</c:v>
                </c:pt>
                <c:pt idx="391">
                  <c:v>8.0846839639603374</c:v>
                </c:pt>
                <c:pt idx="392">
                  <c:v>8.0097510655324786</c:v>
                </c:pt>
                <c:pt idx="393">
                  <c:v>7.9352050104397609</c:v>
                </c:pt>
                <c:pt idx="394">
                  <c:v>7.8610479670865319</c:v>
                </c:pt>
                <c:pt idx="395">
                  <c:v>7.7872849228027841</c:v>
                </c:pt>
                <c:pt idx="396">
                  <c:v>7.713917395471559</c:v>
                </c:pt>
                <c:pt idx="397">
                  <c:v>7.6409477703376361</c:v>
                </c:pt>
                <c:pt idx="398">
                  <c:v>7.5683719274327599</c:v>
                </c:pt>
                <c:pt idx="399">
                  <c:v>7.4962004919382208</c:v>
                </c:pt>
                <c:pt idx="400">
                  <c:v>7.4244295607261979</c:v>
                </c:pt>
                <c:pt idx="401">
                  <c:v>7.3530623864032085</c:v>
                </c:pt>
                <c:pt idx="402">
                  <c:v>7.2820998363309908</c:v>
                </c:pt>
                <c:pt idx="403">
                  <c:v>7.2115453799564966</c:v>
                </c:pt>
                <c:pt idx="404">
                  <c:v>7.1413994509605949</c:v>
                </c:pt>
                <c:pt idx="405">
                  <c:v>7.0716624830241548</c:v>
                </c:pt>
                <c:pt idx="406">
                  <c:v>7.0023364277110867</c:v>
                </c:pt>
                <c:pt idx="407">
                  <c:v>6.9334204176596526</c:v>
                </c:pt>
                <c:pt idx="408">
                  <c:v>6.8649183559976734</c:v>
                </c:pt>
                <c:pt idx="409">
                  <c:v>6.7968321942890597</c:v>
                </c:pt>
                <c:pt idx="410">
                  <c:v>6.7291621493742459</c:v>
                </c:pt>
                <c:pt idx="411">
                  <c:v>6.6619119075406186</c:v>
                </c:pt>
                <c:pt idx="412">
                  <c:v>6.5950723614899287</c:v>
                </c:pt>
                <c:pt idx="413">
                  <c:v>6.5286604247760671</c:v>
                </c:pt>
                <c:pt idx="414">
                  <c:v>6.462660918568619</c:v>
                </c:pt>
                <c:pt idx="415">
                  <c:v>6.3970849017297438</c:v>
                </c:pt>
                <c:pt idx="416">
                  <c:v>6.3319291216529239</c:v>
                </c:pt>
                <c:pt idx="417">
                  <c:v>6.2671957467425043</c:v>
                </c:pt>
                <c:pt idx="418">
                  <c:v>6.2028849938389197</c:v>
                </c:pt>
                <c:pt idx="419">
                  <c:v>6.1389983808252113</c:v>
                </c:pt>
                <c:pt idx="420">
                  <c:v>6.0755361245418138</c:v>
                </c:pt>
                <c:pt idx="421">
                  <c:v>6.0124936713396027</c:v>
                </c:pt>
                <c:pt idx="422">
                  <c:v>5.9498770927507438</c:v>
                </c:pt>
                <c:pt idx="423">
                  <c:v>5.8876915929456652</c:v>
                </c:pt>
                <c:pt idx="424">
                  <c:v>5.82592719726438</c:v>
                </c:pt>
                <c:pt idx="425">
                  <c:v>5.7645873751538401</c:v>
                </c:pt>
                <c:pt idx="426">
                  <c:v>5.703674078177956</c:v>
                </c:pt>
                <c:pt idx="427">
                  <c:v>5.6431875231771622</c:v>
                </c:pt>
                <c:pt idx="428">
                  <c:v>5.5831264091088517</c:v>
                </c:pt>
                <c:pt idx="429">
                  <c:v>5.5234916033347625</c:v>
                </c:pt>
                <c:pt idx="430">
                  <c:v>5.4642835395357636</c:v>
                </c:pt>
                <c:pt idx="431">
                  <c:v>5.405503518754462</c:v>
                </c:pt>
                <c:pt idx="432">
                  <c:v>5.3471469873417332</c:v>
                </c:pt>
                <c:pt idx="433">
                  <c:v>5.2892152463401843</c:v>
                </c:pt>
                <c:pt idx="434">
                  <c:v>5.231714367281981</c:v>
                </c:pt>
                <c:pt idx="435">
                  <c:v>5.1746339418262677</c:v>
                </c:pt>
                <c:pt idx="436">
                  <c:v>5.1179817762286861</c:v>
                </c:pt>
                <c:pt idx="437">
                  <c:v>5.0617567862870638</c:v>
                </c:pt>
                <c:pt idx="438">
                  <c:v>5.0059533341501039</c:v>
                </c:pt>
                <c:pt idx="439">
                  <c:v>4.9505738050625858</c:v>
                </c:pt>
                <c:pt idx="440">
                  <c:v>4.8956164643010336</c:v>
                </c:pt>
                <c:pt idx="441">
                  <c:v>4.8410878170784821</c:v>
                </c:pt>
                <c:pt idx="442">
                  <c:v>4.7869776718945101</c:v>
                </c:pt>
                <c:pt idx="443">
                  <c:v>4.7332912329195453</c:v>
                </c:pt>
                <c:pt idx="444">
                  <c:v>4.6800282833131535</c:v>
                </c:pt>
                <c:pt idx="445">
                  <c:v>4.6271860041496859</c:v>
                </c:pt>
                <c:pt idx="446">
                  <c:v>4.5747615765034944</c:v>
                </c:pt>
                <c:pt idx="447">
                  <c:v>4.5227552172150132</c:v>
                </c:pt>
                <c:pt idx="448">
                  <c:v>4.4711732146568428</c:v>
                </c:pt>
                <c:pt idx="449">
                  <c:v>4.4200033173444346</c:v>
                </c:pt>
                <c:pt idx="450">
                  <c:v>4.369252789432343</c:v>
                </c:pt>
                <c:pt idx="451">
                  <c:v>4.3189203298779626</c:v>
                </c:pt>
                <c:pt idx="452">
                  <c:v>4.2689986745267365</c:v>
                </c:pt>
                <c:pt idx="453">
                  <c:v>4.2194956296343067</c:v>
                </c:pt>
                <c:pt idx="454">
                  <c:v>4.170402955264163</c:v>
                </c:pt>
                <c:pt idx="455">
                  <c:v>4.1217271566293405</c:v>
                </c:pt>
                <c:pt idx="456">
                  <c:v>4.0734590180113717</c:v>
                </c:pt>
                <c:pt idx="457">
                  <c:v>4.0256007078146032</c:v>
                </c:pt>
                <c:pt idx="458">
                  <c:v>3.9781499492144712</c:v>
                </c:pt>
                <c:pt idx="459">
                  <c:v>3.9311093442961909</c:v>
                </c:pt>
                <c:pt idx="460">
                  <c:v>3.8844706531232509</c:v>
                </c:pt>
                <c:pt idx="461">
                  <c:v>3.8382461271802004</c:v>
                </c:pt>
                <c:pt idx="462">
                  <c:v>3.7924183108120624</c:v>
                </c:pt>
                <c:pt idx="463">
                  <c:v>3.7469978292001271</c:v>
                </c:pt>
                <c:pt idx="464">
                  <c:v>3.7019751413652768</c:v>
                </c:pt>
                <c:pt idx="465">
                  <c:v>3.6573512230894667</c:v>
                </c:pt>
                <c:pt idx="466">
                  <c:v>3.6131313869633419</c:v>
                </c:pt>
                <c:pt idx="467">
                  <c:v>3.5693041404438741</c:v>
                </c:pt>
                <c:pt idx="468">
                  <c:v>3.5258707845736703</c:v>
                </c:pt>
                <c:pt idx="469">
                  <c:v>3.4828339214379445</c:v>
                </c:pt>
                <c:pt idx="470">
                  <c:v>3.4401913826323516</c:v>
                </c:pt>
                <c:pt idx="471">
                  <c:v>3.3979386145077672</c:v>
                </c:pt>
                <c:pt idx="472">
                  <c:v>3.3560763760057122</c:v>
                </c:pt>
                <c:pt idx="473">
                  <c:v>3.3146017397803207</c:v>
                </c:pt>
                <c:pt idx="474">
                  <c:v>3.2735119953261615</c:v>
                </c:pt>
                <c:pt idx="475">
                  <c:v>3.232806383701714</c:v>
                </c:pt>
                <c:pt idx="476">
                  <c:v>3.1924860975293679</c:v>
                </c:pt>
                <c:pt idx="477">
                  <c:v>3.1525470168408676</c:v>
                </c:pt>
                <c:pt idx="478">
                  <c:v>3.1129861058701302</c:v>
                </c:pt>
                <c:pt idx="479">
                  <c:v>3.0738044488193283</c:v>
                </c:pt>
                <c:pt idx="480">
                  <c:v>3.0350005278054204</c:v>
                </c:pt>
                <c:pt idx="481">
                  <c:v>2.9965662113121128</c:v>
                </c:pt>
                <c:pt idx="482">
                  <c:v>2.9585081129726576</c:v>
                </c:pt>
                <c:pt idx="483">
                  <c:v>2.9208194023133682</c:v>
                </c:pt>
                <c:pt idx="484">
                  <c:v>2.8835015972172862</c:v>
                </c:pt>
                <c:pt idx="485">
                  <c:v>2.8465469998489867</c:v>
                </c:pt>
                <c:pt idx="486">
                  <c:v>2.8099634164641119</c:v>
                </c:pt>
                <c:pt idx="487">
                  <c:v>2.7737375113759399</c:v>
                </c:pt>
                <c:pt idx="488">
                  <c:v>2.7378766571592439</c:v>
                </c:pt>
                <c:pt idx="489">
                  <c:v>2.7023726138775128</c:v>
                </c:pt>
                <c:pt idx="490">
                  <c:v>2.6672262488924847</c:v>
                </c:pt>
                <c:pt idx="491">
                  <c:v>2.6324371285232906</c:v>
                </c:pt>
                <c:pt idx="492">
                  <c:v>2.597999831759068</c:v>
                </c:pt>
                <c:pt idx="493">
                  <c:v>2.5639159849030757</c:v>
                </c:pt>
                <c:pt idx="494">
                  <c:v>2.5301806006253202</c:v>
                </c:pt>
                <c:pt idx="495">
                  <c:v>2.4967941126066706</c:v>
                </c:pt>
                <c:pt idx="496">
                  <c:v>2.4637512082564816</c:v>
           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2.366680636189944</c:v>
                </c:pt>
                <c:pt idx="500">
                  <c:v>2.3349973213640518</c:v>
                </c:pt>
                <c:pt idx="501">
                  <c:v>2.3036508681531509</c:v>
                </c:pt>
                <c:pt idx="502">
                  <c:v>2.2726397586741998</c:v>
                </c:pt>
                <c:pt idx="503">
                  <c:v>2.2419619329430707</c:v>
                </c:pt>
                <c:pt idx="504">
                  <c:v>2.2116115362680322</c:v>
                </c:pt>
                <c:pt idx="505">
                  <c:v>2.1815833644786564</c:v>
                </c:pt>
                <c:pt idx="506">
                  <c:v>2.1518850612002596</c:v>
                </c:pt>
                <c:pt idx="507">
                  <c:v>2.1225045917887266</c:v>
                </c:pt>
                <c:pt idx="508">
                  <c:v>2.0934479735661151</c:v>
                </c:pt>
                <c:pt idx="509">
                  <c:v>2.0647064787049363</c:v>
                </c:pt>
                <c:pt idx="510">
                  <c:v>2.0362873171496378</c:v>
                </c:pt>
                <c:pt idx="511">
                  <c:v>2.0081786168864304</c:v>
                </c:pt>
                <c:pt idx="512">
                  <c:v>1.980378643191838</c:v>
                </c:pt>
                <c:pt idx="513">
                  <c:v>1.9528914618240079</c:v>
                </c:pt>
                <c:pt idx="514">
                  <c:v>1.9257120312428377</c:v>
                </c:pt>
                <c:pt idx="515">
                  <c:v>1.8988329788735547</c:v>
                </c:pt>
                <c:pt idx="516">
                  <c:v>1.8722583704743057</c:v>
                </c:pt>
                <c:pt idx="517">
                  <c:v>1.8459876097338956</c:v>
                </c:pt>
                <c:pt idx="518">
                  <c:v>1.8200150045909191</c:v>
                </c:pt>
                <c:pt idx="519">
                  <c:v>1.7943364350771207</c:v>
                </c:pt>
                <c:pt idx="520">
                  <c:v>1.768955695900104</c:v>
                </c:pt>
                <c:pt idx="521">
                  <c:v>1.7438610776764063</c:v>
                </c:pt>
                <c:pt idx="522">
                  <c:v>1.7190579472067813</c:v>
                </c:pt>
                <c:pt idx="523">
                  <c:v>1.6945444071374272</c:v>
                </c:pt>
                <c:pt idx="524">
                  <c:v>1.6703146027766125</c:v>
                </c:pt>
                <c:pt idx="525">
                  <c:v>1.6463682630737941</c:v>
                </c:pt>
                <c:pt idx="526">
                  <c:v>1.6227023522628892</c:v>
                </c:pt>
                <c:pt idx="527">
                  <c:v>1.5993182255966132</c:v>
                </c:pt>
                <c:pt idx="528">
                  <c:v>1.5762027100185705</c:v>
                </c:pt>
                <c:pt idx="529">
                  <c:v>1.5533670812313549</c:v>
                </c:pt>
                <c:pt idx="530">
                  <c:v>1.530803912450085</c:v>
                </c:pt>
                <c:pt idx="531">
                  <c:v>1.5085061563606394</c:v>
                </c:pt>
                <c:pt idx="532">
                  <c:v>1.4864796676547498</c:v>
                </c:pt>
                <c:pt idx="533">
                  <c:v>1.4647170737576432</c:v>
                </c:pt>
                <c:pt idx="534">
                  <c:v>1.443213387339326</c:v>
                </c:pt>
                <c:pt idx="535">
                  <c:v>1.4219780409586991</c:v>
                </c:pt>
                <c:pt idx="536">
                  <c:v>1.4009974278784976</c:v>
                </c:pt>
                <c:pt idx="537">
                  <c:v>1.3802737165030665</c:v>
                </c:pt>
                <c:pt idx="538">
                  <c:v>1.3598006726699141</c:v>
                </c:pt>
                <c:pt idx="539">
                  <c:v>1.3395844221213149</c:v>
                </c:pt>
                <c:pt idx="540">
                  <c:v>1.3196148817770648</c:v>
                </c:pt>
                <c:pt idx="541">
                  <c:v>1.2998950874032467</c:v>
                </c:pt>
                <c:pt idx="542">
                  <c:v>1.2804207021911707</c:v>
                </c:pt>
                <c:pt idx="543">
                  <c:v>1.2611857630288881</c:v>
                </c:pt>
                <c:pt idx="544">
                  <c:v>1.2421947693554147</c:v>
                </c:pt>
                <c:pt idx="545">
                  <c:v>1.2234411617476071</c:v>
                </c:pt>
                <c:pt idx="546">
                  <c:v>1.204927271240136</c:v>
                </c:pt>
                <c:pt idx="547">
                  <c:v>1.1866458878885544</c:v>
                </c:pt>
                <c:pt idx="548">
                  <c:v>1.1685976080040572</c:v>
                </c:pt>
                <c:pt idx="549">
                  <c:v>1.1507780405678458</c:v>
                </c:pt>
                <c:pt idx="550">
                  <c:v>1.1331852882261184</c:v>
                </c:pt>
                <c:pt idx="551">
                  <c:v>1.1158231998965873</c:v>
                </c:pt>
                <c:pt idx="552">
                  <c:v>1.0986790904138344</c:v>
                </c:pt>
                <c:pt idx="553">
                  <c:v>1.0817618502356741</c:v>
                </c:pt>
                <c:pt idx="554">
                  <c:v>1.0650616131223367</c:v>
                </c:pt>
                <c:pt idx="555">
                  <c:v>1.0485754517279566</c:v>
                </c:pt>
                <c:pt idx="556">
                  <c:v>1.0323122023002396</c:v>
                </c:pt>
                <c:pt idx="557">
                  <c:v>1.0162543820791543</c:v>
                </c:pt>
                <c:pt idx="558">
                  <c:v>1.0004124807207193</c:v>
                </c:pt>
                <c:pt idx="559">
                  <c:v>0.98477682172054548</c:v>
                </c:pt>
                <c:pt idx="560">
                  <c:v>0.96934846217575088</c:v>
                </c:pt>
                <c:pt idx="561">
                  <c:v>0.95412891996937699</c:v>
                </c:pt>
                <c:pt idx="562">
                  <c:v>0.93910518467535398</c:v>
                </c:pt>
                <c:pt idx="563">
                  <c:v>0.92428939935801369</c:v>
                </c:pt>
                <c:pt idx="564">
                  <c:v>0.90967004436927346</c:v>
                </c:pt>
                <c:pt idx="565">
                  <c:v>0.89524495130478832</c:v>
                </c:pt>
                <c:pt idx="566">
                  <c:v>0.8810155296273825</c:v>
                </c:pt>
                <c:pt idx="567">
                  <c:v>0.86697980066809122</c:v>
                </c:pt>
                <c:pt idx="568">
                  <c:v>0.85313708680055667</c:v>
                </c:pt>
                <c:pt idx="569">
                  <c:v>0.83947996123989732</c:v>
                </c:pt>
                <c:pt idx="570">
                  <c:v>0.82601051107529522</c:v>
                </c:pt>
                <c:pt idx="571">
                  <c:v>0.81272353213632242</c:v>
                </c:pt>
                <c:pt idx="572">
                  <c:v>0.79962035257064024</c:v>
                </c:pt>
                <c:pt idx="573">
                  <c:v>0.78670146026922627</c:v>
                </c:pt>
                <c:pt idx="574">
                  <c:v>0.77395839845513514</c:v>
                </c:pt>
                <c:pt idx="575">
                  <c:v>0.76139577498759992</c:v>
                </c:pt>
                <c:pt idx="576">
                  <c:v>0.74900467230375189</c:v>
                </c:pt>
                <c:pt idx="577">
                  <c:v>0.73678861406065166</c:v>
                </c:pt>
                <c:pt idx="578">
                  <c:v>0.72474071557450392</c:v>
                </c:pt>
                <c:pt idx="579">
                  <c:v>0.71286582865003056</c:v>
                </c:pt>
                <c:pt idx="580">
                  <c:v>0.70115514414458013</c:v>
                </c:pt>
                <c:pt idx="581">
                  <c:v>0.68961150808885541</c:v>
                </c:pt>
                <c:pt idx="582">
                  <c:v>0.67823253523807692</c:v>
                </c:pt>
                <c:pt idx="583">
                  <c:v>0.66701621981822556</c:v>
                </c:pt>
                <c:pt idx="584">
                  <c:v>0.65596042053001069</c:v>
                </c:pt>
                <c:pt idx="585">
                  <c:v>0.64506318580952182</c:v>
                </c:pt>
                <c:pt idx="586">
                  <c:v>0.63431977227225433</c:v>
                </c:pt>
                <c:pt idx="587">
                  <c:v>0.62373551961390772</c:v>
                </c:pt>
                <c:pt idx="588">
                  <c:v>0.61330018212395199</c:v>
                </c:pt>
                <c:pt idx="589">
                  <c:v>0.60301766293020809</c:v>
                </c:pt>
                <c:pt idx="590">
                  <c:v>0.59288731151137253</c:v>
                </c:pt>
                <c:pt idx="591">
                  <c:v>0.5828974997991454</c:v>
                </c:pt>
                <c:pt idx="592">
                  <c:v>0.57305801271813339</c:v>
                </c:pt>
                <c:pt idx="593">
                  <c:v>0.56336673607410015</c:v>
                </c:pt>
                <c:pt idx="594">
                  <c:v>0.55381388494243899</c:v>
                </c:pt>
                <c:pt idx="595">
                  <c:v>0.5443994051130413</c:v>
                </c:pt>
                <c:pt idx="596">
                  <c:v>0.53512906996247556</c:v>
                </c:pt>
                <c:pt idx="597">
                  <c:v>0.52599724163944483</c:v>
                </c:pt>
                <c:pt idx="598">
                  <c:v>0.51699707611773538</c:v>
                </c:pt>
                <c:pt idx="599">
                  <c:v>0.50813620347013588</c:v>
                </c:pt>
                <c:pt idx="600">
                  <c:v>0.4993999463097365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80-44FF-AA2E-B6D808C01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60992"/>
        <c:axId val="169063168"/>
      </c:scatterChart>
      <c:valAx>
        <c:axId val="169060992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63168"/>
        <c:crosses val="autoZero"/>
        <c:crossBetween val="midCat"/>
      </c:valAx>
      <c:valAx>
        <c:axId val="169063168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60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840266841644793"/>
          <c:y val="4.4194101421402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MarketFit!$U$4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MarketFit!$U$5:$U$605</c:f>
              <c:numCache>
                <c:formatCode>0</c:formatCode>
                <c:ptCount val="601"/>
                <c:pt idx="0">
                  <c:v>16.053907335444872</c:v>
                </c:pt>
                <c:pt idx="1">
                  <c:v>16.146716776133108</c:v>
                </c:pt>
                <c:pt idx="2">
                  <c:v>16.239437312243201</c:v>
                </c:pt>
                <c:pt idx="3">
                  <c:v>16.332061571200374</c:v>
                </c:pt>
                <c:pt idx="4">
                  <c:v>16.424582180429859</c:v>
                </c:pt>
                <c:pt idx="5">
                  <c:v>16.516986563186453</c:v>
                </c:pt>
                <c:pt idx="6">
                  <c:v>16.609271250023205</c:v>
                </c:pt>
                <c:pt idx="7">
                  <c:v>16.701427567322735</c:v>
                </c:pt>
                <c:pt idx="8">
                  <c:v>16.793450310914615</c:v>
                </c:pt>
                <c:pt idx="9">
                  <c:v>16.885326904053645</c:v>
                </c:pt>
                <c:pt idx="10">
                  <c:v>16.977051275207657</c:v>
                </c:pt>
                <c:pt idx="11">
                  <c:v>17.068615184440141</c:v>
                </c:pt>
                <c:pt idx="12">
                  <c:v>17.160014294942407</c:v>
                </c:pt>
                <c:pt idx="13">
                  <c:v>17.251233427884038</c:v>
                </c:pt>
                <c:pt idx="14">
                  <c:v>17.342273450626777</c:v>
                </c:pt>
                <c:pt idx="15">
                  <c:v>17.433118316978469</c:v>
                </c:pt>
                <c:pt idx="16">
                  <c:v>17.523765424853899</c:v>
                </c:pt>
                <c:pt idx="17">
                  <c:v>17.614200462784392</c:v>
                </c:pt>
                <c:pt idx="18">
                  <c:v>17.704422997089075</c:v>
                </c:pt>
                <c:pt idx="19">
                  <c:v>17.794421752065361</c:v>
                </c:pt>
                <c:pt idx="20">
                  <c:v>17.884187186734124</c:v>
                </c:pt>
                <c:pt idx="21">
                  <c:v>17.973713229563206</c:v>
                </c:pt>
                <c:pt idx="22">
                  <c:v>18.062990773254352</c:v>
                </c:pt>
                <c:pt idx="23">
                  <c:v>18.152012011551921</c:v>
                </c:pt>
                <c:pt idx="24">
                  <c:v>18.240766969795931</c:v>
                </c:pt>
                <c:pt idx="25">
                  <c:v>18.329251311177686</c:v>
                </c:pt>
                <c:pt idx="26">
                  <c:v>18.417453759994597</c:v>
                </c:pt>
                <c:pt idx="27">
                  <c:v>18.505366943671888</c:v>
                </c:pt>
                <c:pt idx="28">
                  <c:v>18.592983923315654</c:v>
                </c:pt>
                <c:pt idx="29">
                  <c:v>18.680293856904175</c:v>
                </c:pt>
                <c:pt idx="30">
                  <c:v>18.76729110658615</c:v>
                </c:pt>
                <c:pt idx="31">
                  <c:v>18.853965697701593</c:v>
                </c:pt>
                <c:pt idx="32">
                  <c:v>18.940311125037468</c:v>
                </c:pt>
                <c:pt idx="33">
                  <c:v>19.026315679210317</c:v>
                </c:pt>
                <c:pt idx="34">
                  <c:v>19.111977191815789</c:v>
                </c:pt>
                <c:pt idx="35">
                  <c:v>19.197284387151292</c:v>
                </c:pt>
                <c:pt idx="36">
                  <c:v>19.282225989514234</c:v>
                </c:pt>
                <c:pt idx="37">
                  <c:v>19.36679983050027</c:v>
                </c:pt>
                <c:pt idx="38">
                  <c:v>19.450992899683328</c:v>
                </c:pt>
                <c:pt idx="39">
                  <c:v>19.534798258169506</c:v>
                </c:pt>
                <c:pt idx="40">
                  <c:v>19.61820809970316</c:v>
                </c:pt>
                <c:pt idx="41">
                  <c:v>19.701213750666913</c:v>
                </c:pt>
                <c:pt idx="42">
                  <c:v>19.783808705847729</c:v>
                </c:pt>
                <c:pt idx="43">
                  <c:v>19.86598646003257</c:v>
                </c:pt>
                <c:pt idx="44">
                  <c:v>19.947733569114501</c:v>
                </c:pt>
                <c:pt idx="45">
                  <c:v>20.029044395242224</c:v>
                </c:pt>
                <c:pt idx="46">
                  <c:v>20.109914601607048</c:v>
                </c:pt>
                <c:pt idx="47">
                  <c:v>20.190329443059429</c:v>
                </c:pt>
                <c:pt idx="48">
                  <c:v>20.270285450152414</c:v>
                </c:pt>
                <c:pt idx="49">
                  <c:v>20.34977134718341</c:v>
                </c:pt>
                <c:pt idx="50">
                  <c:v>20.428784098386334</c:v>
                </c:pt>
                <c:pt idx="51">
                  <c:v>20.507310693335114</c:v>
                </c:pt>
                <c:pt idx="52">
                  <c:v>20.585348529944536</c:v>
                </c:pt>
                <c:pt idx="53">
                  <c:v>20.662883730426795</c:v>
                </c:pt>
                <c:pt idx="54">
                  <c:v>20.739910656930594</c:v>
                </c:pt>
                <c:pt idx="55">
                  <c:v>20.816426707370717</c:v>
                </c:pt>
                <c:pt idx="56">
                  <c:v>20.892413233469799</c:v>
                </c:pt>
                <c:pt idx="57">
                  <c:v>20.96787327099392</c:v>
                </c:pt>
                <c:pt idx="58">
                  <c:v>21.042790340070063</c:v>
                </c:pt>
                <c:pt idx="59">
                  <c:v>21.11716530805996</c:v>
                </c:pt>
                <c:pt idx="60">
                  <c:v>21.190984730856677</c:v>
                </c:pt>
                <c:pt idx="61">
                  <c:v>21.264243404289786</c:v>
                </c:pt>
                <c:pt idx="62">
                  <c:v>21.336927016890606</c:v>
                </c:pt>
                <c:pt idx="63">
                  <c:v>21.409037303382618</c:v>
                </c:pt>
                <c:pt idx="64">
                  <c:v>21.480563421744094</c:v>
                </c:pt>
                <c:pt idx="65">
                  <c:v>21.551497132038524</c:v>
                </c:pt>
                <c:pt idx="66">
                  <c:v>21.621832362733741</c:v>
                </c:pt>
                <c:pt idx="67">
                  <c:v>21.691559572850629</c:v>
                </c:pt>
                <c:pt idx="68">
                  <c:v>21.760670956133545</c:v>
                </c:pt>
                <c:pt idx="69">
                  <c:v>21.829164344178142</c:v>
                </c:pt>
                <c:pt idx="70">
                  <c:v>21.897022823430536</c:v>
                </c:pt>
                <c:pt idx="71">
                  <c:v>21.964251598061146</c:v>
                </c:pt>
                <c:pt idx="72">
                  <c:v>22.030837657643911</c:v>
                </c:pt>
                <c:pt idx="73">
                  <c:v>22.096770593837967</c:v>
                </c:pt>
                <c:pt idx="74">
                  <c:v>22.162046069834631</c:v>
                </c:pt>
                <c:pt idx="75">
                  <c:v>22.226655412016516</c:v>
                </c:pt>
                <c:pt idx="76">
                  <c:v>22.290597319341021</c:v>
                </c:pt>
                <c:pt idx="77">
                  <c:v>22.35386138346729</c:v>
                </c:pt>
                <c:pt idx="78">
                  <c:v>22.416438497097069</c:v>
                </c:pt>
                <c:pt idx="79">
                  <c:v>22.478325190783412</c:v>
                </c:pt>
                <c:pt idx="80">
                  <c:v>22.539514525632409</c:v>
                </c:pt>
                <c:pt idx="81">
                  <c:v>22.599996526984079</c:v>
                </c:pt>
                <c:pt idx="82">
                  <c:v>22.659767291710597</c:v>
                </c:pt>
                <c:pt idx="83">
                  <c:v>22.718821181960671</c:v>
                </c:pt>
                <c:pt idx="84">
                  <c:v>22.777149957797782</c:v>
                </c:pt>
                <c:pt idx="85">
                  <c:v>22.834749282413249</c:v>
                </c:pt>
                <c:pt idx="86">
                  <c:v>22.891611783232293</c:v>
                </c:pt>
                <c:pt idx="87">
                  <c:v>22.947731388722747</c:v>
                </c:pt>
                <c:pt idx="88">
                  <c:v>23.003099425267237</c:v>
                </c:pt>
                <c:pt idx="89">
                  <c:v>23.057715892865762</c:v>
                </c:pt>
                <c:pt idx="90">
                  <c:v>23.111563877964425</c:v>
                </c:pt>
                <c:pt idx="91">
                  <c:v>23.164650319457138</c:v>
                </c:pt>
                <c:pt idx="92">
                  <c:v>23.216962206917824</c:v>
                </c:pt>
                <c:pt idx="93">
                  <c:v>23.268494769856929</c:v>
                </c:pt>
                <c:pt idx="94">
                  <c:v>23.31923976833794</c:v>
                </c:pt>
                <c:pt idx="95">
                  <c:v>23.369198069722597</c:v>
                </c:pt>
                <c:pt idx="96">
                  <c:v>23.418360133031779</c:v>
                </c:pt>
                <c:pt idx="97">
                  <c:v>23.466719886733323</c:v>
                </c:pt>
                <c:pt idx="98">
                  <c:v>23.514271259295061</c:v>
                </c:pt>
                <c:pt idx="99">
                  <c:v>23.56101164863178</c:v>
                </c:pt>
                <c:pt idx="100">
                  <c:v>23.606933248487838</c:v>
                </c:pt>
                <c:pt idx="101">
                  <c:v>23.652037793586711</c:v>
                </c:pt>
                <c:pt idx="102">
                  <c:v>23.696307069331901</c:v>
                </c:pt>
                <c:pt idx="103">
                  <c:v>23.739748014617312</c:v>
                </c:pt>
                <c:pt idx="104">
                  <c:v>23.782351088463827</c:v>
                </c:pt>
                <c:pt idx="105">
                  <c:v>23.824112821424492</c:v>
                </c:pt>
                <c:pt idx="106">
                  <c:v>23.865027141967143</c:v>
                </c:pt>
                <c:pt idx="107">
                  <c:v>23.90508971328309</c:v>
                </c:pt>
                <c:pt idx="108">
                  <c:v>23.944296198563642</c:v>
                </c:pt>
                <c:pt idx="109">
                  <c:v>23.982641393638371</c:v>
                </c:pt>
                <c:pt idx="110">
                  <c:v>24.020120961698588</c:v>
                </c:pt>
                <c:pt idx="111">
                  <c:v>24.05673577010603</c:v>
                </c:pt>
                <c:pt idx="112">
                  <c:v>24.092474543158104</c:v>
                </c:pt>
                <c:pt idx="113">
                  <c:v>24.12733728085481</c:v>
                </c:pt>
                <c:pt idx="114">
                  <c:v>24.161317911663982</c:v>
                </c:pt>
                <c:pt idx="115">
                  <c:v>24.194414700862144</c:v>
                </c:pt>
                <c:pt idx="116">
                  <c:v>24.226620709555391</c:v>
                </c:pt>
                <c:pt idx="117">
                  <c:v>24.25793333565851</c:v>
                </c:pt>
                <c:pt idx="118">
                  <c:v>24.288355181256716</c:v>
                </c:pt>
                <c:pt idx="119">
                  <c:v>24.317869766476985</c:v>
                </c:pt>
                <c:pt idx="120">
                  <c:v>24.346488367021912</c:v>
                </c:pt>
                <c:pt idx="121">
                  <c:v>24.374197972465428</c:v>
                </c:pt>
                <c:pt idx="122">
                  <c:v>24.400997715445794</c:v>
                </c:pt>
                <c:pt idx="123">
                  <c:v>24.426883259154319</c:v>
                </c:pt>
                <c:pt idx="124">
                  <c:v>24.451856338314482</c:v>
                </c:pt>
                <c:pt idx="125">
                  <c:v>24.475909146670638</c:v>
                </c:pt>
                <c:pt idx="126">
                  <c:v>24.499045153669741</c:v>
                </c:pt>
                <c:pt idx="127">
                  <c:v>24.521253083609196</c:v>
                </c:pt>
                <c:pt idx="128">
                  <c:v>24.542536405935955</c:v>
                </c:pt>
                <c:pt idx="129">
                  <c:v>24.562890783841329</c:v>
                </c:pt>
                <c:pt idx="130">
                  <c:v>24.582315349963579</c:v>
                </c:pt>
                <c:pt idx="131">
                  <c:v>24.600803165408802</c:v>
                </c:pt>
                <c:pt idx="132">
                  <c:v>24.618358566985687</c:v>
                </c:pt>
                <c:pt idx="133">
                  <c:v>24.634978952609021</c:v>
                </c:pt>
                <c:pt idx="134">
                  <c:v>24.650655648661424</c:v>
                </c:pt>
                <c:pt idx="135">
                  <c:v>24.665394726675061</c:v>
                </c:pt>
                <c:pt idx="136">
                  <c:v>24.679186645670814</c:v>
                </c:pt>
                <c:pt idx="137">
                  <c:v>24.69203747718085</c:v>
                </c:pt>
                <c:pt idx="138">
                  <c:v>24.703944619119955</c:v>
                </c:pt>
                <c:pt idx="139">
                  <c:v>24.714896795785535</c:v>
                </c:pt>
                <c:pt idx="140">
                  <c:v>24.724906150241921</c:v>
                </c:pt>
                <c:pt idx="141">
                  <c:v>24.73396574359521</c:v>
                </c:pt>
                <c:pt idx="142">
                  <c:v>24.742073841121925</c:v>
                </c:pt>
                <c:pt idx="143">
                  <c:v>24.749226973375116</c:v>
                </c:pt>
                <c:pt idx="144">
                  <c:v>24.755431211886947</c:v>
                </c:pt>
                <c:pt idx="145">
                  <c:v>24.760683087210467</c:v>
                </c:pt>
                <c:pt idx="146">
                  <c:v>24.764977395175247</c:v>
                </c:pt>
                <c:pt idx="147">
                  <c:v>24.768322809398668</c:v>
                </c:pt>
                <c:pt idx="148">
                  <c:v>24.770710656263351</c:v>
                </c:pt>
                <c:pt idx="149">
                  <c:v>24.772141803131031</c:v>
                </c:pt>
                <c:pt idx="150">
                  <c:v>24.772618852086925</c:v>
                </c:pt>
                <c:pt idx="151">
                  <c:v>24.772141803131031</c:v>
                </c:pt>
                <c:pt idx="152">
                  <c:v>24.770711523625089</c:v>
                </c:pt>
                <c:pt idx="153">
                  <c:v>24.768321074675193</c:v>
                </c:pt>
                <c:pt idx="154">
                  <c:v>24.764979129898723</c:v>
                </c:pt>
                <c:pt idx="155">
                  <c:v>24.760683954572205</c:v>
                </c:pt>
                <c:pt idx="156">
                  <c:v>24.755433813972161</c:v>
                </c:pt>
                <c:pt idx="157">
                  <c:v>24.749226973375116</c:v>
                </c:pt>
                <c:pt idx="158">
                  <c:v>24.742072973760187</c:v>
                </c:pt>
                <c:pt idx="159">
                  <c:v>24.733964008871734</c:v>
                </c:pt>
                <c:pt idx="160">
                  <c:v>24.724906150241921</c:v>
                </c:pt>
                <c:pt idx="161">
                  <c:v>24.714895928423797</c:v>
                </c:pt>
                <c:pt idx="162">
                  <c:v>24.703943751758217</c:v>
                </c:pt>
                <c:pt idx="163">
                  <c:v>24.692038344542588</c:v>
                </c:pt>
                <c:pt idx="164">
                  <c:v>24.679186645670814</c:v>
                </c:pt>
                <c:pt idx="165">
                  <c:v>24.665394726675061</c:v>
                </c:pt>
                <c:pt idx="166">
                  <c:v>24.650654781299686</c:v>
                </c:pt>
                <c:pt idx="167">
                  <c:v>24.634977217885545</c:v>
                </c:pt>
                <c:pt idx="168">
                  <c:v>24.618359434347425</c:v>
                </c:pt>
                <c:pt idx="169">
                  <c:v>24.600803165408802</c:v>
                </c:pt>
                <c:pt idx="170">
                  <c:v>24.582313615240103</c:v>
                </c:pt>
                <c:pt idx="171">
                  <c:v>24.562890783841329</c:v>
                </c:pt>
                <c:pt idx="172">
                  <c:v>24.542534671212479</c:v>
                </c:pt>
                <c:pt idx="173">
                  <c:v>24.521254818332672</c:v>
                </c:pt>
                <c:pt idx="174">
                  <c:v>24.499045153669741</c:v>
                </c:pt>
                <c:pt idx="175">
                  <c:v>24.475909146670638</c:v>
                </c:pt>
                <c:pt idx="176">
                  <c:v>24.451856338314482</c:v>
                </c:pt>
                <c:pt idx="177">
                  <c:v>24.426884126516057</c:v>
                </c:pt>
                <c:pt idx="178">
                  <c:v>24.400996848084056</c:v>
                </c:pt>
                <c:pt idx="179">
                  <c:v>24.374198839827166</c:v>
                </c:pt>
                <c:pt idx="180">
                  <c:v>24.346485764936698</c:v>
                </c:pt>
                <c:pt idx="181">
                  <c:v>24.317869766476985</c:v>
                </c:pt>
                <c:pt idx="182">
                  <c:v>24.288351711809764</c:v>
                </c:pt>
                <c:pt idx="183">
                  <c:v>24.25793333565851</c:v>
                </c:pt>
                <c:pt idx="184">
                  <c:v>24.226621576917129</c:v>
                </c:pt>
                <c:pt idx="185">
                  <c:v>24.194415568223882</c:v>
                </c:pt>
                <c:pt idx="186">
                  <c:v>24.161319646387458</c:v>
                </c:pt>
                <c:pt idx="187">
                  <c:v>24.127336413493072</c:v>
                </c:pt>
                <c:pt idx="188">
                  <c:v>24.092473675796366</c:v>
                </c:pt>
                <c:pt idx="189">
                  <c:v>24.056734035382554</c:v>
                </c:pt>
                <c:pt idx="190">
                  <c:v>24.020121829060326</c:v>
                </c:pt>
                <c:pt idx="191">
                  <c:v>23.982643128361847</c:v>
                </c:pt>
                <c:pt idx="192">
                  <c:v>23.944297933287118</c:v>
                </c:pt>
                <c:pt idx="193">
                  <c:v>23.905087978559614</c:v>
                </c:pt>
                <c:pt idx="194">
                  <c:v>23.865027141967143</c:v>
                </c:pt>
                <c:pt idx="195">
                  <c:v>23.824112821424492</c:v>
                </c:pt>
                <c:pt idx="196">
                  <c:v>23.782351088463827</c:v>
                </c:pt>
                <c:pt idx="197">
                  <c:v>23.739749749340788</c:v>
                </c:pt>
                <c:pt idx="198">
                  <c:v>23.696307936693639</c:v>
                </c:pt>
                <c:pt idx="199">
                  <c:v>23.652036058863235</c:v>
                </c:pt>
                <c:pt idx="200">
                  <c:v>23.606934983211314</c:v>
                </c:pt>
                <c:pt idx="201">
                  <c:v>23.561010781270042</c:v>
                </c:pt>
                <c:pt idx="202">
                  <c:v>23.514272126656799</c:v>
                </c:pt>
                <c:pt idx="203">
                  <c:v>23.466716417286371</c:v>
                </c:pt>
                <c:pt idx="204">
                  <c:v>23.418359265670041</c:v>
                </c:pt>
                <c:pt idx="205">
                  <c:v>23.369195467637383</c:v>
                </c:pt>
                <c:pt idx="206">
                  <c:v>23.319238900976202</c:v>
                </c:pt>
                <c:pt idx="207">
                  <c:v>23.268494769856929</c:v>
                </c:pt>
                <c:pt idx="208">
                  <c:v>23.216961339556086</c:v>
                </c:pt>
                <c:pt idx="209">
                  <c:v>23.164652054180614</c:v>
                </c:pt>
                <c:pt idx="210">
                  <c:v>23.111566046368772</c:v>
                </c:pt>
                <c:pt idx="211">
                  <c:v>23.057714591823153</c:v>
                </c:pt>
                <c:pt idx="212">
                  <c:v>23.003097256862894</c:v>
                </c:pt>
                <c:pt idx="213">
                  <c:v>22.947731388722747</c:v>
                </c:pt>
                <c:pt idx="214">
                  <c:v>22.891611349551422</c:v>
                </c:pt>
                <c:pt idx="215">
                  <c:v>22.834749282413249</c:v>
                </c:pt>
                <c:pt idx="216">
                  <c:v>22.777151692521258</c:v>
                </c:pt>
                <c:pt idx="217">
                  <c:v>22.718823784045885</c:v>
                </c:pt>
                <c:pt idx="218">
                  <c:v>22.659768159072335</c:v>
                </c:pt>
                <c:pt idx="219">
                  <c:v>22.599996960664949</c:v>
                </c:pt>
                <c:pt idx="220">
                  <c:v>22.539514091951542</c:v>
                </c:pt>
                <c:pt idx="221">
                  <c:v>22.478325190783412</c:v>
                </c:pt>
                <c:pt idx="222">
                  <c:v>22.416438497097069</c:v>
                </c:pt>
                <c:pt idx="223">
                  <c:v>22.353861817148157</c:v>
                </c:pt>
                <c:pt idx="224">
                  <c:v>22.290596885660154</c:v>
                </c:pt>
                <c:pt idx="225">
                  <c:v>22.226657580420863</c:v>
                </c:pt>
                <c:pt idx="226">
                  <c:v>22.162044768792022</c:v>
                </c:pt>
                <c:pt idx="227">
                  <c:v>22.096769292795361</c:v>
                </c:pt>
                <c:pt idx="228">
                  <c:v>22.030833754516088</c:v>
                </c:pt>
                <c:pt idx="229">
                  <c:v>21.964252465422884</c:v>
                </c:pt>
                <c:pt idx="230">
                  <c:v>21.897026726558355</c:v>
                </c:pt>
                <c:pt idx="231">
                  <c:v>21.829164344178142</c:v>
                </c:pt>
                <c:pt idx="232">
                  <c:v>21.760673124537888</c:v>
                </c:pt>
                <c:pt idx="233">
                  <c:v>21.69155827180802</c:v>
                </c:pt>
                <c:pt idx="234">
                  <c:v>21.621830628010265</c:v>
                </c:pt>
                <c:pt idx="235">
                  <c:v>21.551497132038524</c:v>
                </c:pt>
                <c:pt idx="236">
                  <c:v>21.480564289105832</c:v>
                </c:pt>
                <c:pt idx="237">
                  <c:v>21.409038604425223</c:v>
                </c:pt>
                <c:pt idx="238">
                  <c:v>21.336928751614082</c:v>
                </c:pt>
                <c:pt idx="239">
                  <c:v>21.26424166956631</c:v>
                </c:pt>
                <c:pt idx="240">
                  <c:v>21.190982996133201</c:v>
                </c:pt>
                <c:pt idx="241">
                  <c:v>21.117167476464306</c:v>
                </c:pt>
                <c:pt idx="242">
                  <c:v>21.042792508474406</c:v>
                </c:pt>
                <c:pt idx="243">
                  <c:v>20.967874138355658</c:v>
                </c:pt>
                <c:pt idx="244">
                  <c:v>20.892415835555013</c:v>
                </c:pt>
                <c:pt idx="245">
                  <c:v>20.816426273689849</c:v>
                </c:pt>
                <c:pt idx="246">
                  <c:v>20.739914560058416</c:v>
                </c:pt>
                <c:pt idx="247">
                  <c:v>20.662885031469404</c:v>
                </c:pt>
                <c:pt idx="248">
                  <c:v>20.585350264668012</c:v>
                </c:pt>
                <c:pt idx="249">
                  <c:v>20.507311994377719</c:v>
                </c:pt>
                <c:pt idx="250">
                  <c:v>20.428786266790677</c:v>
                </c:pt>
                <c:pt idx="251">
                  <c:v>20.349773081906886</c:v>
                </c:pt>
                <c:pt idx="252">
                  <c:v>20.270286751195023</c:v>
                </c:pt>
                <c:pt idx="253">
                  <c:v>20.190330310421167</c:v>
                </c:pt>
                <c:pt idx="254">
                  <c:v>20.109915035287919</c:v>
                </c:pt>
                <c:pt idx="255">
                  <c:v>20.029044395242224</c:v>
                </c:pt>
                <c:pt idx="256">
                  <c:v>19.947735303837977</c:v>
                </c:pt>
                <c:pt idx="257">
                  <c:v>19.865989062117784</c:v>
                </c:pt>
                <c:pt idx="258">
                  <c:v>19.783810006890334</c:v>
                </c:pt>
                <c:pt idx="259">
                  <c:v>19.701216352752127</c:v>
                </c:pt>
                <c:pt idx="260">
                  <c:v>19.618207232341422</c:v>
                </c:pt>
                <c:pt idx="261">
                  <c:v>19.534799125531244</c:v>
                </c:pt>
                <c:pt idx="262">
                  <c:v>19.45099203232159</c:v>
                </c:pt>
                <c:pt idx="263">
                  <c:v>19.366798529457665</c:v>
                </c:pt>
                <c:pt idx="264">
                  <c:v>19.282226856875972</c:v>
                </c:pt>
                <c:pt idx="265">
                  <c:v>19.197283953470425</c:v>
                </c:pt>
                <c:pt idx="266">
                  <c:v>19.111979793901003</c:v>
                </c:pt>
                <c:pt idx="267">
                  <c:v>19.02631784761466</c:v>
                </c:pt>
                <c:pt idx="268">
                  <c:v>18.940311558718339</c:v>
                </c:pt>
                <c:pt idx="269">
                  <c:v>18.853965264020722</c:v>
                </c:pt>
                <c:pt idx="270">
                  <c:v>18.767292407628755</c:v>
                </c:pt>
                <c:pt idx="271">
                  <c:v>18.680294724265913</c:v>
                </c:pt>
                <c:pt idx="272">
                  <c:v>18.592983923315654</c:v>
                </c:pt>
                <c:pt idx="273">
                  <c:v>18.505366509991017</c:v>
                </c:pt>
                <c:pt idx="274">
                  <c:v>18.417455494718073</c:v>
                </c:pt>
                <c:pt idx="275">
                  <c:v>18.329253479582032</c:v>
                </c:pt>
                <c:pt idx="276">
                  <c:v>18.240767403476799</c:v>
                </c:pt>
                <c:pt idx="277">
                  <c:v>18.15201331259453</c:v>
                </c:pt>
                <c:pt idx="278">
                  <c:v>18.062992941658695</c:v>
                </c:pt>
                <c:pt idx="279">
                  <c:v>17.973713663244073</c:v>
                </c:pt>
                <c:pt idx="280">
                  <c:v>17.884186753053257</c:v>
                </c:pt>
                <c:pt idx="281">
                  <c:v>17.794422185746228</c:v>
                </c:pt>
                <c:pt idx="282">
                  <c:v>17.704424731812551</c:v>
                </c:pt>
                <c:pt idx="283">
                  <c:v>17.614204365912212</c:v>
                </c:pt>
                <c:pt idx="284">
                  <c:v>17.523764123811294</c:v>
                </c:pt>
                <c:pt idx="285">
                  <c:v>17.433119184340207</c:v>
                </c:pt>
                <c:pt idx="286">
                  <c:v>17.342271715903301</c:v>
                </c:pt>
                <c:pt idx="287">
                  <c:v>17.251236463650123</c:v>
                </c:pt>
                <c:pt idx="288">
                  <c:v>17.160012560218931</c:v>
                </c:pt>
                <c:pt idx="289">
                  <c:v>17.068615618121008</c:v>
                </c:pt>
                <c:pt idx="290">
                  <c:v>16.977053009931133</c:v>
                </c:pt>
                <c:pt idx="291">
                  <c:v>16.885327771415383</c:v>
                </c:pt>
                <c:pt idx="292">
                  <c:v>16.793449877233748</c:v>
                </c:pt>
                <c:pt idx="293">
                  <c:v>16.701429735727082</c:v>
                </c:pt>
                <c:pt idx="294">
                  <c:v>16.609272117384943</c:v>
                </c:pt>
                <c:pt idx="295">
                  <c:v>16.516990032633405</c:v>
                </c:pt>
                <c:pt idx="296">
                  <c:v>16.424581313068121</c:v>
                </c:pt>
                <c:pt idx="297">
                  <c:v>16.332061571200374</c:v>
                </c:pt>
                <c:pt idx="298">
                  <c:v>16.239439914328415</c:v>
                </c:pt>
                <c:pt idx="299">
                  <c:v>16.146719378218322</c:v>
                </c:pt>
                <c:pt idx="300">
                  <c:v>16.053907335444872</c:v>
                </c:pt>
                <c:pt idx="301">
                  <c:v>15.961012893306314</c:v>
                </c:pt>
                <c:pt idx="302">
                  <c:v>15.868049062228717</c:v>
                </c:pt>
                <c:pt idx="303">
                  <c:v>15.775015408531212</c:v>
                </c:pt>
                <c:pt idx="304">
                  <c:v>15.681922340554655</c:v>
                </c:pt>
                <c:pt idx="305">
                  <c:v>15.58877636351208</c:v>
                </c:pt>
                <c:pt idx="306">
                  <c:v>15.495588753106082</c:v>
                </c:pt>
                <c:pt idx="307">
                  <c:v>15.402362978783612</c:v>
                </c:pt>
                <c:pt idx="308">
                  <c:v>15.309105545757706</c:v>
                </c:pt>
                <c:pt idx="309">
                  <c:v>15.215827729730957</c:v>
                </c:pt>
                <c:pt idx="310">
                  <c:v>15.12253646959727</c:v>
                </c:pt>
                <c:pt idx="311">
                  <c:v>15.02923740320794</c:v>
                </c:pt>
                <c:pt idx="312">
                  <c:v>14.935937035776004</c:v>
                </c:pt>
                <c:pt idx="313">
                  <c:v>14.842643607237971</c:v>
                </c:pt>
                <c:pt idx="314">
                  <c:v>14.749364490168615</c:v>
                </c:pt>
                <c:pt idx="315">
                  <c:v>14.65610662346184</c:v>
                </c:pt>
                <c:pt idx="316">
                  <c:v>14.56287651233068</c:v>
                </c:pt>
                <c:pt idx="317">
                  <c:v>14.469681529349909</c:v>
                </c:pt>
                <c:pt idx="318">
                  <c:v>14.376529480775169</c:v>
                </c:pt>
                <c:pt idx="319">
                  <c:v>14.283424269734279</c:v>
                </c:pt>
                <c:pt idx="320">
                  <c:v>14.190375870887229</c:v>
                </c:pt>
                <c:pt idx="321">
                  <c:v>14.09739122312792</c:v>
                </c:pt>
                <c:pt idx="322">
                  <c:v>14.004475530626781</c:v>
                </c:pt>
                <c:pt idx="323">
                  <c:v>13.911634864915978</c:v>
                </c:pt>
                <c:pt idx="324">
                  <c:v>13.818877032251153</c:v>
                </c:pt>
                <c:pt idx="325">
                  <c:v>13.726207670483603</c:v>
                </c:pt>
                <c:pt idx="326">
                  <c:v>13.63363458586897</c:v>
                </c:pt>
                <c:pt idx="327">
                  <c:v>13.541163849939419</c:v>
                </c:pt>
                <c:pt idx="328">
                  <c:v>13.448802401588855</c:v>
                </c:pt>
                <c:pt idx="329">
                  <c:v>13.356556746030313</c:v>
                </c:pt>
                <c:pt idx="330">
                  <c:v>13.26443165375335</c:v>
                </c:pt>
                <c:pt idx="331">
                  <c:v>13.172434497332741</c:v>
                </c:pt>
                <c:pt idx="332">
                  <c:v>13.08056744517283</c:v>
                </c:pt>
                <c:pt idx="333">
                  <c:v>12.98884264033795</c:v>
                </c:pt>
                <c:pt idx="334">
                  <c:v>12.897265286998527</c:v>
                </c:pt>
                <c:pt idx="335">
                  <c:v>12.805838420920646</c:v>
                </c:pt>
                <c:pt idx="336">
                  <c:v>12.714568980998209</c:v>
                </c:pt>
                <c:pt idx="337">
                  <c:v>12.623463906125121</c:v>
                </c:pt>
                <c:pt idx="338">
                  <c:v>12.532527966790941</c:v>
                </c:pt>
                <c:pt idx="339">
                  <c:v>12.441766800846965</c:v>
                </c:pt>
                <c:pt idx="340">
                  <c:v>12.351186913506229</c:v>
                </c:pt>
                <c:pt idx="341">
                  <c:v>12.260796544705244</c:v>
                </c:pt>
                <c:pt idx="342">
                  <c:v>12.17059526076314</c:v>
                </c:pt>
                <c:pt idx="343">
                  <c:v>12.080592602659035</c:v>
                </c:pt>
                <c:pt idx="344">
                  <c:v>11.990793774563357</c:v>
                </c:pt>
                <c:pt idx="345">
                  <c:v>11.901199643837845</c:v>
                </c:pt>
                <c:pt idx="346">
                  <c:v>11.811825389312913</c:v>
                </c:pt>
                <c:pt idx="347">
                  <c:v>11.722668408903347</c:v>
                </c:pt>
                <c:pt idx="348">
                  <c:v>11.633733039417837</c:v>
                </c:pt>
                <c:pt idx="349">
                  <c:v>11.545030122878108</c:v>
                </c:pt>
                <c:pt idx="350">
                  <c:v>11.456560526645898</c:v>
                </c:pt>
                <c:pt idx="351">
                  <c:v>11.368330755934242</c:v>
                </c:pt>
                <c:pt idx="352">
                  <c:v>11.280346448594436</c:v>
                </c:pt>
                <c:pt idx="353">
                  <c:v>11.192607604626481</c:v>
                </c:pt>
                <c:pt idx="354">
                  <c:v>11.105130703903399</c:v>
                </c:pt>
                <c:pt idx="355">
                  <c:v>11.017905338084333</c:v>
                </c:pt>
                <c:pt idx="356">
                  <c:v>10.93094581863796</c:v>
                </c:pt>
                <c:pt idx="357">
                  <c:v>10.844257349734709</c:v>
                </c:pt>
                <c:pt idx="358">
                  <c:v>10.757839497693711</c:v>
                </c:pt>
                <c:pt idx="359">
                  <c:v>10.671696599323655</c:v>
                </c:pt>
                <c:pt idx="360">
                  <c:v>10.585836460880182</c:v>
                </c:pt>
                <c:pt idx="361">
                  <c:v>10.500262551810247</c:v>
                </c:pt>
                <c:pt idx="362">
                  <c:v>10.414980509965144</c:v>
                </c:pt>
                <c:pt idx="363">
                  <c:v>10.329990769025743</c:v>
                </c:pt>
                <c:pt idx="364">
                  <c:v>10.245299834205079</c:v>
                </c:pt>
                <c:pt idx="365">
                  <c:v>10.160912475992712</c:v>
                </c:pt>
                <c:pt idx="366">
                  <c:v>10.076831513314289</c:v>
                </c:pt>
                <c:pt idx="367">
                  <c:v>9.9930604156167622</c:v>
                </c:pt>
                <c:pt idx="368">
                  <c:v>9.9096022186662136</c:v>
                </c:pt>
                <c:pt idx="369">
                  <c:v>9.8264627771543775</c:v>
                </c:pt>
                <c:pt idx="370">
                  <c:v>9.7436453436877688</c:v>
                </c:pt>
                <c:pt idx="371">
                  <c:v>9.6611566403198577</c:v>
                </c:pt>
                <c:pt idx="372">
                  <c:v>9.5789934144441258</c:v>
                </c:pt>
                <c:pt idx="373">
                  <c:v>9.4971645565183902</c:v>
                </c:pt>
                <c:pt idx="374">
                  <c:v>9.4156707170639518</c:v>
                </c:pt>
                <c:pt idx="375">
                  <c:v>9.3345142813255908</c:v>
                </c:pt>
                <c:pt idx="376">
                  <c:v>9.2537043566015562</c:v>
                </c:pt>
                <c:pt idx="377">
                  <c:v>9.1732361724022891</c:v>
                </c:pt>
                <c:pt idx="378">
                  <c:v>9.0931190528664718</c:v>
                </c:pt>
                <c:pt idx="379">
                  <c:v>9.0133542990367133</c:v>
                </c:pt>
                <c:pt idx="380">
                  <c:v>8.9339451635195299</c:v>
                </c:pt>
                <c:pt idx="381">
                  <c:v>8.8548955494427428</c:v>
                </c:pt>
                <c:pt idx="382">
                  <c:v>8.7762037220828759</c:v>
                </c:pt>
                <c:pt idx="383">
                  <c:v>8.6978779213764401</c:v>
                </c:pt>
                <c:pt idx="384">
                  <c:v>8.6199190146851734</c:v>
                </c:pt>
                <c:pt idx="385">
                  <c:v>8.5423298209347251</c:v>
                </c:pt>
                <c:pt idx="386">
                  <c:v>8.4651079548803132</c:v>
                </c:pt>
                <c:pt idx="387">
                  <c:v>8.388265993267142</c:v>
                </c:pt>
                <c:pt idx="388">
                  <c:v>8.3117978645630419</c:v>
                </c:pt>
                <c:pt idx="389">
                  <c:v>8.2357126760662656</c:v>
                </c:pt>
                <c:pt idx="390">
                  <c:v>8.1600058741276857</c:v>
                </c:pt>
                <c:pt idx="391">
                  <c:v>8.0846839639603374</c:v>
                </c:pt>
                <c:pt idx="392">
                  <c:v>8.0097510655324786</c:v>
                </c:pt>
                <c:pt idx="393">
                  <c:v>7.9352050104397609</c:v>
                </c:pt>
                <c:pt idx="394">
                  <c:v>7.8610479670865319</c:v>
                </c:pt>
                <c:pt idx="395">
                  <c:v>7.7872849228027841</c:v>
                </c:pt>
                <c:pt idx="396">
                  <c:v>7.713917395471559</c:v>
                </c:pt>
                <c:pt idx="397">
                  <c:v>7.6409477703376361</c:v>
                </c:pt>
                <c:pt idx="398">
                  <c:v>7.5683719274327599</c:v>
                </c:pt>
                <c:pt idx="399">
                  <c:v>7.4962004919382208</c:v>
                </c:pt>
                <c:pt idx="400">
                  <c:v>7.4244295607261979</c:v>
                </c:pt>
                <c:pt idx="401">
                  <c:v>7.3530623864032085</c:v>
                </c:pt>
                <c:pt idx="402">
                  <c:v>7.2820998363309908</c:v>
                </c:pt>
                <c:pt idx="403">
                  <c:v>7.2115453799564966</c:v>
                </c:pt>
                <c:pt idx="404">
                  <c:v>7.1413994509605949</c:v>
                </c:pt>
                <c:pt idx="405">
                  <c:v>7.0716624830241548</c:v>
                </c:pt>
                <c:pt idx="406">
                  <c:v>7.0023364277110867</c:v>
                </c:pt>
                <c:pt idx="407">
                  <c:v>6.9334204176596526</c:v>
                </c:pt>
                <c:pt idx="408">
                  <c:v>6.8649183559976734</c:v>
                </c:pt>
                <c:pt idx="409">
                  <c:v>6.7968321942890597</c:v>
                </c:pt>
                <c:pt idx="410">
                  <c:v>6.7291621493742459</c:v>
                </c:pt>
                <c:pt idx="411">
                  <c:v>6.6619119075406186</c:v>
                </c:pt>
                <c:pt idx="412">
                  <c:v>6.5950723614899287</c:v>
                </c:pt>
                <c:pt idx="413">
                  <c:v>6.5286604247760671</c:v>
                </c:pt>
                <c:pt idx="414">
                  <c:v>6.462660918568619</c:v>
                </c:pt>
                <c:pt idx="415">
                  <c:v>6.3970849017297438</c:v>
                </c:pt>
                <c:pt idx="416">
                  <c:v>6.3319291216529239</c:v>
                </c:pt>
                <c:pt idx="417">
                  <c:v>6.2671957467425043</c:v>
                </c:pt>
                <c:pt idx="418">
                  <c:v>6.2028849938389197</c:v>
                </c:pt>
                <c:pt idx="419">
                  <c:v>6.1389983808252113</c:v>
                </c:pt>
                <c:pt idx="420">
                  <c:v>6.0755361245418138</c:v>
                </c:pt>
                <c:pt idx="421">
                  <c:v>6.0124936713396027</c:v>
                </c:pt>
                <c:pt idx="422">
                  <c:v>5.9498770927507438</c:v>
                </c:pt>
                <c:pt idx="423">
                  <c:v>5.8876915929456652</c:v>
                </c:pt>
                <c:pt idx="424">
                  <c:v>5.82592719726438</c:v>
                </c:pt>
                <c:pt idx="425">
                  <c:v>5.7645873751538401</c:v>
                </c:pt>
                <c:pt idx="426">
                  <c:v>5.703674078177956</c:v>
                </c:pt>
                <c:pt idx="427">
                  <c:v>5.6431875231771622</c:v>
                </c:pt>
                <c:pt idx="428">
                  <c:v>5.5831264091088517</c:v>
                </c:pt>
                <c:pt idx="429">
                  <c:v>5.5234916033347625</c:v>
                </c:pt>
                <c:pt idx="430">
                  <c:v>5.4642835395357636</c:v>
                </c:pt>
                <c:pt idx="431">
                  <c:v>5.405503518754462</c:v>
                </c:pt>
                <c:pt idx="432">
                  <c:v>5.3471469873417332</c:v>
                </c:pt>
                <c:pt idx="433">
                  <c:v>5.2892152463401843</c:v>
                </c:pt>
                <c:pt idx="434">
                  <c:v>5.231714367281981</c:v>
                </c:pt>
                <c:pt idx="435">
                  <c:v>5.1746339418262677</c:v>
                </c:pt>
                <c:pt idx="436">
                  <c:v>5.1179817762286861</c:v>
                </c:pt>
                <c:pt idx="437">
                  <c:v>5.0617567862870638</c:v>
                </c:pt>
                <c:pt idx="438">
                  <c:v>5.0059533341501039</c:v>
                </c:pt>
                <c:pt idx="439">
                  <c:v>4.9505738050625858</c:v>
                </c:pt>
                <c:pt idx="440">
                  <c:v>4.8956164643010336</c:v>
                </c:pt>
                <c:pt idx="441">
                  <c:v>4.8410878170784821</c:v>
                </c:pt>
                <c:pt idx="442">
                  <c:v>4.7869776718945101</c:v>
                </c:pt>
                <c:pt idx="443">
                  <c:v>4.7332912329195453</c:v>
                </c:pt>
                <c:pt idx="444">
                  <c:v>4.6800282833131535</c:v>
                </c:pt>
                <c:pt idx="445">
                  <c:v>4.6271860041496859</c:v>
                </c:pt>
                <c:pt idx="446">
                  <c:v>4.5747615765034944</c:v>
                </c:pt>
                <c:pt idx="447">
                  <c:v>4.5227552172150132</c:v>
                </c:pt>
                <c:pt idx="448">
                  <c:v>4.4711732146568428</c:v>
                </c:pt>
                <c:pt idx="449">
                  <c:v>4.4200033173444346</c:v>
                </c:pt>
                <c:pt idx="450">
                  <c:v>4.369252789432343</c:v>
                </c:pt>
                <c:pt idx="451">
                  <c:v>4.3189203298779626</c:v>
                </c:pt>
                <c:pt idx="452">
                  <c:v>4.2689986745267365</c:v>
                </c:pt>
                <c:pt idx="453">
                  <c:v>4.2194956296343067</c:v>
                </c:pt>
                <c:pt idx="454">
                  <c:v>4.170402955264163</c:v>
                </c:pt>
                <c:pt idx="455">
                  <c:v>4.1217271566293405</c:v>
                </c:pt>
                <c:pt idx="456">
                  <c:v>4.0734590180113717</c:v>
                </c:pt>
                <c:pt idx="457">
                  <c:v>4.0256007078146032</c:v>
                </c:pt>
                <c:pt idx="458">
                  <c:v>3.9781499492144712</c:v>
                </c:pt>
                <c:pt idx="459">
                  <c:v>3.9311093442961909</c:v>
                </c:pt>
                <c:pt idx="460">
                  <c:v>3.8844706531232509</c:v>
                </c:pt>
                <c:pt idx="461">
                  <c:v>3.8382461271802004</c:v>
                </c:pt>
                <c:pt idx="462">
                  <c:v>3.7924183108120624</c:v>
                </c:pt>
                <c:pt idx="463">
                  <c:v>3.7469978292001271</c:v>
                </c:pt>
                <c:pt idx="464">
                  <c:v>3.7019751413652768</c:v>
                </c:pt>
                <c:pt idx="465">
                  <c:v>3.6573512230894667</c:v>
                </c:pt>
                <c:pt idx="466">
                  <c:v>3.6131313869633419</c:v>
                </c:pt>
                <c:pt idx="467">
                  <c:v>3.5693041404438741</c:v>
                </c:pt>
                <c:pt idx="468">
                  <c:v>3.5258707845736703</c:v>
                </c:pt>
                <c:pt idx="469">
                  <c:v>3.4828339214379445</c:v>
                </c:pt>
                <c:pt idx="470">
                  <c:v>3.4401913826323516</c:v>
                </c:pt>
                <c:pt idx="471">
                  <c:v>3.3979386145077672</c:v>
                </c:pt>
                <c:pt idx="472">
                  <c:v>3.3560763760057122</c:v>
                </c:pt>
                <c:pt idx="473">
                  <c:v>3.3146017397803207</c:v>
                </c:pt>
                <c:pt idx="474">
                  <c:v>3.2735119953261615</c:v>
                </c:pt>
                <c:pt idx="475">
                  <c:v>3.232806383701714</c:v>
                </c:pt>
                <c:pt idx="476">
                  <c:v>3.1924860975293679</c:v>
                </c:pt>
                <c:pt idx="477">
                  <c:v>3.1525470168408676</c:v>
                </c:pt>
                <c:pt idx="478">
                  <c:v>3.1129861058701302</c:v>
                </c:pt>
                <c:pt idx="479">
                  <c:v>3.0738044488193283</c:v>
                </c:pt>
                <c:pt idx="480">
                  <c:v>3.0350005278054204</c:v>
                </c:pt>
                <c:pt idx="481">
                  <c:v>2.9965662113121128</c:v>
                </c:pt>
                <c:pt idx="482">
                  <c:v>2.9585081129726576</c:v>
                </c:pt>
                <c:pt idx="483">
                  <c:v>2.9208194023133682</c:v>
                </c:pt>
                <c:pt idx="484">
                  <c:v>2.8835015972172862</c:v>
                </c:pt>
                <c:pt idx="485">
                  <c:v>2.8465469998489867</c:v>
                </c:pt>
                <c:pt idx="486">
                  <c:v>2.8099634164641119</c:v>
                </c:pt>
                <c:pt idx="487">
                  <c:v>2.7737375113759399</c:v>
                </c:pt>
                <c:pt idx="488">
                  <c:v>2.7378766571592439</c:v>
                </c:pt>
                <c:pt idx="489">
                  <c:v>2.7023726138775128</c:v>
                </c:pt>
                <c:pt idx="490">
                  <c:v>2.6672262488924847</c:v>
                </c:pt>
                <c:pt idx="491">
                  <c:v>2.6324371285232906</c:v>
                </c:pt>
                <c:pt idx="492">
                  <c:v>2.597999831759068</c:v>
                </c:pt>
                <c:pt idx="493">
                  <c:v>2.5639159849030757</c:v>
                </c:pt>
                <c:pt idx="494">
                  <c:v>2.5301806006253202</c:v>
                </c:pt>
                <c:pt idx="495">
                  <c:v>2.4967941126066706</c:v>
                </c:pt>
                <c:pt idx="496">
                  <c:v>2.4637512082564816</c:v>
           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2.366680636189944</c:v>
                </c:pt>
                <c:pt idx="500">
                  <c:v>2.3349973213640518</c:v>
                </c:pt>
                <c:pt idx="501">
                  <c:v>2.3036508681531509</c:v>
                </c:pt>
                <c:pt idx="502">
                  <c:v>2.2726397586741998</c:v>
                </c:pt>
                <c:pt idx="503">
                  <c:v>2.2419619329430707</c:v>
                </c:pt>
                <c:pt idx="504">
                  <c:v>2.2116115362680322</c:v>
                </c:pt>
                <c:pt idx="505">
                  <c:v>2.1815833644786564</c:v>
                </c:pt>
                <c:pt idx="506">
                  <c:v>2.1518850612002596</c:v>
                </c:pt>
                <c:pt idx="507">
                  <c:v>2.1225045917887266</c:v>
                </c:pt>
                <c:pt idx="508">
                  <c:v>2.0934479735661151</c:v>
                </c:pt>
                <c:pt idx="509">
                  <c:v>2.0647064787049363</c:v>
                </c:pt>
                <c:pt idx="510">
                  <c:v>2.0362873171496378</c:v>
                </c:pt>
                <c:pt idx="511">
                  <c:v>2.0081786168864304</c:v>
                </c:pt>
                <c:pt idx="512">
                  <c:v>1.980378643191838</c:v>
                </c:pt>
                <c:pt idx="513">
                  <c:v>1.9528914618240079</c:v>
                </c:pt>
                <c:pt idx="514">
                  <c:v>1.9257120312428377</c:v>
                </c:pt>
                <c:pt idx="515">
                  <c:v>1.8988329788735547</c:v>
                </c:pt>
                <c:pt idx="516">
                  <c:v>1.8722583704743057</c:v>
                </c:pt>
                <c:pt idx="517">
                  <c:v>1.8459876097338956</c:v>
                </c:pt>
                <c:pt idx="518">
                  <c:v>1.8200150045909191</c:v>
                </c:pt>
                <c:pt idx="519">
                  <c:v>1.7943364350771207</c:v>
                </c:pt>
                <c:pt idx="520">
                  <c:v>1.768955695900104</c:v>
                </c:pt>
                <c:pt idx="521">
                  <c:v>1.7438610776764063</c:v>
                </c:pt>
                <c:pt idx="522">
                  <c:v>1.7190579472067813</c:v>
                </c:pt>
                <c:pt idx="523">
                  <c:v>1.6945444071374272</c:v>
                </c:pt>
                <c:pt idx="524">
                  <c:v>1.6703146027766125</c:v>
                </c:pt>
                <c:pt idx="525">
                  <c:v>1.6463682630737941</c:v>
                </c:pt>
                <c:pt idx="526">
                  <c:v>1.6227023522628892</c:v>
                </c:pt>
                <c:pt idx="527">
                  <c:v>1.5993182255966132</c:v>
                </c:pt>
                <c:pt idx="528">
                  <c:v>1.5762027100185705</c:v>
                </c:pt>
                <c:pt idx="529">
                  <c:v>1.5533670812313549</c:v>
                </c:pt>
                <c:pt idx="530">
                  <c:v>1.530803912450085</c:v>
                </c:pt>
                <c:pt idx="531">
                  <c:v>1.5085061563606394</c:v>
                </c:pt>
                <c:pt idx="532">
                  <c:v>1.4864796676547498</c:v>
                </c:pt>
                <c:pt idx="533">
                  <c:v>1.4647170737576432</c:v>
                </c:pt>
                <c:pt idx="534">
                  <c:v>1.443213387339326</c:v>
                </c:pt>
                <c:pt idx="535">
                  <c:v>1.4219780409586991</c:v>
                </c:pt>
                <c:pt idx="536">
                  <c:v>1.4009974278784976</c:v>
                </c:pt>
                <c:pt idx="537">
                  <c:v>1.3802737165030665</c:v>
                </c:pt>
                <c:pt idx="538">
                  <c:v>1.3598006726699141</c:v>
                </c:pt>
                <c:pt idx="539">
                  <c:v>1.3395844221213149</c:v>
                </c:pt>
                <c:pt idx="540">
                  <c:v>1.3196148817770648</c:v>
                </c:pt>
                <c:pt idx="541">
                  <c:v>1.2998950874032467</c:v>
                </c:pt>
                <c:pt idx="542">
                  <c:v>1.2804207021911707</c:v>
                </c:pt>
                <c:pt idx="543">
                  <c:v>1.2611857630288881</c:v>
                </c:pt>
                <c:pt idx="544">
                  <c:v>1.2421947693554147</c:v>
                </c:pt>
                <c:pt idx="545">
                  <c:v>1.2234411617476071</c:v>
                </c:pt>
                <c:pt idx="546">
                  <c:v>1.204927271240136</c:v>
                </c:pt>
                <c:pt idx="547">
                  <c:v>1.1866458878885544</c:v>
                </c:pt>
                <c:pt idx="548">
                  <c:v>1.1685976080040572</c:v>
                </c:pt>
                <c:pt idx="549">
                  <c:v>1.1507780405678458</c:v>
                </c:pt>
                <c:pt idx="550">
                  <c:v>1.1331852882261184</c:v>
                </c:pt>
                <c:pt idx="551">
                  <c:v>1.1158231998965873</c:v>
                </c:pt>
                <c:pt idx="552">
                  <c:v>1.0986790904138344</c:v>
                </c:pt>
                <c:pt idx="553">
                  <c:v>1.0817618502356741</c:v>
                </c:pt>
                <c:pt idx="554">
                  <c:v>1.0650616131223367</c:v>
                </c:pt>
                <c:pt idx="555">
                  <c:v>1.0485754517279566</c:v>
                </c:pt>
                <c:pt idx="556">
                  <c:v>1.0323122023002396</c:v>
                </c:pt>
                <c:pt idx="557">
                  <c:v>1.0162543820791543</c:v>
                </c:pt>
                <c:pt idx="558">
                  <c:v>1.0004124807207193</c:v>
                </c:pt>
                <c:pt idx="559">
                  <c:v>0.98477682172054548</c:v>
                </c:pt>
                <c:pt idx="560">
                  <c:v>0.96934846217575088</c:v>
                </c:pt>
                <c:pt idx="561">
                  <c:v>0.95412891996937699</c:v>
                </c:pt>
                <c:pt idx="562">
                  <c:v>0.93910518467535398</c:v>
                </c:pt>
                <c:pt idx="563">
                  <c:v>0.92428939935801369</c:v>
                </c:pt>
                <c:pt idx="564">
                  <c:v>0.90967004436927346</c:v>
                </c:pt>
                <c:pt idx="565">
                  <c:v>0.89524495130478832</c:v>
                </c:pt>
                <c:pt idx="566">
                  <c:v>0.8810155296273825</c:v>
                </c:pt>
                <c:pt idx="567">
                  <c:v>0.86697980066809122</c:v>
                </c:pt>
                <c:pt idx="568">
                  <c:v>0.85313708680055667</c:v>
                </c:pt>
                <c:pt idx="569">
                  <c:v>0.83947996123989732</c:v>
                </c:pt>
                <c:pt idx="570">
                  <c:v>0.82601051107529522</c:v>
                </c:pt>
                <c:pt idx="571">
                  <c:v>0.81272353213632242</c:v>
                </c:pt>
                <c:pt idx="572">
                  <c:v>0.79962035257064024</c:v>
                </c:pt>
                <c:pt idx="573">
                  <c:v>0.78670146026922627</c:v>
                </c:pt>
                <c:pt idx="574">
                  <c:v>0.77395839845513514</c:v>
                </c:pt>
                <c:pt idx="575">
                  <c:v>0.76139577498759992</c:v>
                </c:pt>
                <c:pt idx="576">
                  <c:v>0.74900467230375189</c:v>
                </c:pt>
                <c:pt idx="577">
                  <c:v>0.73678861406065166</c:v>
                </c:pt>
                <c:pt idx="578">
                  <c:v>0.72474071557450392</c:v>
                </c:pt>
                <c:pt idx="579">
                  <c:v>0.71286582865003056</c:v>
                </c:pt>
                <c:pt idx="580">
                  <c:v>0.70115514414458013</c:v>
                </c:pt>
                <c:pt idx="581">
                  <c:v>0.68961150808885541</c:v>
                </c:pt>
                <c:pt idx="582">
                  <c:v>0.67823253523807692</c:v>
                </c:pt>
                <c:pt idx="583">
                  <c:v>0.66701621981822556</c:v>
                </c:pt>
                <c:pt idx="584">
                  <c:v>0.65596042053001069</c:v>
                </c:pt>
                <c:pt idx="585">
                  <c:v>0.64506318580952182</c:v>
                </c:pt>
                <c:pt idx="586">
                  <c:v>0.63431977227225433</c:v>
                </c:pt>
                <c:pt idx="587">
                  <c:v>0.62373551961390772</c:v>
                </c:pt>
                <c:pt idx="588">
                  <c:v>0.61330018212395199</c:v>
                </c:pt>
                <c:pt idx="589">
                  <c:v>0.60301766293020809</c:v>
                </c:pt>
                <c:pt idx="590">
                  <c:v>0.59288731151137253</c:v>
                </c:pt>
                <c:pt idx="591">
                  <c:v>0.5828974997991454</c:v>
                </c:pt>
                <c:pt idx="592">
                  <c:v>0.57305801271813339</c:v>
                </c:pt>
                <c:pt idx="593">
                  <c:v>0.56336673607410015</c:v>
                </c:pt>
                <c:pt idx="594">
                  <c:v>0.55381388494243899</c:v>
                </c:pt>
                <c:pt idx="595">
                  <c:v>0.5443994051130413</c:v>
                </c:pt>
                <c:pt idx="596">
                  <c:v>0.53512906996247556</c:v>
                </c:pt>
                <c:pt idx="597">
                  <c:v>0.52599724163944483</c:v>
                </c:pt>
                <c:pt idx="598">
                  <c:v>0.51699707611773538</c:v>
                </c:pt>
                <c:pt idx="599">
                  <c:v>0.50813620347013588</c:v>
                </c:pt>
                <c:pt idx="600">
                  <c:v>0.4993999463097365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E2-409E-BAE2-B31023AE3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079552"/>
        <c:axId val="169081472"/>
      </c:scatterChart>
      <c:valAx>
        <c:axId val="169079552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81472"/>
        <c:crosses val="autoZero"/>
        <c:crossBetween val="midCat"/>
      </c:valAx>
      <c:valAx>
        <c:axId val="169081472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6907955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MarketFit!$S$4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1D-485C-9756-4B6778FD1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793600"/>
        <c:axId val="170795776"/>
      </c:scatterChart>
      <c:valAx>
        <c:axId val="170793600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70795776"/>
        <c:crosses val="autoZero"/>
        <c:crossBetween val="midCat"/>
      </c:valAx>
      <c:valAx>
        <c:axId val="170795776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707936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MarketFit!$T$4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MarketFit!$T$5:$T$605</c:f>
              <c:numCache>
                <c:formatCode>0</c:formatCode>
                <c:ptCount val="601"/>
                <c:pt idx="0">
                  <c:v>19.520312449783361</c:v>
                </c:pt>
                <c:pt idx="1">
                  <c:v>19.62854358217303</c:v>
                </c:pt>
                <c:pt idx="2">
                  <c:v>19.7361103154714</c:v>
                </c:pt>
                <c:pt idx="3">
                  <c:v>19.842958873250716</c:v>
                </c:pt>
                <c:pt idx="4">
                  <c:v>19.949141297215256</c:v>
                </c:pt>
                <c:pt idx="5">
                  <c:v>20.054605545660742</c:v>
                </c:pt>
                <c:pt idx="6">
                  <c:v>20.159362026928029</c:v>
                </c:pt>
                <c:pt idx="7">
                  <c:v>20.263391659058883</c:v>
                </c:pt>
                <c:pt idx="8">
                  <c:v>20.366652808689878</c:v>
                </c:pt>
                <c:pt idx="9">
                  <c:v>20.469173231396631</c:v>
                </c:pt>
                <c:pt idx="10">
                  <c:v>20.570932110497431</c:v>
                </c:pt>
                <c:pt idx="11">
                  <c:v>20.671906894587089</c:v>
                </c:pt>
                <c:pt idx="12">
                  <c:v>20.772106257282985</c:v>
                </c:pt>
                <c:pt idx="13">
                  <c:v>20.871502443009504</c:v>
                </c:pt>
                <c:pt idx="14">
                  <c:v>20.970086778149266</c:v>
                </c:pt>
                <c:pt idx="15">
                  <c:v>21.067847119637939</c:v>
                </c:pt>
                <c:pt idx="16">
                  <c:v>21.164781732752047</c:v>
                </c:pt>
                <c:pt idx="17">
                  <c:v>21.260869800809878</c:v>
                </c:pt>
                <c:pt idx="18">
                  <c:v>21.356107854364481</c:v>
                </c:pt>
                <c:pt idx="19">
                  <c:v>21.450487219798475</c:v>
                </c:pt>
                <c:pt idx="20">
                  <c:v>21.543985345706673</c:v>
                </c:pt>
                <c:pt idx="21">
                  <c:v>21.636617844600359</c:v>
                </c:pt>
                <c:pt idx="22">
                  <c:v>21.728351756733488</c:v>
                </c:pt>
                <c:pt idx="23">
                  <c:v>21.819178408488682</c:v>
                </c:pt>
                <c:pt idx="24">
                  <c:v>21.909103004036368</c:v>
                </c:pt>
                <c:pt idx="25">
                  <c:v>21.998109930865262</c:v>
                </c:pt>
                <c:pt idx="26">
                  <c:v>22.08619225008146</c:v>
                </c:pt>
                <c:pt idx="27">
                  <c:v>22.173323940832823</c:v>
                </c:pt>
                <c:pt idx="28">
                  <c:v>22.259510207289779</c:v>
                </c:pt>
                <c:pt idx="29">
                  <c:v>22.344745845281899</c:v>
                </c:pt>
                <c:pt idx="30">
                  <c:v>22.429030854809184</c:v>
                </c:pt>
                <c:pt idx="31">
                  <c:v>22.512321867784735</c:v>
                </c:pt>
                <c:pt idx="32">
                  <c:v>22.594669191189354</c:v>
                </c:pt>
                <c:pt idx="33">
                  <c:v>22.67599996663705</c:v>
                </c:pt>
                <c:pt idx="34">
                  <c:v>22.756335010809536</c:v>
                </c:pt>
                <c:pt idx="35">
                  <c:v>22.835695140388523</c:v>
                </c:pt>
                <c:pt idx="36">
                  <c:v>22.914017905328876</c:v>
                </c:pt>
                <c:pt idx="37">
                  <c:v>22.991344938994018</c:v>
                </c:pt>
                <c:pt idx="38">
                  <c:v>23.06764154691443</c:v>
                </c:pt>
                <c:pt idx="39">
                  <c:v>23.142897320749256</c:v>
                </c:pt>
                <c:pt idx="40">
                  <c:v>23.217126138286304</c:v>
                </c:pt>
                <c:pt idx="41">
                  <c:v>23.290317591184717</c:v>
                </c:pt>
                <c:pt idx="42">
                  <c:v>23.362433515528025</c:v>
                </c:pt>
                <c:pt idx="43">
                  <c:v>23.433529422467458</c:v>
                </c:pt>
                <c:pt idx="44">
                  <c:v>23.50355673974569</c:v>
                </c:pt>
                <c:pt idx="45">
                  <c:v>23.572494650681008</c:v>
                </c:pt>
                <c:pt idx="46">
                  <c:v>23.640377849742933</c:v>
                </c:pt>
                <c:pt idx="47">
                  <c:v>23.707188989696704</c:v>
                </c:pt>
                <c:pt idx="48">
                  <c:v>23.772910723307561</c:v>
                </c:pt>
                <c:pt idx="49">
                  <c:v>23.837515294999889</c:v>
                </c:pt>
                <c:pt idx="50">
                  <c:v>23.901054746477968</c:v>
                </c:pt>
                <c:pt idx="51">
                  <c:v>23.963487444378373</c:v>
                </c:pt>
                <c:pt idx="52">
                  <c:v>24.024813388701105</c:v>
                </c:pt>
                <c:pt idx="53">
                  <c:v>24.08504298778702</c:v>
                </c:pt>
                <c:pt idx="54">
                  <c:v>24.144162363848309</c:v>
                </c:pt>
                <c:pt idx="55">
                  <c:v>24.202161108544118</c:v>
                </c:pt>
                <c:pt idx="56">
                  <c:v>24.259046160768349</c:v>
                </c:pt>
                <c:pt idx="57">
                  <c:v>24.31479323439234</c:v>
                </c:pt>
                <c:pt idx="58">
                  <c:v>24.369443962779513</c:v>
                </c:pt>
                <c:pt idx="59">
                  <c:v>24.422939365331686</c:v>
                </c:pt>
                <c:pt idx="60">
                  <c:v>24.475303728177522</c:v>
                </c:pt>
                <c:pt idx="61">
                  <c:v>24.526540520763973</c:v>
                </c:pt>
                <c:pt idx="62">
                  <c:v>24.576632395856279</c:v>
                </c:pt>
                <c:pt idx="63">
                  <c:v>24.625582822901393</c:v>
                </c:pt>
                <c:pt idx="64">
                  <c:v>24.673412618581025</c:v>
                </c:pt>
                <c:pt idx="65">
                  <c:v>24.72007321063785</c:v>
                </c:pt>
                <c:pt idx="66">
                  <c:v>24.765568068518817</c:v>
                </c:pt>
                <c:pt idx="67">
                  <c:v>24.809949233928208</c:v>
                </c:pt>
                <c:pt idx="68">
                  <c:v>24.853182012396502</c:v>
                </c:pt>
                <c:pt idx="69">
                  <c:v>24.895252526135891</c:v>
                </c:pt>
                <c:pt idx="70">
                  <c:v>24.936160775146377</c:v>
                </c:pt>
                <c:pt idx="71">
                  <c:v>24.975910228874909</c:v>
                </c:pt>
                <c:pt idx="72">
                  <c:v>25.014507826215393</c:v>
                </c:pt>
                <c:pt idx="73">
                  <c:v>25.051953567167828</c:v>
                </c:pt>
                <c:pt idx="74">
                  <c:v>25.088243982285263</c:v>
                </c:pt>
                <c:pt idx="75">
                  <c:v>25.123361724332938</c:v>
                </c:pt>
                <c:pt idx="76">
                  <c:v>25.157324140545612</c:v>
                </c:pt>
                <c:pt idx="77">
                  <c:v>25.190141639264141</c:v>
                </c:pt>
                <c:pt idx="78">
                  <c:v>25.221793403806814</c:v>
                </c:pt>
                <c:pt idx="79">
                  <c:v>25.25227943417363</c:v>
                </c:pt>
                <c:pt idx="80">
                  <c:v>25.281613608152398</c:v>
                </c:pt>
                <c:pt idx="81">
                  <c:v>25.309799395190069</c:v>
                </c:pt>
                <c:pt idx="82">
                  <c:v>25.336798631370172</c:v>
                </c:pt>
                <c:pt idx="83">
                  <c:v>25.362666827843938</c:v>
                </c:pt>
                <c:pt idx="84">
                  <c:v>25.387365820694896</c:v>
                </c:pt>
                <c:pt idx="85">
                  <c:v>25.410895609923045</c:v>
                </c:pt>
                <c:pt idx="86">
                  <c:v>25.43329782889181</c:v>
                </c:pt>
                <c:pt idx="87">
                  <c:v>25.454541252578622</c:v>
                </c:pt>
                <c:pt idx="88">
                  <c:v>25.474632819877385</c:v>
                </c:pt>
                <c:pt idx="89">
                  <c:v>25.493565591894196</c:v>
                </c:pt>
                <c:pt idx="90">
                  <c:v>25.511370793651622</c:v>
                </c:pt>
                <c:pt idx="91">
                  <c:v>25.528027608467951</c:v>
                </c:pt>
                <c:pt idx="92">
                  <c:v>25.543525628002328</c:v>
                </c:pt>
                <c:pt idx="93">
                  <c:v>25.557882199489512</c:v>
                </c:pt>
                <c:pt idx="94">
                  <c:v>25.571114670164263</c:v>
                </c:pt>
                <c:pt idx="95">
                  <c:v>25.583198753897918</c:v>
                </c:pt>
                <c:pt idx="96">
                  <c:v>25.594148328478283</c:v>
                </c:pt>
                <c:pt idx="97">
                  <c:v>25.603970332799264</c:v>
                </c:pt>
                <c:pt idx="98">
                  <c:v>25.612671705754764</c:v>
                </c:pt>
                <c:pt idx="99">
                  <c:v>25.620242039003926</c:v>
                </c:pt>
                <c:pt idx="100">
                  <c:v>25.626698679781512</c:v>
                </c:pt>
                <c:pt idx="101">
                  <c:v>25.632024280852761</c:v>
                </c:pt>
                <c:pt idx="102">
                  <c:v>25.636243128346337</c:v>
                </c:pt>
                <c:pt idx="103">
                  <c:v>25.639355222262239</c:v>
                </c:pt>
                <c:pt idx="104">
                  <c:v>25.64134668481266</c:v>
                </c:pt>
                <c:pt idx="105">
                  <c:v>25.642220985444553</c:v>
                </c:pt>
                <c:pt idx="106">
                  <c:v>25.642037104756099</c:v>
                </c:pt>
                <c:pt idx="107">
                  <c:v>25.640729123255213</c:v>
                </c:pt>
                <c:pt idx="108">
                  <c:v>25.638342143752268</c:v>
                </c:pt>
                <c:pt idx="109">
                  <c:v>25.634848410671651</c:v>
                </c:pt>
                <c:pt idx="110">
                  <c:v>25.63029996571764</c:v>
                </c:pt>
                <c:pt idx="111">
                  <c:v>25.624682931102427</c:v>
                </c:pt>
                <c:pt idx="112">
                  <c:v>25.617938326227829</c:v>
                </c:pt>
                <c:pt idx="113">
                  <c:v>25.610180642843261</c:v>
                </c:pt>
                <c:pt idx="114">
                  <c:v>25.601326614221875</c:v>
                </c:pt>
                <c:pt idx="115">
                  <c:v>25.591424812621</c:v>
                </c:pt>
                <c:pt idx="116">
                  <c:v>25.580475238040634</c:v>
                </c:pt>
                <c:pt idx="117">
                  <c:v>25.568491768268586</c:v>
                </c:pt>
                <c:pt idx="118">
                  <c:v>25.555425831047529</c:v>
                </c:pt>
                <c:pt idx="119">
                  <c:v>25.541339876422597</c:v>
                </c:pt>
                <c:pt idx="120">
                  <c:v>25.526233904393791</c:v>
                </c:pt>
                <c:pt idx="121">
                  <c:v>25.510094037173303</c:v>
                </c:pt>
                <c:pt idx="122">
                  <c:v>25.492941091442844</c:v>
                </c:pt>
                <c:pt idx="123">
                  <c:v>25.474761189414608</c:v>
                </c:pt>
                <c:pt idx="124">
                  <c:v>25.455582086664208</c:v>
                </c:pt>
                <c:pt idx="125">
                  <c:v>25.435403783191646</c:v>
                </c:pt>
                <c:pt idx="126">
                  <c:v>25.414226278996921</c:v>
                </c:pt>
                <c:pt idx="127">
                  <c:v>25.392063451867841</c:v>
                </c:pt>
                <c:pt idx="128">
                  <c:v>25.368901424016599</c:v>
                </c:pt>
                <c:pt idx="129">
                  <c:v>25.344781828806617</c:v>
                </c:pt>
                <c:pt idx="130">
                  <c:v>25.319669971768377</c:v>
                </c:pt>
                <c:pt idx="131">
                  <c:v>25.293607486265302</c:v>
                </c:pt>
                <c:pt idx="132">
                  <c:v>25.266608250085199</c:v>
                </c:pt>
                <c:pt idx="133">
                  <c:v>25.238616752076837</c:v>
                </c:pt>
                <c:pt idx="134">
                  <c:v>25.209709320073159</c:v>
                </c:pt>
                <c:pt idx="135">
                  <c:v>25.179851259604646</c:v>
                </c:pt>
                <c:pt idx="136">
                  <c:v>25.149077265140818</c:v>
                </c:pt>
                <c:pt idx="137">
                  <c:v>25.117352642212154</c:v>
                </c:pt>
                <c:pt idx="138">
                  <c:v>25.084725963075982</c:v>
                </c:pt>
                <c:pt idx="139">
                  <c:v>25.051204166626206</c:v>
                </c:pt>
                <c:pt idx="140">
                  <c:v>25.016766436181115</c:v>
                </c:pt>
                <c:pt idx="141">
                  <c:v>24.981447466210227</c:v>
                </c:pt>
                <c:pt idx="142">
                  <c:v>24.945219501137927</c:v>
                </c:pt>
                <c:pt idx="143">
                  <c:v>24.908110296539832</c:v>
                </c:pt>
                <c:pt idx="144">
                  <c:v>24.870154546885459</c:v>
                </c:pt>
                <c:pt idx="145">
                  <c:v>24.83131755770529</c:v>
                </c:pt>
                <c:pt idx="146">
                  <c:v>24.791627084574941</c:v>
                </c:pt>
                <c:pt idx="147">
                  <c:v>24.751090066388315</c:v>
                </c:pt>
                <c:pt idx="148">
                  <c:v>24.709692625357604</c:v>
                </c:pt>
                <c:pt idx="149">
                  <c:v>24.667490272634041</c:v>
                </c:pt>
                <c:pt idx="150">
                  <c:v>24.6244413748542</c:v>
                </c:pt>
                <c:pt idx="151">
                  <c:v>24.580573687593699</c:v>
                </c:pt>
                <c:pt idx="152">
                  <c:v>24.535901088640344</c:v>
                </c:pt>
                <c:pt idx="153">
                  <c:v>24.490437455781944</c:v>
                </c:pt>
                <c:pt idx="154">
                  <c:v>24.444148094548979</c:v>
                </c:pt>
                <c:pt idx="155">
                  <c:v>24.39708851609268</c:v>
                </c:pt>
                <c:pt idx="156">
                  <c:v>24.349258720413047</c:v>
                </c:pt>
                <c:pt idx="157">
                  <c:v>24.300651768616177</c:v>
                </c:pt>
                <c:pt idx="158">
                  <c:v>24.251267660702069</c:v>
                </c:pt>
                <c:pt idx="159">
                  <c:v>24.20113415224634</c:v>
                </c:pt>
                <c:pt idx="160">
                  <c:v>24.150244304355084</c:v>
                </c:pt>
                <c:pt idx="161">
                  <c:v>24.098667505967342</c:v>
                </c:pt>
                <c:pt idx="162">
                  <c:v>24.046320490356266</c:v>
                </c:pt>
                <c:pt idx="163">
                  <c:v>23.993251829779183</c:v>
                </c:pt>
                <c:pt idx="164">
                  <c:v>23.939482340917806</c:v>
                </c:pt>
                <c:pt idx="165">
                  <c:v>23.884970390408711</c:v>
                </c:pt>
                <c:pt idx="166">
                  <c:v>23.829806183872648</c:v>
                </c:pt>
                <c:pt idx="167">
                  <c:v>23.773927271264483</c:v>
                </c:pt>
                <c:pt idx="168">
                  <c:v>23.717368347053736</c:v>
                </c:pt>
                <c:pt idx="169">
                  <c:v>23.660171044603828</c:v>
                </c:pt>
                <c:pt idx="170">
                  <c:v>23.602272913869626</c:v>
                </c:pt>
                <c:pt idx="171">
                  <c:v>23.543722527108457</c:v>
                </c:pt>
                <c:pt idx="172">
                  <c:v>23.484526823214225</c:v>
                </c:pt>
                <c:pt idx="173">
                  <c:v>23.424699679974736</c:v>
                </c:pt>
                <c:pt idx="174">
                  <c:v>23.364241097389993</c:v>
                </c:pt>
                <c:pt idx="175">
                  <c:v>23.303137197672186</c:v>
                </c:pt>
                <c:pt idx="176">
                  <c:v>23.241443491972547</c:v>
                </c:pt>
                <c:pt idx="177">
                  <c:v>23.179146102503267</c:v>
                </c:pt>
                <c:pt idx="178">
                  <c:v>23.116258907052156</c:v>
                </c:pt>
                <c:pt idx="179">
                  <c:v>23.052761088937501</c:v>
                </c:pt>
                <c:pt idx="180">
                  <c:v>22.988715098204437</c:v>
                </c:pt>
                <c:pt idx="181">
                  <c:v>22.924051545913926</c:v>
                </c:pt>
                <c:pt idx="182">
                  <c:v>22.858888393262333</c:v>
                </c:pt>
                <c:pt idx="183">
                  <c:v>22.793114617947197</c:v>
                </c:pt>
                <c:pt idx="184">
                  <c:v>22.726827364483171</c:v>
                </c:pt>
                <c:pt idx="185">
                  <c:v>22.659978060612929</c:v>
                </c:pt>
                <c:pt idx="186">
                  <c:v>22.592594461912086</c:v>
                </c:pt>
                <c:pt idx="187">
                  <c:v>22.524739018425777</c:v>
                </c:pt>
                <c:pt idx="188">
                  <c:v>22.456328463427155</c:v>
                </c:pt>
                <c:pt idx="189">
                  <c:v>22.387425246961357</c:v>
                </c:pt>
                <c:pt idx="190">
                  <c:v>22.318022430134477</c:v>
                </c:pt>
                <c:pt idx="191">
                  <c:v>22.248133890734323</c:v>
                </c:pt>
                <c:pt idx="192">
                  <c:v>22.177773506548704</c:v>
                </c:pt>
                <c:pt idx="193">
                  <c:v>22.106948216471523</c:v>
                </c:pt>
                <c:pt idx="194">
                  <c:v>22.035644142714972</c:v>
                </c:pt>
                <c:pt idx="195">
                  <c:v>21.963875163066859</c:v>
                </c:pt>
                <c:pt idx="196">
                  <c:v>21.89170372757232</c:v>
                </c:pt>
                <c:pt idx="197">
                  <c:v>21.819060447292316</c:v>
                </c:pt>
                <c:pt idx="198">
                  <c:v>21.746014711165884</c:v>
                </c:pt>
                <c:pt idx="199">
                  <c:v>21.672524885829603</c:v>
                </c:pt>
                <c:pt idx="200">
                  <c:v>21.598622196306039</c:v>
                </c:pt>
                <c:pt idx="201">
                  <c:v>21.524317050936048</c:v>
                </c:pt>
                <c:pt idx="202">
                  <c:v>21.449623327507439</c:v>
                </c:pt>
                <c:pt idx="203">
                  <c:v>21.37455837325497</c:v>
                </c:pt>
                <c:pt idx="204">
                  <c:v>21.299094432603027</c:v>
                </c:pt>
                <c:pt idx="205">
                  <c:v>21.223238444445514</c:v>
                </c:pt>
                <c:pt idx="206">
                  <c:v>21.147059797721468</c:v>
                </c:pt>
                <c:pt idx="207">
                  <c:v>21.070496042385756</c:v>
                </c:pt>
                <c:pt idx="208">
                  <c:v>20.993620036824368</c:v>
                </c:pt>
                <c:pt idx="209">
                  <c:v>20.916365861545216</c:v>
                </c:pt>
                <c:pt idx="210">
                  <c:v>20.838792497146486</c:v>
                </c:pt>
                <c:pt idx="211">
                  <c:v>20.760903413075127</c:v>
                </c:pt>
                <c:pt idx="212">
                  <c:v>20.682695139884189</c:v>
                </c:pt>
                <c:pt idx="213">
                  <c:v>20.604153799785863</c:v>
                </c:pt>
                <c:pt idx="214">
                  <c:v>20.525355720613092</c:v>
                </c:pt>
                <c:pt idx="215">
                  <c:v>20.446238452320742</c:v>
                </c:pt>
                <c:pt idx="216">
                  <c:v>20.366857506060043</c:v>
                </c:pt>
                <c:pt idx="217">
                  <c:v>20.287188595702332</c:v>
                </c:pt>
                <c:pt idx="218">
                  <c:v>20.207245599035417</c:v>
                </c:pt>
                <c:pt idx="219">
                  <c:v>20.127035454953202</c:v>
                </c:pt>
                <c:pt idx="220">
                  <c:v>20.046589388478253</c:v>
                </c:pt>
                <c:pt idx="221">
                  <c:v>19.965876174588004</c:v>
                </c:pt>
                <c:pt idx="222">
                  <c:v>19.884944385539782</c:v>
                </c:pt>
                <c:pt idx="223">
                  <c:v>19.803769735204924</c:v>
                </c:pt>
                <c:pt idx="224">
                  <c:v>19.722383448605996</c:v>
                </c:pt>
                <c:pt idx="225">
                  <c:v>19.640764709061287</c:v>
                </c:pt>
                <c:pt idx="226">
                  <c:v>19.558944741593365</c:v>
                </c:pt>
                <c:pt idx="227">
                  <c:v>19.476916607308326</c:v>
                </c:pt>
                <c:pt idx="228">
                  <c:v>19.394694183993977</c:v>
                </c:pt>
                <c:pt idx="229">
                  <c:v>19.312301757778982</c:v>
                </c:pt>
                <c:pt idx="230">
                  <c:v>19.229711573087727</c:v>
                </c:pt>
                <c:pt idx="231">
                  <c:v>19.146951385495825</c:v>
                </c:pt>
                <c:pt idx="232">
                  <c:v>19.06400731721547</c:v>
                </c:pt>
                <c:pt idx="233">
                  <c:v>18.980931409950941</c:v>
                </c:pt>
                <c:pt idx="234">
                  <c:v>18.897702847020525</c:v>
                </c:pt>
                <c:pt idx="235">
                  <c:v>18.814321628424224</c:v>
                </c:pt>
                <c:pt idx="236">
                  <c:v>18.730808570843749</c:v>
                </c:pt>
                <c:pt idx="237">
                  <c:v>18.647135918703484</c:v>
                </c:pt>
                <c:pt idx="238">
                  <c:v>18.563373060942467</c:v>
                </c:pt>
                <c:pt idx="239">
                  <c:v>18.479478364197277</c:v>
                </c:pt>
                <c:pt idx="240">
                  <c:v>18.395455297914864</c:v>
                </c:pt>
                <c:pt idx="241">
                  <c:v>18.311342026011701</c:v>
                </c:pt>
                <c:pt idx="242">
                  <c:v>18.227152426275595</c:v>
                </c:pt>
                <c:pt idx="243">
                  <c:v>18.142851804237026</c:v>
                </c:pt>
                <c:pt idx="244">
                  <c:v>18.058474854365514</c:v>
                </c:pt>
                <c:pt idx="245">
                  <c:v>17.973997290532395</c:v>
                </c:pt>
                <c:pt idx="246">
                  <c:v>17.889460746101093</c:v>
                </c:pt>
                <c:pt idx="247">
                  <c:v>17.804851343283801</c:v>
                </c:pt>
                <c:pt idx="248">
                  <c:v>17.720196837656133</c:v>
                </c:pt>
                <c:pt idx="249">
                  <c:v>17.635486820877233</c:v>
                </c:pt>
                <c:pt idx="250">
                  <c:v>17.55071782350015</c:v>
                </c:pt>
                <c:pt idx="251">
                  <c:v>17.465907192759644</c:v>
                </c:pt>
                <c:pt idx="252">
                  <c:v>17.381075745337426</c:v>
                </c:pt>
                <c:pt idx="253">
                  <c:v>17.296188786763977</c:v>
                </c:pt>
                <c:pt idx="254">
                  <c:v>17.21130529763748</c:v>
                </c:pt>
                <c:pt idx="255">
                  <c:v>17.126407930723175</c:v>
                </c:pt>
                <c:pt idx="256">
                  <c:v>17.041479338786303</c:v>
                </c:pt>
                <c:pt idx="257">
                  <c:v>16.956543807955526</c:v>
                </c:pt>
                <c:pt idx="258">
                  <c:v>16.87160827712475</c:v>
                </c:pt>
                <c:pt idx="259">
                  <c:v>16.786703971316541</c:v>
                </c:pt>
                <c:pt idx="260">
                  <c:v>16.701782318273573</c:v>
                </c:pt>
                <c:pt idx="261">
                  <c:v>16.616902298594027</c:v>
                </c:pt>
                <c:pt idx="262">
                  <c:v>16.532011870573626</c:v>
                </c:pt>
                <c:pt idx="263">
                  <c:v>16.447176953704457</c:v>
                </c:pt>
                <c:pt idx="264">
                  <c:v>16.362359384070047</c:v>
                </c:pt>
                <c:pt idx="265">
                  <c:v>16.27758344779906</c:v>
                </c:pt>
                <c:pt idx="266">
                  <c:v>16.192863022679305</c:v>
                </c:pt>
                <c:pt idx="267">
                  <c:v>16.108166883688213</c:v>
                </c:pt>
                <c:pt idx="268">
                  <c:v>16.023550541977016</c:v>
                </c:pt>
                <c:pt idx="269">
                  <c:v>15.938975833629243</c:v>
                </c:pt>
                <c:pt idx="270">
                  <c:v>15.854480922561365</c:v>
                </c:pt>
                <c:pt idx="271">
                  <c:v>15.77004499209167</c:v>
                </c:pt>
                <c:pt idx="272">
                  <c:v>15.685699267242725</c:v>
                </c:pt>
                <c:pt idx="273">
                  <c:v>15.601412522991964</c:v>
                </c:pt>
                <c:pt idx="274">
                  <c:v>15.51720904546805</c:v>
                </c:pt>
                <c:pt idx="275">
                  <c:v>15.433085365224031</c:v>
                </c:pt>
                <c:pt idx="276">
                  <c:v>15.349079646176378</c:v>
                </c:pt>
                <c:pt idx="277">
                  <c:v>15.265160663302524</c:v>
                </c:pt>
                <c:pt idx="278">
                  <c:v>15.181338824943325</c:v>
                </c:pt>
                <c:pt idx="279">
                  <c:v>15.097645356121348</c:v>
                </c:pt>
                <c:pt idx="280">
                  <c:v>15.014035154026217</c:v>
                </c:pt>
                <c:pt idx="281">
                  <c:v>14.930556790915261</c:v>
                </c:pt>
                <c:pt idx="282">
                  <c:v>14.847182511212864</c:v>
                </c:pt>
                <c:pt idx="283">
                  <c:v>14.763960887176353</c:v>
                </c:pt>
                <c:pt idx="284">
                  <c:v>14.680857224336208</c:v>
                </c:pt>
                <c:pt idx="285">
                  <c:v>14.597864583798525</c:v>
                </c:pt>
                <c:pt idx="286">
                  <c:v>14.515024598926729</c:v>
                </c:pt>
                <c:pt idx="287">
                  <c:v>14.432330330826915</c:v>
                </c:pt>
                <c:pt idx="288">
                  <c:v>14.34979565728689</c:v>
                </c:pt>
                <c:pt idx="289">
                  <c:v>14.267365067155424</c:v>
                </c:pt>
                <c:pt idx="290">
                  <c:v>14.185139174394124</c:v>
                </c:pt>
                <c:pt idx="291">
                  <c:v>14.103041651170045</c:v>
                </c:pt>
                <c:pt idx="292">
                  <c:v>14.021110661399661</c:v>
                </c:pt>
                <c:pt idx="293">
                  <c:v>13.93934620508297</c:v>
                </c:pt>
                <c:pt idx="294">
                  <c:v>13.857744812773021</c:v>
                </c:pt>
                <c:pt idx="295">
                  <c:v>13.776334240045429</c:v>
                </c:pt>
                <c:pt idx="296">
                  <c:v>13.695065914642868</c:v>
                </c:pt>
                <c:pt idx="297">
                  <c:v>13.613984939375712</c:v>
                </c:pt>
                <c:pt idx="298">
                  <c:v>13.533115600372625</c:v>
                </c:pt>
                <c:pt idx="299">
                  <c:v>13.45239197814152</c:v>
                </c:pt>
                <c:pt idx="300">
                  <c:v>13.371883461621437</c:v>
                </c:pt>
                <c:pt idx="301">
                  <c:v>13.291569234130662</c:v>
                </c:pt>
                <c:pt idx="302">
                  <c:v>13.211438887328342</c:v>
                </c:pt>
                <c:pt idx="303">
                  <c:v>13.13152017679009</c:v>
                </c:pt>
                <c:pt idx="304">
                  <c:v>13.051802694175052</c:v>
                </c:pt>
                <c:pt idx="305">
                  <c:v>12.972251745013708</c:v>
                </c:pt>
                <c:pt idx="306">
                  <c:v>12.892964473820712</c:v>
                </c:pt>
                <c:pt idx="307">
                  <c:v>12.813840266634458</c:v>
                </c:pt>
                <c:pt idx="308">
                  <c:v>12.734962390181792</c:v>
                </c:pt>
                <c:pt idx="309">
                  <c:v>12.656299619440148</c:v>
                </c:pt>
                <c:pt idx="310">
                  <c:v>12.577858893303429</c:v>
                </c:pt>
                <c:pt idx="311">
                  <c:v>12.499636742324682</c:v>
                </c:pt>
                <c:pt idx="312">
                  <c:v>12.421633166503909</c:v>
                </c:pt>
                <c:pt idx="313">
                  <c:v>12.343851635288061</c:v>
                </c:pt>
                <c:pt idx="314">
                  <c:v>12.266309495911898</c:v>
                </c:pt>
                <c:pt idx="315">
                  <c:v>12.189025830333655</c:v>
                </c:pt>
                <c:pt idx="316">
                  <c:v>12.111936453784722</c:v>
                </c:pt>
                <c:pt idx="317">
                  <c:v>12.035109020480661</c:v>
                </c:pt>
                <c:pt idx="318">
                  <c:v>11.958533122080617</c:v>
                </c:pt>
                <c:pt idx="319">
                  <c:v>11.882175798838546</c:v>
                </c:pt>
                <c:pt idx="320">
                  <c:v>11.806083888288299</c:v>
                </c:pt>
                <c:pt idx="321">
                  <c:v>11.730231369577737</c:v>
                </c:pt>
                <c:pt idx="322">
                  <c:v>11.654633855218144</c:v>
                </c:pt>
                <c:pt idx="323">
                  <c:v>11.579287875762567</c:v>
                </c:pt>
                <c:pt idx="324">
                  <c:v>11.504188227040579</c:v>
                </c:pt>
                <c:pt idx="325">
                  <c:v>11.429347052116512</c:v>
                </c:pt>
                <c:pt idx="326">
                  <c:v>11.354773024607745</c:v>
                </c:pt>
                <c:pt idx="327">
                  <c:v>11.280471348684706</c:v>
                </c:pt>
                <c:pt idx="328">
                  <c:v>11.206386513196165</c:v>
                </c:pt>
                <c:pt idx="329">
                  <c:v>11.132608723762871</c:v>
                </c:pt>
                <c:pt idx="330">
                  <c:v>11.059089408127498</c:v>
                </c:pt>
                <c:pt idx="331">
                  <c:v>10.985832035736998</c:v>
                </c:pt>
                <c:pt idx="332">
                  <c:v>10.912876505231317</c:v>
                </c:pt>
                <c:pt idx="333">
                  <c:v>10.840153427671417</c:v>
                </c:pt>
                <c:pt idx="334">
                  <c:v>10.767706171144198</c:v>
                </c:pt>
                <c:pt idx="335">
                  <c:v>10.695552082884419</c:v>
                </c:pt>
                <c:pt idx="336">
                  <c:v>10.623666876763416</c:v>
                </c:pt>
                <c:pt idx="337">
                  <c:v>10.552054022228141</c:v>
                </c:pt>
                <c:pt idx="338">
                  <c:v>10.480736070683783</c:v>
                </c:pt>
                <c:pt idx="339">
                  <c:v>10.409699144342532</c:v>
                </c:pt>
                <c:pt idx="340">
                  <c:v>10.338936304310486</c:v>
                </c:pt>
                <c:pt idx="341">
                  <c:v>10.268478775610212</c:v>
                </c:pt>
                <c:pt idx="342">
                  <c:v>10.198272781813955</c:v>
                </c:pt>
                <c:pt idx="343">
                  <c:v>10.12838077296685</c:v>
                </c:pt>
                <c:pt idx="344">
                  <c:v>10.058762850428948</c:v>
                </c:pt>
                <c:pt idx="345">
                  <c:v>9.9894328919880593</c:v>
                </c:pt>
                <c:pt idx="346">
                  <c:v>9.9204065101554662</c:v>
                </c:pt>
                <c:pt idx="347">
                  <c:v>9.8516715618668371</c:v>
                </c:pt>
                <c:pt idx="348">
                  <c:v>9.7832263123986962</c:v>
                </c:pt>
                <c:pt idx="349">
                  <c:v>9.7150915784327552</c:v>
                </c:pt>
                <c:pt idx="350">
                  <c:v>9.6472205224351626</c:v>
                </c:pt>
                <c:pt idx="351">
                  <c:v>9.5796755944510537</c:v>
                </c:pt>
                <c:pt idx="352">
                  <c:v>9.5123960791587692</c:v>
                </c:pt>
                <c:pt idx="353">
                  <c:v>9.4454409571564923</c:v>
                </c:pt>
                <c:pt idx="354">
                  <c:v>9.3787772686981796</c:v>
                </c:pt>
                <c:pt idx="355">
                  <c:v>9.3123998096134031</c:v>
                </c:pt>
                <c:pt idx="356">
                  <c:v>9.246358886882966</c:v>
                </c:pt>
                <c:pt idx="357">
                  <c:v>9.1805885810147814</c:v>
                </c:pt>
                <c:pt idx="358">
                  <c:v>9.1151305253722725</c:v>
                </c:pt>
                <c:pt idx="359">
                  <c:v>9.0499829852319635</c:v>
                </c:pt>
                <c:pt idx="360">
                  <c:v>8.9851476953173304</c:v>
                </c:pt>
                <c:pt idx="361">
                  <c:v>8.9205934306058055</c:v>
                </c:pt>
                <c:pt idx="362">
                  <c:v>8.8563583550138603</c:v>
                </c:pt>
                <c:pt idx="363">
                  <c:v>8.792430325477163</c:v>
                </c:pt>
                <c:pt idx="364">
                  <c:v>8.7287937294844298</c:v>
                </c:pt>
                <c:pt idx="365">
                  <c:v>8.6654641795469445</c:v>
                </c:pt>
                <c:pt idx="366">
                  <c:v>8.6024624923464188</c:v>
                </c:pt>
                <c:pt idx="367">
                  <c:v>8.5397522386898572</c:v>
                </c:pt>
                <c:pt idx="368">
                  <c:v>8.4773594394293994</c:v>
                </c:pt>
                <c:pt idx="369">
                  <c:v>8.4152788903946174</c:v>
                </c:pt>
                <c:pt idx="370">
                  <c:v>8.3534967137977034</c:v>
                </c:pt>
                <c:pt idx="371">
                  <c:v>8.2920267874264653</c:v>
                </c:pt>
                <c:pt idx="372">
                  <c:v>8.2308777848982828</c:v>
                </c:pt>
                <c:pt idx="373">
                  <c:v>8.1700323589783963</c:v>
                </c:pt>
                <c:pt idx="374">
                  <c:v>8.1094922443902817</c:v>
                </c:pt>
                <c:pt idx="375">
                  <c:v>8.0492643800278429</c:v>
                </c:pt>
                <c:pt idx="376">
                  <c:v>7.9893418269971761</c:v>
                </c:pt>
                <c:pt idx="377">
                  <c:v>7.9297263200217571</c:v>
                </c:pt>
                <c:pt idx="378">
                  <c:v>7.8704334716128699</c:v>
                </c:pt>
                <c:pt idx="379">
                  <c:v>7.8114615470470383</c:v>
                </c:pt>
                <c:pt idx="380">
                  <c:v>7.7527879949190748</c:v>
                </c:pt>
                <c:pt idx="381">
                  <c:v>7.694430162463739</c:v>
                </c:pt>
                <c:pt idx="382">
                  <c:v>7.6363741718932232</c:v>
                </c:pt>
                <c:pt idx="383">
                  <c:v>7.5786252273779553</c:v>
                </c:pt>
                <c:pt idx="384">
                  <c:v>7.5212162886639788</c:v>
                </c:pt>
                <c:pt idx="385">
                  <c:v>7.4641022529409184</c:v>
                </c:pt>
                <c:pt idx="386">
                  <c:v>7.4073039368904858</c:v>
                </c:pt>
                <c:pt idx="387">
                  <c:v>7.3507935849370654</c:v>
                </c:pt>
                <c:pt idx="388">
                  <c:v>7.2946180346145084</c:v>
                </c:pt>
                <c:pt idx="389">
                  <c:v>7.2387425914532955</c:v>
                </c:pt>
                <c:pt idx="390">
                  <c:v>7.1831811332412343</c:v>
                </c:pt>
                <c:pt idx="391">
                  <c:v>7.1279388641487529</c:v>
                </c:pt>
                <c:pt idx="392">
                  <c:v>7.0729793549828557</c:v>
                </c:pt>
                <c:pt idx="393">
                  <c:v>7.0183477085539181</c:v>
                </c:pt>
                <c:pt idx="394">
                  <c:v>6.9640213734567524</c:v>
                </c:pt>
                <c:pt idx="395">
                  <c:v>6.9100246358200224</c:v>
                </c:pt>
                <c:pt idx="396">
                  <c:v>6.8563193317272564</c:v>
                </c:pt>
                <c:pt idx="397">
                  <c:v>6.8029332167540701</c:v>
                </c:pt>
                <c:pt idx="398">
                  <c:v>6.749836800601372</c:v>
                </c:pt>
                <c:pt idx="399">
                  <c:v>6.6970456957804458</c:v>
                </c:pt>
                <c:pt idx="400">
                  <c:v>6.6445789842495273</c:v>
                </c:pt>
                <c:pt idx="401">
                  <c:v>6.5924158493269047</c:v>
                </c:pt>
                <c:pt idx="402">
                  <c:v>6.5405406785012943</c:v>
                </c:pt>
                <c:pt idx="403">
                  <c:v>6.4889951051361194</c:v>
                </c:pt>
                <c:pt idx="404">
                  <c:v>6.4377557104644545</c:v>
                </c:pt>
                <c:pt idx="405">
                  <c:v>6.3867964736341598</c:v>
                </c:pt>
                <c:pt idx="406">
                  <c:v>6.3361616300938728</c:v>
                </c:pt>
                <c:pt idx="407">
                  <c:v>6.2858373020557856</c:v>
                </c:pt>
                <c:pt idx="408">
                  <c:v>6.2358156832642564</c:v>
                </c:pt>
                <c:pt idx="409">
                  <c:v>6.1860907021871192</c:v>
                </c:pt>
                <c:pt idx="410">
                  <c:v>6.1366510831217802</c:v>
                </c:pt>
                <c:pt idx="411">
                  <c:v>6.087528051090807</c:v>
                </c:pt>
                <c:pt idx="412">
                  <c:v>6.0387164019237716</c:v>
                </c:pt>
                <c:pt idx="413">
                  <c:v>5.9901909821302723</c:v>
                </c:pt>
                <c:pt idx="414">
                  <c:v>5.941974343115497</c:v>
                </c:pt>
                <c:pt idx="415">
                  <c:v>5.8940526070916377</c:v>
                </c:pt>
                <c:pt idx="416">
                  <c:v>5.8464266414204324</c:v>
                </c:pt>
                <c:pt idx="417">
                  <c:v>5.7990860377610254</c:v>
                </c:pt>
                <c:pt idx="418">
                  <c:v>5.752067225306412</c:v>
                </c:pt>
                <c:pt idx="419">
                  <c:v>5.705323366522741</c:v>
                </c:pt>
                <c:pt idx="420">
                  <c:v>5.6588900232412698</c:v>
                </c:pt>
                <c:pt idx="421">
                  <c:v>5.6127524503124526</c:v>
                </c:pt>
                <c:pt idx="422">
                  <c:v>5.5668880963311018</c:v>
                </c:pt>
                <c:pt idx="423">
                  <c:v>5.5213455335545447</c:v>
                </c:pt>
                <c:pt idx="424">
                  <c:v>5.4760805265341439</c:v>
                </c:pt>
                <c:pt idx="425">
                  <c:v>5.4311060856959692</c:v>
                </c:pt>
                <c:pt idx="426">
                  <c:v>5.3864291499339245</c:v>
                </c:pt>
                <c:pt idx="427">
                  <c:v>5.3420280352045602</c:v>
                </c:pt>
                <c:pt idx="428">
                  <c:v>5.2979296297217537</c:v>
                </c:pt>
                <c:pt idx="429">
                  <c:v>5.2541087799951036</c:v>
                </c:pt>
                <c:pt idx="430">
                  <c:v>5.2105941089619634</c:v>
                </c:pt>
                <c:pt idx="431">
                  <c:v>5.1673552589615035</c:v>
                </c:pt>
                <c:pt idx="432">
                  <c:v>5.1243948320789379</c:v>
                </c:pt>
                <c:pt idx="433">
                  <c:v>5.0817319102725023</c:v>
                </c:pt>
                <c:pt idx="434">
                  <c:v>5.039343942137009</c:v>
                </c:pt>
                <c:pt idx="435">
                  <c:v>4.9972144477994362</c:v>
                </c:pt>
                <c:pt idx="436">
                  <c:v>4.9553980710492773</c:v>
                </c:pt>
                <c:pt idx="437">
                  <c:v>4.9138531785231088</c:v>
                </c:pt>
                <c:pt idx="438">
                  <c:v>4.8725875764765725</c:v>
                </c:pt>
                <c:pt idx="439">
                  <c:v>4.8315995301861925</c:v>
                </c:pt>
                <c:pt idx="440">
                  <c:v>4.7908994479928246</c:v>
                </c:pt>
                <c:pt idx="441">
                  <c:v>4.7504751868321371</c:v>
                </c:pt>
                <c:pt idx="442">
                  <c:v>4.7103093994693701</c:v>
                </c:pt>
                <c:pt idx="443">
                  <c:v>4.6704315762036153</c:v>
                </c:pt>
                <c:pt idx="444">
                  <c:v>4.6308235024383748</c:v>
                </c:pt>
                <c:pt idx="445">
                  <c:v>4.5915042601318845</c:v>
                </c:pt>
                <c:pt idx="446">
                  <c:v>4.5524460937085287</c:v>
                </c:pt>
                <c:pt idx="447">
                  <c:v>4.5136342580187616</c:v>
                </c:pt>
                <c:pt idx="448">
                  <c:v>4.4751242642138145</c:v>
                </c:pt>
                <c:pt idx="449">
                  <c:v>4.4368545296102901</c:v>
                </c:pt>
                <c:pt idx="450">
                  <c:v>4.3988779632742059</c:v>
                </c:pt>
                <c:pt idx="451">
                  <c:v>4.3611607380977802</c:v>
                </c:pt>
                <c:pt idx="452">
                  <c:v>4.323699384634061</c:v>
                </c:pt>
                <c:pt idx="453">
                  <c:v>4.2865051785856423</c:v>
                </c:pt>
                <c:pt idx="454">
                  <c:v>4.2495963345490217</c:v>
                </c:pt>
                <c:pt idx="455">
                  <c:v>4.2129199434581821</c:v>
                </c:pt>
                <c:pt idx="456">
                  <c:v>4.1765193734000228</c:v>
                </c:pt>
                <c:pt idx="457">
                  <c:v>4.1403798792249979</c:v>
                </c:pt>
                <c:pt idx="458">
                  <c:v>4.1044667664635881</c:v>
                </c:pt>
                <c:pt idx="459">
                  <c:v>4.0688485566930943</c:v>
                </c:pt>
                <c:pt idx="460">
                  <c:v>4.0334758102944512</c:v>
                </c:pt>
                <c:pt idx="461">
                  <c:v>3.9983615376937287</c:v>
                </c:pt>
                <c:pt idx="462">
                  <c:v>3.9634918611031189</c:v>
                </c:pt>
                <c:pt idx="463">
                  <c:v>3.9288771888634777</c:v>
                </c:pt>
                <c:pt idx="464">
                  <c:v>3.8945331334860889</c:v>
                </c:pt>
                <c:pt idx="465">
                  <c:v>3.8604033164579832</c:v>
                </c:pt>
                <c:pt idx="466">
                  <c:v>3.8265614635268896</c:v>
                </c:pt>
                <c:pt idx="467">
                  <c:v>3.792948594094625</c:v>
                </c:pt>
                <c:pt idx="468">
                  <c:v>3.7595829227576871</c:v>
                </c:pt>
                <c:pt idx="469">
                  <c:v>3.7264661842395519</c:v>
                </c:pt>
                <c:pt idx="470">
                  <c:v>3.6935827660289355</c:v>
                </c:pt>
                <c:pt idx="471">
                  <c:v>3.6609578216162397</c:v>
                </c:pt>
                <c:pt idx="472">
                  <c:v>3.6285618607023729</c:v>
                </c:pt>
                <c:pt idx="473">
                  <c:v>3.5964261083099025</c:v>
                </c:pt>
                <c:pt idx="474">
                  <c:v>3.5645045942667153</c:v>
                </c:pt>
                <c:pt idx="475">
                  <c:v>3.5328389519362347</c:v>
                </c:pt>
                <c:pt idx="476">
                  <c:v>3.5014153035306528</c:v>
                </c:pt>
                <c:pt idx="477">
                  <c:v>3.4702180365386859</c:v>
                </c:pt>
                <c:pt idx="478">
                  <c:v>3.4392549572159758</c:v>
                </c:pt>
                <c:pt idx="479">
                  <c:v>3.4085260655625227</c:v>
                </c:pt>
                <c:pt idx="480">
                  <c:v>3.3780356983870163</c:v>
                </c:pt>
                <c:pt idx="481">
                  <c:v>3.347769110539911</c:v>
                </c:pt>
                <c:pt idx="482">
                  <c:v>3.3177393124472765</c:v>
                </c:pt>
                <c:pt idx="483">
                  <c:v>3.2879489061943268</c:v>
                </c:pt>
                <c:pt idx="484">
                  <c:v>3.2583649320350183</c:v>
                </c:pt>
                <c:pt idx="485">
                  <c:v>3.2290181813110497</c:v>
                </c:pt>
                <c:pt idx="486">
                  <c:v>3.199897378319827</c:v>
                </c:pt>
                <c:pt idx="487">
                  <c:v>3.1710029567422193</c:v>
                </c:pt>
                <c:pt idx="488">
                  <c:v>3.1423275440034537</c:v>
                </c:pt>
                <c:pt idx="489">
                  <c:v>3.1138707064226612</c:v>
                </c:pt>
                <c:pt idx="490">
                  <c:v>3.0856276735102828</c:v>
                </c:pt>
                <c:pt idx="491">
                  <c:v>3.0576140577776023</c:v>
                </c:pt>
                <c:pt idx="492">
                  <c:v>3.0298307265863578</c:v>
                </c:pt>
                <c:pt idx="493">
                  <c:v>3.0022542611696235</c:v>
                </c:pt>
                <c:pt idx="494">
                  <c:v>2.9748933351447793</c:v>
                </c:pt>
                <c:pt idx="495">
                  <c:v>2.9477332033622794</c:v>
                </c:pt>
                <c:pt idx="496">
                  <c:v>2.9208046571638224</c:v>
                </c:pt>
                <c:pt idx="497">
                  <c:v>2.8940769052077098</c:v>
                </c:pt>
                <c:pt idx="498">
                  <c:v>2.8675707641756532</c:v>
                </c:pt>
                <c:pt idx="499">
                  <c:v>2.8412680194711548</c:v>
                </c:pt>
                <c:pt idx="500">
                  <c:v>2.8151808141585466</c:v>
                </c:pt>
                <c:pt idx="501">
                  <c:v>2.7892961378117587</c:v>
                </c:pt>
                <c:pt idx="502">
                  <c:v>2.7636109546647081</c:v>
                </c:pt>
                <c:pt idx="503">
                  <c:v>2.7381413109095476</c:v>
                </c:pt>
                <c:pt idx="504">
                  <c:v>2.7128685582689105</c:v>
                </c:pt>
                <c:pt idx="505">
                  <c:v>2.6878031050836526</c:v>
                </c:pt>
                <c:pt idx="506">
                  <c:v>2.6629202315442413</c:v>
                </c:pt>
                <c:pt idx="507">
                  <c:v>2.6382828213766807</c:v>
                </c:pt>
                <c:pt idx="508">
                  <c:v>2.6138102099393379</c:v>
                </c:pt>
                <c:pt idx="509">
                  <c:v>2.5895297191269595</c:v>
                </c:pt>
                <c:pt idx="510">
                  <c:v>2.5654539256847464</c:v>
                </c:pt>
                <c:pt idx="511">
                  <c:v>2.5415784928040086</c:v>
                </c:pt>
                <c:pt idx="512">
                  <c:v>2.5178752312282615</c:v>
                </c:pt>
                <c:pt idx="513">
                  <c:v>2.4944000857896054</c:v>
                </c:pt>
                <c:pt idx="514">
                  <c:v>2.4711031831881058</c:v>
                </c:pt>
                <c:pt idx="515">
                  <c:v>2.4479849571046319</c:v>
                </c:pt>
                <c:pt idx="516">
                  <c:v>2.4250601526887294</c:v>
                </c:pt>
                <c:pt idx="517">
                  <c:v>2.4023478518986341</c:v>
                </c:pt>
                <c:pt idx="518">
                  <c:v>2.3797834362848658</c:v>
                </c:pt>
                <c:pt idx="519">
                  <c:v>2.3574193812325728</c:v>
                </c:pt>
                <c:pt idx="520">
                  <c:v>2.3352422426348163</c:v>
                </c:pt>
                <c:pt idx="521">
                  <c:v>2.3132472500020373</c:v>
                </c:pt>
                <c:pt idx="522">
                  <c:v>2.2914521842498647</c:v>
                </c:pt>
                <c:pt idx="523">
                  <c:v>2.269816713057482</c:v>
                </c:pt>
                <c:pt idx="524">
                  <c:v>2.2483664235961598</c:v>
                </c:pt>
                <c:pt idx="525">
                  <c:v>2.2271030505893741</c:v>
                </c:pt>
                <c:pt idx="526">
                  <c:v>2.206017920419745</c:v>
                </c:pt>
                <c:pt idx="527">
                  <c:v>2.1850980226612027</c:v>
                </c:pt>
                <c:pt idx="528">
                  <c:v>2.1643494288459131</c:v>
                </c:pt>
                <c:pt idx="529">
                  <c:v>2.1437743073782212</c:v>
                </c:pt>
                <c:pt idx="530">
                  <c:v>2.1233917402163627</c:v>
                </c:pt>
                <c:pt idx="531">
                  <c:v>2.103172670742115</c:v>
                </c:pt>
                <c:pt idx="532">
                  <c:v>2.0831123284659192</c:v>
                </c:pt>
                <c:pt idx="533">
                  <c:v>2.063229795346011</c:v>
                </c:pt>
                <c:pt idx="534">
                  <c:v>2.0435207345737005</c:v>
                </c:pt>
                <c:pt idx="535">
                  <c:v>2.023961293701193</c:v>
                </c:pt>
                <c:pt idx="536">
                  <c:v>2.0045857335171391</c:v>
                </c:pt>
                <c:pt idx="537">
                  <c:v>1.985370635254613</c:v>
                </c:pt>
                <c:pt idx="538">
                  <c:v>1.9663268409353396</c:v>
                </c:pt>
                <c:pt idx="539">
                  <c:v>1.9474291970689173</c:v>
                </c:pt>
                <c:pt idx="540">
                  <c:v>1.9287163012526864</c:v>
                </c:pt>
                <c:pt idx="541">
                  <c:v>1.910125703441512</c:v>
                </c:pt>
                <c:pt idx="542">
                  <c:v>1.8917302620213849</c:v>
                </c:pt>
                <c:pt idx="543">
                  <c:v>1.8734631901384802</c:v>
                </c:pt>
                <c:pt idx="544">
                  <c:v>1.8553886725614088</c:v>
                </c:pt>
                <c:pt idx="545">
                  <c:v>1.8374442592450357</c:v>
                </c:pt>
                <c:pt idx="546">
                  <c:v>1.8196737519571293</c:v>
                </c:pt>
                <c:pt idx="547">
                  <c:v>1.8020294458021002</c:v>
                </c:pt>
                <c:pt idx="548">
                  <c:v>1.7845664182503107</c:v>
                </c:pt>
                <c:pt idx="549">
                  <c:v>1.7672360970444334</c:v>
                </c:pt>
                <c:pt idx="550">
                  <c:v>1.7500701408879049</c:v>
                </c:pt>
                <c:pt idx="551">
                  <c:v>1.7330407942051096</c:v>
                </c:pt>
                <c:pt idx="552">
                  <c:v>1.7161723431247111</c:v>
                </c:pt>
                <c:pt idx="553">
                  <c:v>1.6994500424971637</c:v>
                </c:pt>
                <c:pt idx="554">
                  <c:v>1.6828582798111835</c:v>
                </c:pt>
                <c:pt idx="555">
                  <c:v>1.6664200401528273</c:v>
                </c:pt>
                <c:pt idx="556">
                  <c:v>1.6501513697142478</c:v>
                </c:pt>
                <c:pt idx="557">
                  <c:v>1.6339974078655173</c:v>
                </c:pt>
                <c:pt idx="558">
                  <c:v>1.6179932827570243</c:v>
                </c:pt>
                <c:pt idx="559">
                  <c:v>1.60212121347314</c:v>
                </c:pt>
                <c:pt idx="560">
                  <c:v>1.5863972462060172</c:v>
                </c:pt>
                <c:pt idx="561">
                  <c:v>1.570814875742621</c:v>
                </c:pt>
                <c:pt idx="562">
                  <c:v>1.5553649947847026</c:v>
                </c:pt>
                <c:pt idx="563">
                  <c:v>1.5400521569813863</c:v>
                </c:pt>
                <c:pt idx="564">
                  <c:v>1.5248867706735281</c:v>
                </c:pt>
                <c:pt idx="565">
                  <c:v>1.5098445497324642</c:v>
                </c:pt>
                <c:pt idx="566">
                  <c:v>1.4949367698607885</c:v>
                </c:pt>
                <c:pt idx="567">
                  <c:v>1.4801684183884944</c:v>
                </c:pt>
                <c:pt idx="568">
                  <c:v>1.4655310385386366</c:v>
                </c:pt>
                <c:pt idx="569">
                  <c:v>1.4510330870881605</c:v>
                </c:pt>
                <c:pt idx="570">
                  <c:v>1.4366461579401468</c:v>
                </c:pt>
                <c:pt idx="571">
                  <c:v>1.4224038613619427</c:v>
                </c:pt>
                <c:pt idx="572">
                  <c:v>1.4082736712883737</c:v>
                </c:pt>
                <c:pt idx="573">
                  <c:v>1.3942857285398347</c:v>
                </c:pt>
                <c:pt idx="574">
                  <c:v>1.3804163975089656</c:v>
                </c:pt>
                <c:pt idx="575">
                  <c:v>1.3666890969626921</c:v>
                </c:pt>
                <c:pt idx="576">
                  <c:v>1.3530626272184598</c:v>
                </c:pt>
                <c:pt idx="577">
                  <c:v>1.3395764532353471</c:v>
                </c:pt>
                <c:pt idx="578">
                  <c:v>1.3261989163099175</c:v>
                </c:pt>
                <c:pt idx="579">
                  <c:v>1.3129360879743368</c:v>
                </c:pt>
                <c:pt idx="580">
                  <c:v>1.2998042312611924</c:v>
                </c:pt>
                <c:pt idx="581">
                  <c:v>1.2868046472130912</c:v>
                </c:pt>
                <c:pt idx="582">
                  <c:v>1.2739130497013695</c:v>
                </c:pt>
                <c:pt idx="583">
                  <c:v>1.2611417986307938</c:v>
                </c:pt>
                <c:pt idx="584">
                  <c:v>1.2484744141283421</c:v>
                </c:pt>
                <c:pt idx="585">
                  <c:v>1.2359338812800713</c:v>
                </c:pt>
                <c:pt idx="586">
                  <c:v>1.2235076233407804</c:v>
                </c:pt>
                <c:pt idx="587">
                  <c:v>1.2112045307682839</c:v>
                </c:pt>
                <c:pt idx="588">
                  <c:v>1.1989990163913111</c:v>
                </c:pt>
                <c:pt idx="589">
                  <c:v>1.1869175347428707</c:v>
                </c:pt>
                <c:pt idx="590">
                  <c:v>1.1749344986516919</c:v>
                </c:pt>
                <c:pt idx="591">
                  <c:v>1.1630880720342462</c:v>
                </c:pt>
                <c:pt idx="592">
                  <c:v>1.1513353204845034</c:v>
                </c:pt>
                <c:pt idx="593">
                  <c:v>1.1396805808111532</c:v>
                </c:pt>
                <c:pt idx="594">
                  <c:v>1.1281466212598179</c:v>
                </c:pt>
                <c:pt idx="595">
                  <c:v>1.1166937600309845</c:v>
                </c:pt>
                <c:pt idx="596">
                  <c:v>1.1053883502976092</c:v>
                </c:pt>
                <c:pt idx="597">
                  <c:v>1.0941644725676047</c:v>
                </c:pt>
                <c:pt idx="598">
                  <c:v>1.0830453287674624</c:v>
                </c:pt>
                <c:pt idx="599">
                  <c:v>1.0720315694184857</c:v>
                </c:pt>
                <c:pt idx="600">
                  <c:v>1.0611281818506679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A7-4342-AC62-3904B004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0352"/>
        <c:axId val="170822272"/>
      </c:scatterChart>
      <c:valAx>
        <c:axId val="170820352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70822272"/>
        <c:crosses val="autoZero"/>
        <c:crossBetween val="midCat"/>
      </c:valAx>
      <c:valAx>
        <c:axId val="170822272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7082035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MarketFit!$W$4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MarketFit!$W$5:$W$605</c:f>
              <c:numCache>
                <c:formatCode>0.00%</c:formatCode>
                <c:ptCount val="601"/>
                <c:pt idx="0">
                  <c:v>6.5459819925299386E-3</c:v>
                </c:pt>
                <c:pt idx="1">
                  <c:v>6.5505053294560587E-3</c:v>
                </c:pt>
                <c:pt idx="2">
                  <c:v>6.5550264463779219E-3</c:v>
                </c:pt>
                <c:pt idx="3">
                  <c:v>6.5595453480677733E-3</c:v>
                </c:pt>
                <c:pt idx="4">
                  <c:v>6.5640620392805361E-3</c:v>
                </c:pt>
                <c:pt idx="5">
                  <c:v>6.5685765247540375E-3</c:v>
                </c:pt>
                <c:pt idx="6">
                  <c:v>6.5730888092089797E-3</c:v>
                </c:pt>
                <c:pt idx="7">
                  <c:v>6.5775988973490974E-3</c:v>
                </c:pt>
                <c:pt idx="8">
                  <c:v>6.5821067938612327E-3</c:v>
                </c:pt>
                <c:pt idx="9">
                  <c:v>6.5866125034153436E-3</c:v>
                </c:pt>
                <c:pt idx="10">
                  <c:v>6.5911160306646958E-3</c:v>
                </c:pt>
                <c:pt idx="11">
                  <c:v>6.5956173802459153E-3</c:v>
                </c:pt>
                <c:pt idx="12">
                  <c:v>6.6001165567790045E-3</c:v>
                </c:pt>
                <c:pt idx="13">
                  <c:v>6.6046135648675126E-3</c:v>
                </c:pt>
                <c:pt idx="14">
                  <c:v>6.6091084090985734E-3</c:v>
                </c:pt>
                <c:pt idx="15">
                  <c:v>6.6136010940430106E-3</c:v>
                </c:pt>
                <c:pt idx="16">
                  <c:v>6.6180916242553805E-3</c:v>
                </c:pt>
                <c:pt idx="17">
                  <c:v>6.6225800042740953E-3</c:v>
                </c:pt>
                <c:pt idx="18">
                  <c:v>6.6270662386214664E-3</c:v>
                </c:pt>
                <c:pt idx="19">
                  <c:v>6.6315503318038318E-3</c:v>
                </c:pt>
                <c:pt idx="20">
                  <c:v>6.6360322883115839E-3</c:v>
                </c:pt>
                <c:pt idx="21">
                  <c:v>6.6405121126192693E-3</c:v>
                </c:pt>
                <c:pt idx="22">
                  <c:v>6.6449898091856799E-3</c:v>
                </c:pt>
                <c:pt idx="23">
                  <c:v>6.6494653824539333E-3</c:v>
                </c:pt>
                <c:pt idx="24">
                  <c:v>6.6539388368514855E-3</c:v>
                </c:pt>
                <c:pt idx="25">
                  <c:v>6.6584101767903124E-3</c:v>
                </c:pt>
                <c:pt idx="26">
                  <c:v>6.6628794066669033E-3</c:v>
                </c:pt>
                <c:pt idx="27">
                  <c:v>6.6673465308623716E-3</c:v>
                </c:pt>
                <c:pt idx="28">
                  <c:v>6.6718115537425272E-3</c:v>
                </c:pt>
                <c:pt idx="29">
                  <c:v>6.6762744796579378E-3</c:v>
                </c:pt>
                <c:pt idx="30">
                  <c:v>6.6807353129440241E-3</c:v>
                </c:pt>
                <c:pt idx="31">
                  <c:v>6.6851940579211221E-3</c:v>
                </c:pt>
                <c:pt idx="32">
                  <c:v>6.6896507188945247E-3</c:v>
                </c:pt>
                <c:pt idx="33">
                  <c:v>6.6941053001546577E-3</c:v>
                </c:pt>
                <c:pt idx="34">
                  <c:v>6.698557805977029E-3</c:v>
                </c:pt>
                <c:pt idx="35">
                  <c:v>6.7030082406223301E-3</c:v>
                </c:pt>
                <c:pt idx="36">
                  <c:v>6.7074566083366151E-3</c:v>
                </c:pt>
                <c:pt idx="37">
                  <c:v>6.7119029133511868E-3</c:v>
                </c:pt>
                <c:pt idx="38">
                  <c:v>6.7163471598828536E-3</c:v>
                </c:pt>
                <c:pt idx="39">
                  <c:v>6.7207893521338798E-3</c:v>
                </c:pt>
                <c:pt idx="40">
                  <c:v>6.7252294942920735E-3</c:v>
                </c:pt>
                <c:pt idx="41">
                  <c:v>6.7296675905308967E-3</c:v>
                </c:pt>
                <c:pt idx="42">
                  <c:v>6.7341036450095032E-3</c:v>
                </c:pt>
                <c:pt idx="43">
                  <c:v>6.7385376618727998E-3</c:v>
                </c:pt>
                <c:pt idx="44">
                  <c:v>6.7429696452515732E-3</c:v>
                </c:pt>
                <c:pt idx="45">
                  <c:v>6.7473995992624733E-3</c:v>
                </c:pt>
                <c:pt idx="46">
                  <c:v>6.75182752800812E-3</c:v>
                </c:pt>
                <c:pt idx="47">
                  <c:v>6.7562534355771796E-3</c:v>
                </c:pt>
                <c:pt idx="48">
                  <c:v>6.7606773260444333E-3</c:v>
                </c:pt>
                <c:pt idx="49">
                  <c:v>6.765099203470828E-3</c:v>
                </c:pt>
                <c:pt idx="50">
                  <c:v>6.7695190719035334E-3</c:v>
                </c:pt>
                <c:pt idx="51">
                  <c:v>6.7739369353760348E-3</c:v>
                </c:pt>
                <c:pt idx="52">
                  <c:v>6.7783527979081689E-3</c:v>
                </c:pt>
                <c:pt idx="53">
                  <c:v>6.7827666635062083E-3</c:v>
                </c:pt>
                <c:pt idx="54">
                  <c:v>6.7871785361629357E-3</c:v>
                </c:pt>
                <c:pt idx="55">
                  <c:v>6.7915884198576793E-3</c:v>
                </c:pt>
                <c:pt idx="56">
                  <c:v>6.7959963185563752E-3</c:v>
                </c:pt>
                <c:pt idx="57">
                  <c:v>6.8004022362116731E-3</c:v>
                </c:pt>
                <c:pt idx="58">
                  <c:v>6.8048061767629385E-3</c:v>
                </c:pt>
                <c:pt idx="59">
                  <c:v>6.8092081441363762E-3</c:v>
                </c:pt>
                <c:pt idx="60">
                  <c:v>6.8136081422450478E-3</c:v>
                </c:pt>
                <c:pt idx="61">
                  <c:v>6.8180061749889501E-3</c:v>
                </c:pt>
                <c:pt idx="62">
                  <c:v>6.8224022462550528E-3</c:v>
                </c:pt>
                <c:pt idx="63">
                  <c:v>6.8267963599174192E-3</c:v>
                </c:pt>
                <c:pt idx="64">
                  <c:v>6.8311885198371882E-3</c:v>
                </c:pt>
                <c:pt idx="65">
                  <c:v>6.8355787298627095E-3</c:v>
                </c:pt>
                <c:pt idx="66">
                  <c:v>6.8399669938295537E-3</c:v>
                </c:pt>
                <c:pt idx="67">
                  <c:v>6.8443533155605543E-3</c:v>
                </c:pt>
                <c:pt idx="68">
                  <c:v>6.848737698865931E-3</c:v>
                </c:pt>
                <c:pt idx="69">
                  <c:v>6.8531201475433255E-3</c:v>
                </c:pt>
                <c:pt idx="70">
                  <c:v>6.8575006653778274E-3</c:v>
                </c:pt>
                <c:pt idx="71">
                  <c:v>6.8618792561420472E-3</c:v>
                </c:pt>
                <c:pt idx="72">
                  <c:v>6.866255923596189E-3</c:v>
                </c:pt>
                <c:pt idx="73">
                  <c:v>6.8706306714881073E-3</c:v>
                </c:pt>
                <c:pt idx="74">
                  <c:v>6.875003503553345E-3</c:v>
                </c:pt>
                <c:pt idx="75">
                  <c:v>6.8793744235152079E-3</c:v>
                </c:pt>
                <c:pt idx="76">
                  <c:v>6.8837434350848071E-3</c:v>
                </c:pt>
                <c:pt idx="77">
                  <c:v>6.8881105419611004E-3</c:v>
                </c:pt>
                <c:pt idx="78">
                  <c:v>6.8924757478310223E-3</c:v>
                </c:pt>
                <c:pt idx="79">
                  <c:v>6.8968390563694431E-3</c:v>
                </c:pt>
                <c:pt idx="80">
                  <c:v>6.9012004712392773E-3</c:v>
                </c:pt>
                <c:pt idx="81">
                  <c:v>6.9055599960915065E-3</c:v>
                </c:pt>
                <c:pt idx="82">
                  <c:v>6.9099176345653107E-3</c:v>
                </c:pt>
                <c:pt idx="83">
                  <c:v>6.9142733902879984E-3</c:v>
                </c:pt>
                <c:pt idx="84">
                  <c:v>6.9186272668751731E-3</c:v>
                </c:pt>
                <c:pt idx="85">
                  <c:v>6.9229792679307255E-3</c:v>
                </c:pt>
                <c:pt idx="86">
                  <c:v>6.9273293970468835E-3</c:v>
                </c:pt>
                <c:pt idx="87">
                  <c:v>6.9316776578043247E-3</c:v>
                </c:pt>
                <c:pt idx="88">
                  <c:v>6.9360240537721506E-3</c:v>
                </c:pt>
                <c:pt idx="89">
                  <c:v>6.9403685885079947E-3</c:v>
                </c:pt>
                <c:pt idx="90">
                  <c:v>6.9447112655580401E-3</c:v>
                </c:pt>
                <c:pt idx="91">
                  <c:v>6.9490520884570913E-3</c:v>
                </c:pt>
                <c:pt idx="92">
                  <c:v>6.9533910607286501E-3</c:v>
                </c:pt>
                <c:pt idx="93">
                  <c:v>6.957728185884888E-3</c:v>
                </c:pt>
                <c:pt idx="94">
                  <c:v>6.9620634674267545E-3</c:v>
                </c:pt>
                <c:pt idx="95">
                  <c:v>6.9663969088440587E-3</c:v>
                </c:pt>
                <c:pt idx="96">
                  <c:v>6.9707285136154278E-3</c:v>
                </c:pt>
                <c:pt idx="97">
                  <c:v>6.9750582852084264E-3</c:v>
                </c:pt>
                <c:pt idx="98">
                  <c:v>6.9793862270795945E-3</c:v>
                </c:pt>
                <c:pt idx="99">
                  <c:v>6.9837123426744882E-3</c:v>
                </c:pt>
                <c:pt idx="100">
                  <c:v>6.9880366354277135E-3</c:v>
                </c:pt>
                <c:pt idx="101">
                  <c:v>6.9923591087630056E-3</c:v>
                </c:pt>
                <c:pt idx="102">
                  <c:v>6.9966797660932717E-3</c:v>
                </c:pt>
                <c:pt idx="103">
                  <c:v>7.0009986108205977E-3</c:v>
                </c:pt>
                <c:pt idx="104">
                  <c:v>7.005315646336361E-3</c:v>
                </c:pt>
                <c:pt idx="105">
                  <c:v>7.0096308760212288E-3</c:v>
                </c:pt>
                <c:pt idx="106">
                  <c:v>7.0139443032452018E-3</c:v>
                </c:pt>
                <c:pt idx="107">
                  <c:v>7.0182559313677279E-3</c:v>
                </c:pt>
                <c:pt idx="108">
                  <c:v>7.0225657637376631E-3</c:v>
                </c:pt>
                <c:pt idx="109">
                  <c:v>7.0268738036933856E-3</c:v>
                </c:pt>
                <c:pt idx="110">
                  <c:v>7.031180054562769E-3</c:v>
                </c:pt>
                <c:pt idx="111">
                  <c:v>7.035484519663307E-3</c:v>
                </c:pt>
                <c:pt idx="112">
                  <c:v>7.039787202302159E-3</c:v>
                </c:pt>
                <c:pt idx="113">
                  <c:v>7.0440881057760524E-3</c:v>
                </c:pt>
                <c:pt idx="114">
                  <c:v>7.0483872333715588E-3</c:v>
                </c:pt>
                <c:pt idx="115">
                  <c:v>7.0526845883649297E-3</c:v>
                </c:pt>
                <c:pt idx="116">
                  <c:v>7.0569801740222593E-3</c:v>
                </c:pt>
                <c:pt idx="117">
                  <c:v>7.0612739935995011E-3</c:v>
                </c:pt>
                <c:pt idx="118">
                  <c:v>7.0655660503425172E-3</c:v>
                </c:pt>
                <c:pt idx="119">
                  <c:v>7.0698563474870732E-3</c:v>
                </c:pt>
                <c:pt idx="120">
                  <c:v>7.0741448882589491E-3</c:v>
                </c:pt>
                <c:pt idx="121">
                  <c:v>7.0784316758739675E-3</c:v>
                </c:pt>
                <c:pt idx="122">
                  <c:v>7.0827167135379988E-3</c:v>
                </c:pt>
                <c:pt idx="123">
                  <c:v>7.0870000044470517E-3</c:v>
                </c:pt>
                <c:pt idx="124">
                  <c:v>7.0912815517872752E-3</c:v>
                </c:pt>
                <c:pt idx="125">
                  <c:v>7.0955613587350124E-3</c:v>
                </c:pt>
                <c:pt idx="126">
                  <c:v>7.0998394284568786E-3</c:v>
                </c:pt>
                <c:pt idx="127">
                  <c:v>7.1041157641097679E-3</c:v>
                </c:pt>
                <c:pt idx="128">
                  <c:v>7.1083903688408936E-3</c:v>
                </c:pt>
                <c:pt idx="129">
                  <c:v>7.1126632457878336E-3</c:v>
                </c:pt>
                <c:pt idx="130">
                  <c:v>7.1169343980785711E-3</c:v>
                </c:pt>
                <c:pt idx="131">
                  <c:v>7.1212038288315698E-3</c:v>
                </c:pt>
                <c:pt idx="132">
                  <c:v>7.1254715411557491E-3</c:v>
                </c:pt>
                <c:pt idx="133">
                  <c:v>7.1297375381506036E-3</c:v>
                </c:pt>
                <c:pt idx="134">
                  <c:v>7.1340018229061495E-3</c:v>
                </c:pt>
                <c:pt idx="135">
                  <c:v>7.138264398503057E-3</c:v>
                </c:pt>
                <c:pt idx="136">
                  <c:v>7.142525268012628E-3</c:v>
                </c:pt>
                <c:pt idx="137">
                  <c:v>7.1467844344968723E-3</c:v>
                </c:pt>
                <c:pt idx="138">
                  <c:v>7.1510419010085147E-3</c:v>
                </c:pt>
                <c:pt idx="139">
                  <c:v>7.1552976705910494E-3</c:v>
                </c:pt>
                <c:pt idx="140">
                  <c:v>7.1595517462788201E-3</c:v>
                </c:pt>
                <c:pt idx="141">
                  <c:v>7.1638041310969729E-3</c:v>
                </c:pt>
                <c:pt idx="142">
                  <c:v>7.1680548280615803E-3</c:v>
                </c:pt>
                <c:pt idx="143">
                  <c:v>7.1723038401795992E-3</c:v>
                </c:pt>
                <c:pt idx="144">
                  <c:v>7.1765511704489707E-3</c:v>
                </c:pt>
                <c:pt idx="145">
                  <c:v>7.1807968218586711E-3</c:v>
                </c:pt>
                <c:pt idx="146">
                  <c:v>7.1850407973886778E-3</c:v>
                </c:pt>
                <c:pt idx="147">
                  <c:v>7.1892831000100379E-3</c:v>
                </c:pt>
                <c:pt idx="148">
                  <c:v>7.1935237326849685E-3</c:v>
                </c:pt>
                <c:pt idx="149">
                  <c:v>7.1977626983667628E-3</c:v>
                </c:pt>
                <c:pt idx="150">
                  <c:v>7.2019999999999784E-3</c:v>
                </c:pt>
                <c:pt idx="151">
                  <c:v>7.206235640520366E-3</c:v>
                </c:pt>
                <c:pt idx="152">
                  <c:v>7.2104696228549202E-3</c:v>
                </c:pt>
                <c:pt idx="153">
                  <c:v>7.2147019499219662E-3</c:v>
                </c:pt>
                <c:pt idx="154">
                  <c:v>7.2189326246311688E-3</c:v>
                </c:pt>
                <c:pt idx="155">
                  <c:v>7.2231616498835338E-3</c:v>
                </c:pt>
                <c:pt idx="156">
                  <c:v>7.2273890285714914E-3</c:v>
                </c:pt>
                <c:pt idx="157">
                  <c:v>7.2316147635789136E-3</c:v>
                </c:pt>
                <c:pt idx="158">
                  <c:v>7.2358388577811747E-3</c:v>
                </c:pt>
                <c:pt idx="159">
                  <c:v>7.2400613140451179E-3</c:v>
                </c:pt>
                <c:pt idx="160">
                  <c:v>7.2442821352291763E-3</c:v>
                </c:pt>
                <c:pt idx="161">
                  <c:v>7.2485013241833226E-3</c:v>
                </c:pt>
                <c:pt idx="162">
                  <c:v>7.2527188837492144E-3</c:v>
                </c:pt>
                <c:pt idx="163">
                  <c:v>7.2569348167601105E-3</c:v>
                </c:pt>
                <c:pt idx="164">
                  <c:v>7.26114912604095E-3</c:v>
                </c:pt>
                <c:pt idx="165">
                  <c:v>7.2653618144084622E-3</c:v>
                </c:pt>
                <c:pt idx="166">
                  <c:v>7.2695728846710328E-3</c:v>
                </c:pt>
                <c:pt idx="167">
                  <c:v>7.2737823396289277E-3</c:v>
                </c:pt>
                <c:pt idx="168">
                  <c:v>7.2779901820741793E-3</c:v>
                </c:pt>
                <c:pt idx="169">
                  <c:v>7.2821964147906882E-3</c:v>
                </c:pt>
                <c:pt idx="170">
                  <c:v>7.2864010405542844E-3</c:v>
                </c:pt>
                <c:pt idx="171">
                  <c:v>7.2906040621326792E-3</c:v>
                </c:pt>
                <c:pt idx="172">
                  <c:v>7.294805482285528E-3</c:v>
                </c:pt>
                <c:pt idx="173">
                  <c:v>7.2990053037645108E-3</c:v>
                </c:pt>
                <c:pt idx="174">
                  <c:v>7.303203529313314E-3</c:v>
                </c:pt>
                <c:pt idx="175">
                  <c:v>7.30740016166769E-3</c:v>
                </c:pt>
                <c:pt idx="176">
                  <c:v>7.3115952035554569E-3</c:v>
                </c:pt>
                <c:pt idx="177">
                  <c:v>7.3157886576965528E-3</c:v>
                </c:pt>
                <c:pt idx="178">
                  <c:v>7.3199805268030832E-3</c:v>
                </c:pt>
                <c:pt idx="179">
                  <c:v>7.3241708135793364E-3</c:v>
                </c:pt>
                <c:pt idx="180">
                  <c:v>7.3283595207217743E-3</c:v>
                </c:pt>
                <c:pt idx="181">
                  <c:v>7.3325466509191629E-3</c:v>
                </c:pt>
                <c:pt idx="182">
                  <c:v>7.3367322068524747E-3</c:v>
                </c:pt>
                <c:pt idx="183">
                  <c:v>7.3409161911950791E-3</c:v>
                </c:pt>
                <c:pt idx="184">
                  <c:v>7.3450986066125939E-3</c:v>
                </c:pt>
                <c:pt idx="185">
                  <c:v>7.3492794557630794E-3</c:v>
                </c:pt>
                <c:pt idx="186">
                  <c:v>7.3534587412969268E-3</c:v>
                </c:pt>
                <c:pt idx="187">
                  <c:v>7.3576364658569917E-3</c:v>
                </c:pt>
                <c:pt idx="188">
                  <c:v>7.3618126320786148E-3</c:v>
                </c:pt>
                <c:pt idx="189">
                  <c:v>7.3659872425895874E-3</c:v>
                </c:pt>
                <c:pt idx="190">
                  <c:v>7.3701603000102325E-3</c:v>
                </c:pt>
                <c:pt idx="191">
                  <c:v>7.3743318069534229E-3</c:v>
                </c:pt>
                <c:pt idx="192">
                  <c:v>7.3785017660246231E-3</c:v>
                </c:pt>
                <c:pt idx="193">
                  <c:v>7.3826701798218953E-3</c:v>
                </c:pt>
                <c:pt idx="194">
                  <c:v>7.3868370509359285E-3</c:v>
                </c:pt>
                <c:pt idx="195">
                  <c:v>7.3910023819501267E-3</c:v>
                </c:pt>
                <c:pt idx="196">
                  <c:v>7.3951661754405162E-3</c:v>
                </c:pt>
                <c:pt idx="197">
                  <c:v>7.3993284339759161E-3</c:v>
                </c:pt>
                <c:pt idx="198">
                  <c:v>7.4034891601178722E-3</c:v>
                </c:pt>
                <c:pt idx="199">
                  <c:v>7.4076483564207152E-3</c:v>
                </c:pt>
                <c:pt idx="200">
                  <c:v>7.4118060254315873E-3</c:v>
                </c:pt>
                <c:pt idx="201">
                  <c:v>7.4159621696904786E-3</c:v>
                </c:pt>
                <c:pt idx="202">
                  <c:v>7.4201167917302231E-3</c:v>
                </c:pt>
                <c:pt idx="203">
                  <c:v>7.4242698940765782E-3</c:v>
                </c:pt>
                <c:pt idx="204">
                  <c:v>7.4284214792482194E-3</c:v>
                </c:pt>
                <c:pt idx="205">
                  <c:v>7.432571549756785E-3</c:v>
                </c:pt>
                <c:pt idx="206">
                  <c:v>7.4367201081068568E-3</c:v>
                </c:pt>
                <c:pt idx="207">
                  <c:v>7.44086715679606E-3</c:v>
                </c:pt>
                <c:pt idx="208">
                  <c:v>7.4450126983150108E-3</c:v>
                </c:pt>
                <c:pt idx="209">
                  <c:v>7.4491567351474769E-3</c:v>
                </c:pt>
                <c:pt idx="210">
                  <c:v>7.4532992697701949E-3</c:v>
                </c:pt>
                <c:pt idx="211">
                  <c:v>7.4574403046531092E-3</c:v>
                </c:pt>
                <c:pt idx="212">
                  <c:v>7.4615798422592696E-3</c:v>
                </c:pt>
                <c:pt idx="213">
                  <c:v>7.4657178850449056E-3</c:v>
                </c:pt>
                <c:pt idx="214">
                  <c:v>7.46985443545942E-3</c:v>
                </c:pt>
                <c:pt idx="215">
                  <c:v>7.4739894959454734E-3</c:v>
                </c:pt>
                <c:pt idx="216">
                  <c:v>7.4781230689389428E-3</c:v>
                </c:pt>
                <c:pt idx="217">
                  <c:v>7.4822551568690119E-3</c:v>
                </c:pt>
                <c:pt idx="218">
                  <c:v>7.4863857621581291E-3</c:v>
                </c:pt>
                <c:pt idx="219">
                  <c:v>7.4905148872221093E-3</c:v>
                </c:pt>
                <c:pt idx="220">
                  <c:v>7.4946425344700742E-3</c:v>
                </c:pt>
                <c:pt idx="221">
                  <c:v>7.4987687063045629E-3</c:v>
                </c:pt>
                <c:pt idx="222">
                  <c:v>7.5028934051214972E-3</c:v>
                </c:pt>
                <c:pt idx="223">
                  <c:v>7.5070166333102281E-3</c:v>
                </c:pt>
                <c:pt idx="224">
                  <c:v>7.51113839325357E-3</c:v>
                </c:pt>
                <c:pt idx="225">
                  <c:v>7.5152586873278304E-3</c:v>
                </c:pt>
                <c:pt idx="226">
                  <c:v>7.5193775179027839E-3</c:v>
                </c:pt>
                <c:pt idx="227">
                  <c:v>7.5234948873417569E-3</c:v>
                </c:pt>
                <c:pt idx="228">
                  <c:v>7.5276107980016323E-3</c:v>
                </c:pt>
                <c:pt idx="229">
                  <c:v>7.5317252522328513E-3</c:v>
                </c:pt>
                <c:pt idx="230">
                  <c:v>7.5358382523794988E-3</c:v>
                </c:pt>
                <c:pt idx="231">
                  <c:v>7.5399498007792292E-3</c:v>
                </c:pt>
                <c:pt idx="232">
                  <c:v>7.5440598997634232E-3</c:v>
                </c:pt>
                <c:pt idx="233">
                  <c:v>7.5481685516570569E-3</c:v>
                </c:pt>
                <c:pt idx="234">
                  <c:v>7.5522757587788538E-3</c:v>
                </c:pt>
                <c:pt idx="235">
                  <c:v>7.5563815234412643E-3</c:v>
                </c:pt>
                <c:pt idx="236">
                  <c:v>7.5604858479504612E-3</c:v>
                </c:pt>
                <c:pt idx="237">
                  <c:v>7.5645887346064266E-3</c:v>
                </c:pt>
                <c:pt idx="238">
                  <c:v>7.5686901857028761E-3</c:v>
                </c:pt>
                <c:pt idx="239">
                  <c:v>7.572790203527407E-3</c:v>
                </c:pt>
                <c:pt idx="240">
                  <c:v>7.5768887903614399E-3</c:v>
                </c:pt>
                <c:pt idx="241">
                  <c:v>7.5809859484802303E-3</c:v>
                </c:pt>
                <c:pt idx="242">
                  <c:v>7.5850816801529396E-3</c:v>
                </c:pt>
                <c:pt idx="243">
                  <c:v>7.5891759876426657E-3</c:v>
                </c:pt>
                <c:pt idx="244">
                  <c:v>7.5932688732064128E-3</c:v>
                </c:pt>
                <c:pt idx="245">
                  <c:v>7.5973603390951574E-3</c:v>
                </c:pt>
                <c:pt idx="246">
                  <c:v>7.6014503875538424E-3</c:v>
                </c:pt>
                <c:pt idx="247">
                  <c:v>7.6055390208214111E-3</c:v>
                </c:pt>
                <c:pt idx="248">
                  <c:v>7.6096262411308371E-3</c:v>
                </c:pt>
                <c:pt idx="249">
                  <c:v>7.6137120507091625E-3</c:v>
                </c:pt>
                <c:pt idx="250">
                  <c:v>7.6177964517774571E-3</c:v>
                </c:pt>
                <c:pt idx="251">
                  <c:v>7.6218794465509106E-3</c:v>
                </c:pt>
                <c:pt idx="252">
                  <c:v>7.6259610372388185E-3</c:v>
                </c:pt>
                <c:pt idx="253">
                  <c:v>7.6300412260446151E-3</c:v>
                </c:pt>
                <c:pt idx="254">
                  <c:v>7.6341200151658836E-3</c:v>
                </c:pt>
                <c:pt idx="255">
                  <c:v>7.6381974067943849E-3</c:v>
                </c:pt>
                <c:pt idx="256">
                  <c:v>7.6422734031160993E-3</c:v>
                </c:pt>
                <c:pt idx="257">
                  <c:v>7.646348006311224E-3</c:v>
                </c:pt>
                <c:pt idx="258">
                  <c:v>7.6504212185541801E-3</c:v>
                </c:pt>
                <c:pt idx="259">
                  <c:v>7.6544930420136348E-3</c:v>
                </c:pt>
                <c:pt idx="260">
                  <c:v>7.6585634788526227E-3</c:v>
                </c:pt>
                <c:pt idx="261">
                  <c:v>7.6626325312283946E-3</c:v>
                </c:pt>
                <c:pt idx="262">
                  <c:v>7.6667002012926009E-3</c:v>
                </c:pt>
                <c:pt idx="263">
                  <c:v>7.6707664911911857E-3</c:v>
                </c:pt>
                <c:pt idx="264">
                  <c:v>7.6748314030644941E-3</c:v>
                </c:pt>
                <c:pt idx="265">
                  <c:v>7.6788949390472604E-3</c:v>
                </c:pt>
                <c:pt idx="266">
                  <c:v>7.6829571012685992E-3</c:v>
                </c:pt>
                <c:pt idx="267">
                  <c:v>7.6870178918521078E-3</c:v>
                </c:pt>
                <c:pt idx="268">
                  <c:v>7.6910773129157724E-3</c:v>
                </c:pt>
                <c:pt idx="269">
                  <c:v>7.6951353665721265E-3</c:v>
                </c:pt>
                <c:pt idx="270">
                  <c:v>7.6991920549281416E-3</c:v>
                </c:pt>
                <c:pt idx="271">
                  <c:v>7.7032473800853025E-3</c:v>
                </c:pt>
                <c:pt idx="272">
                  <c:v>7.7073013441396488E-3</c:v>
                </c:pt>
                <c:pt idx="273">
                  <c:v>7.7113539491817824E-3</c:v>
                </c:pt>
                <c:pt idx="274">
                  <c:v>7.7154051972968462E-3</c:v>
                </c:pt>
                <c:pt idx="275">
                  <c:v>7.7194550905645845E-3</c:v>
                </c:pt>
                <c:pt idx="276">
                  <c:v>7.7235036310593537E-3</c:v>
                </c:pt>
                <c:pt idx="277">
                  <c:v>7.7275508208501514E-3</c:v>
                </c:pt>
                <c:pt idx="278">
                  <c:v>7.7315966620006404E-3</c:v>
                </c:pt>
                <c:pt idx="279">
                  <c:v>7.7356411565690933E-3</c:v>
                </c:pt>
                <c:pt idx="280">
                  <c:v>7.7396843066085677E-3</c:v>
                </c:pt>
                <c:pt idx="281">
                  <c:v>7.7437261141667189E-3</c:v>
                </c:pt>
                <c:pt idx="282">
                  <c:v>7.7477665812860329E-3</c:v>
                </c:pt>
                <c:pt idx="283">
                  <c:v>7.7518057100036501E-3</c:v>
                </c:pt>
                <c:pt idx="284">
                  <c:v>7.7558435023515615E-3</c:v>
                </c:pt>
                <c:pt idx="285">
                  <c:v>7.759879960356493E-3</c:v>
                </c:pt>
                <c:pt idx="286">
                  <c:v>7.7639150860399977E-3</c:v>
                </c:pt>
                <c:pt idx="287">
                  <c:v>7.767948881418409E-3</c:v>
                </c:pt>
                <c:pt idx="288">
                  <c:v>7.7719813485029416E-3</c:v>
                </c:pt>
                <c:pt idx="289">
                  <c:v>7.7760124892996994E-3</c:v>
                </c:pt>
                <c:pt idx="290">
                  <c:v>7.7800423058095522E-3</c:v>
                </c:pt>
                <c:pt idx="291">
                  <c:v>7.7840708000283913E-3</c:v>
                </c:pt>
                <c:pt idx="292">
                  <c:v>7.7880979739469568E-3</c:v>
                </c:pt>
                <c:pt idx="293">
                  <c:v>7.7921238295509216E-3</c:v>
                </c:pt>
                <c:pt idx="294">
                  <c:v>7.7961483688209375E-3</c:v>
                </c:pt>
                <c:pt idx="295">
                  <c:v>7.8001715937325855E-3</c:v>
                </c:pt>
                <c:pt idx="296">
                  <c:v>7.8041935062564873E-3</c:v>
                </c:pt>
                <c:pt idx="297">
                  <c:v>7.8082141083582156E-3</c:v>
                </c:pt>
                <c:pt idx="298">
                  <c:v>7.8122334019983747E-3</c:v>
                </c:pt>
                <c:pt idx="299">
                  <c:v>7.8162513891326686E-3</c:v>
                </c:pt>
                <c:pt idx="300">
                  <c:v>7.8202680717117581E-3</c:v>
                </c:pt>
                <c:pt idx="301">
                  <c:v>7.8242834516814627E-3</c:v>
                </c:pt>
                <c:pt idx="302">
                  <c:v>7.8282975309826551E-3</c:v>
                </c:pt>
                <c:pt idx="303">
                  <c:v>7.8323103115513406E-3</c:v>
                </c:pt>
                <c:pt idx="304">
                  <c:v>7.8363217953186081E-3</c:v>
                </c:pt>
                <c:pt idx="305">
                  <c:v>7.8403319842107622E-3</c:v>
                </c:pt>
                <c:pt idx="306">
                  <c:v>7.8443408801491775E-3</c:v>
                </c:pt>
                <c:pt idx="307">
                  <c:v>7.8483484850505065E-3</c:v>
                </c:pt>
                <c:pt idx="308">
                  <c:v>7.852354800826503E-3</c:v>
                </c:pt>
                <c:pt idx="309">
                  <c:v>7.8563598293842022E-3</c:v>
                </c:pt>
                <c:pt idx="310">
                  <c:v>7.8603635726258413E-3</c:v>
                </c:pt>
                <c:pt idx="311">
                  <c:v>7.8643660324488902E-3</c:v>
                </c:pt>
                <c:pt idx="312">
                  <c:v>7.8683672107461213E-3</c:v>
                </c:pt>
                <c:pt idx="313">
                  <c:v>7.8723671094055488E-3</c:v>
                </c:pt>
                <c:pt idx="314">
                  <c:v>7.8763657303104924E-3</c:v>
                </c:pt>
                <c:pt idx="315">
                  <c:v>7.8803630753395641E-3</c:v>
                </c:pt>
                <c:pt idx="316">
                  <c:v>7.8843591463667786E-3</c:v>
                </c:pt>
                <c:pt idx="317">
                  <c:v>7.8883539452613994E-3</c:v>
                </c:pt>
                <c:pt idx="318">
                  <c:v>7.8923474738880998E-3</c:v>
                </c:pt>
                <c:pt idx="319">
                  <c:v>7.8963397341069476E-3</c:v>
                </c:pt>
                <c:pt idx="320">
                  <c:v>7.9003307277733508E-3</c:v>
                </c:pt>
                <c:pt idx="321">
                  <c:v>7.9043204567382005E-3</c:v>
                </c:pt>
                <c:pt idx="322">
                  <c:v>7.9083089228477177E-3</c:v>
                </c:pt>
                <c:pt idx="323">
                  <c:v>7.9122961279436358E-3</c:v>
                </c:pt>
                <c:pt idx="324">
                  <c:v>7.9162820738631363E-3</c:v>
                </c:pt>
                <c:pt idx="325">
                  <c:v>7.9202667624388417E-3</c:v>
                </c:pt>
                <c:pt idx="326">
                  <c:v>7.9242501954989043E-3</c:v>
                </c:pt>
                <c:pt idx="327">
                  <c:v>7.9282323748669208E-3</c:v>
                </c:pt>
                <c:pt idx="328">
                  <c:v>7.9322133023621028E-3</c:v>
                </c:pt>
                <c:pt idx="329">
                  <c:v>7.9361929797990838E-3</c:v>
                </c:pt>
                <c:pt idx="330">
                  <c:v>7.9401714089881066E-3</c:v>
                </c:pt>
                <c:pt idx="331">
                  <c:v>7.9441485917349959E-3</c:v>
                </c:pt>
                <c:pt idx="332">
                  <c:v>7.9481245298410972E-3</c:v>
                </c:pt>
                <c:pt idx="333">
                  <c:v>7.9520992251034279E-3</c:v>
                </c:pt>
                <c:pt idx="334">
                  <c:v>7.9560726793145888E-3</c:v>
                </c:pt>
                <c:pt idx="335">
                  <c:v>7.9600448942627397E-3</c:v>
                </c:pt>
                <c:pt idx="336">
                  <c:v>7.9640158717317767E-3</c:v>
                </c:pt>
                <c:pt idx="337">
                  <c:v>7.9679856135011894E-3</c:v>
                </c:pt>
                <c:pt idx="338">
                  <c:v>7.9719541213461656E-3</c:v>
                </c:pt>
                <c:pt idx="339">
                  <c:v>7.9759213970375699E-3</c:v>
                </c:pt>
                <c:pt idx="340">
                  <c:v>7.9798874423419822E-3</c:v>
                </c:pt>
                <c:pt idx="341">
                  <c:v>7.9838522590216579E-3</c:v>
                </c:pt>
                <c:pt idx="342">
                  <c:v>7.9878158488346489E-3</c:v>
                </c:pt>
                <c:pt idx="343">
                  <c:v>7.991778213534648E-3</c:v>
                </c:pt>
                <c:pt idx="344">
                  <c:v>7.9957393548712105E-3</c:v>
                </c:pt>
                <c:pt idx="345">
                  <c:v>7.9996992745896278E-3</c:v>
                </c:pt>
                <c:pt idx="346">
                  <c:v>8.0036579744309361E-3</c:v>
                </c:pt>
                <c:pt idx="347">
                  <c:v>8.007615456132022E-3</c:v>
                </c:pt>
                <c:pt idx="348">
                  <c:v>8.0115717214255845E-3</c:v>
                </c:pt>
                <c:pt idx="349">
                  <c:v>8.0155267720401092E-3</c:v>
                </c:pt>
                <c:pt idx="350">
                  <c:v>8.0194806096999995E-3</c:v>
                </c:pt>
                <c:pt idx="351">
                  <c:v>8.0234332361254403E-3</c:v>
                </c:pt>
                <c:pt idx="352">
                  <c:v>8.0273846530325415E-3</c:v>
                </c:pt>
                <c:pt idx="353">
                  <c:v>8.0313348621332513E-3</c:v>
                </c:pt>
                <c:pt idx="354">
                  <c:v>8.0352838651354692E-3</c:v>
                </c:pt>
                <c:pt idx="355">
                  <c:v>8.0392316637429816E-3</c:v>
                </c:pt>
                <c:pt idx="356">
                  <c:v>8.0431782596554688E-3</c:v>
                </c:pt>
                <c:pt idx="357">
                  <c:v>8.0471236545686265E-3</c:v>
                </c:pt>
                <c:pt idx="358">
                  <c:v>8.0510678501740443E-3</c:v>
                </c:pt>
                <c:pt idx="359">
                  <c:v>8.0550108481592907E-3</c:v>
                </c:pt>
                <c:pt idx="360">
                  <c:v>8.0589526502079147E-3</c:v>
                </c:pt>
                <c:pt idx="361">
                  <c:v>8.0628932579995191E-3</c:v>
                </c:pt>
                <c:pt idx="362">
                  <c:v>8.0668326732096108E-3</c:v>
                </c:pt>
                <c:pt idx="363">
                  <c:v>8.070770897509771E-3</c:v>
                </c:pt>
                <c:pt idx="364">
                  <c:v>8.0747079325676503E-3</c:v>
                </c:pt>
                <c:pt idx="365">
                  <c:v>8.0786437800468916E-3</c:v>
                </c:pt>
                <c:pt idx="366">
                  <c:v>8.0825784416071935E-3</c:v>
                </c:pt>
                <c:pt idx="367">
                  <c:v>8.0865119189043877E-3</c:v>
                </c:pt>
                <c:pt idx="368">
                  <c:v>8.090444213590342E-3</c:v>
                </c:pt>
                <c:pt idx="369">
                  <c:v>8.0943753273130369E-3</c:v>
                </c:pt>
                <c:pt idx="370">
                  <c:v>8.0983052617165825E-3</c:v>
                </c:pt>
                <c:pt idx="371">
                  <c:v>8.1022340184411963E-3</c:v>
                </c:pt>
                <c:pt idx="372">
                  <c:v>8.1061615991232187E-3</c:v>
                </c:pt>
                <c:pt idx="373">
                  <c:v>8.110088005395184E-3</c:v>
                </c:pt>
                <c:pt idx="374">
                  <c:v>8.1140132388857634E-3</c:v>
                </c:pt>
                <c:pt idx="375">
                  <c:v>8.1179373012198117E-3</c:v>
                </c:pt>
                <c:pt idx="376">
                  <c:v>8.1218601940183672E-3</c:v>
                </c:pt>
                <c:pt idx="377">
                  <c:v>8.1257819188986797E-3</c:v>
                </c:pt>
                <c:pt idx="378">
                  <c:v>8.1297024774741756E-3</c:v>
                </c:pt>
                <c:pt idx="379">
                  <c:v>8.1336218713545724E-3</c:v>
                </c:pt>
                <c:pt idx="380">
                  <c:v>8.1375401021457714E-3</c:v>
                </c:pt>
                <c:pt idx="381">
                  <c:v>8.1414571714499666E-3</c:v>
                </c:pt>
                <c:pt idx="382">
                  <c:v>8.1453730808655929E-3</c:v>
                </c:pt>
                <c:pt idx="383">
                  <c:v>8.1492878319873643E-3</c:v>
                </c:pt>
                <c:pt idx="384">
                  <c:v>8.1532014264062546E-3</c:v>
                </c:pt>
                <c:pt idx="385">
                  <c:v>8.1571138657096122E-3</c:v>
                </c:pt>
                <c:pt idx="386">
                  <c:v>8.1610251514810002E-3</c:v>
                </c:pt>
                <c:pt idx="387">
                  <c:v>8.1649352853004186E-3</c:v>
                </c:pt>
                <c:pt idx="388">
                  <c:v>8.168844268744084E-3</c:v>
                </c:pt>
                <c:pt idx="389">
                  <c:v>8.1727521033846621E-3</c:v>
                </c:pt>
                <c:pt idx="390">
                  <c:v>8.1766587907911147E-3</c:v>
                </c:pt>
                <c:pt idx="391">
                  <c:v>8.180564332528787E-3</c:v>
                </c:pt>
                <c:pt idx="392">
                  <c:v>8.1844687301594627E-3</c:v>
                </c:pt>
                <c:pt idx="393">
                  <c:v>8.1883719852412374E-3</c:v>
                </c:pt>
                <c:pt idx="394">
                  <c:v>8.1922740993286523E-3</c:v>
                </c:pt>
                <c:pt idx="395">
                  <c:v>8.1961750739726683E-3</c:v>
                </c:pt>
                <c:pt idx="396">
                  <c:v>8.2000749107206932E-3</c:v>
                </c:pt>
                <c:pt idx="397">
                  <c:v>8.2039736111165357E-3</c:v>
                </c:pt>
                <c:pt idx="398">
                  <c:v>8.2078711767005208E-3</c:v>
                </c:pt>
                <c:pt idx="399">
                  <c:v>8.2117676090093638E-3</c:v>
                </c:pt>
                <c:pt idx="400">
                  <c:v>8.2156629095762983E-3</c:v>
                </c:pt>
                <c:pt idx="401">
                  <c:v>8.2195570799310433E-3</c:v>
                </c:pt>
                <c:pt idx="402">
                  <c:v>8.2234501215998138E-3</c:v>
                </c:pt>
                <c:pt idx="403">
                  <c:v>8.2273420361053048E-3</c:v>
                </c:pt>
                <c:pt idx="404">
                  <c:v>8.2312328249667787E-3</c:v>
                </c:pt>
                <c:pt idx="405">
                  <c:v>8.2351224897000436E-3</c:v>
                </c:pt>
                <c:pt idx="406">
                  <c:v>8.2390110318173761E-3</c:v>
                </c:pt>
                <c:pt idx="407">
                  <c:v>8.2428984528276524E-3</c:v>
                </c:pt>
                <c:pt idx="408">
                  <c:v>8.2467847542363158E-3</c:v>
                </c:pt>
                <c:pt idx="409">
                  <c:v>8.2506699375453942E-3</c:v>
                </c:pt>
                <c:pt idx="410">
                  <c:v>8.2545540042535063E-3</c:v>
                </c:pt>
                <c:pt idx="411">
                  <c:v>8.2584369558558173E-3</c:v>
                </c:pt>
                <c:pt idx="412">
                  <c:v>8.2623187938441409E-3</c:v>
                </c:pt>
                <c:pt idx="413">
                  <c:v>8.2661995197069373E-3</c:v>
                </c:pt>
                <c:pt idx="414">
                  <c:v>8.270079134929241E-3</c:v>
                </c:pt>
                <c:pt idx="415">
                  <c:v>8.2739576409927591E-3</c:v>
                </c:pt>
                <c:pt idx="416">
                  <c:v>8.2778350393758453E-3</c:v>
                </c:pt>
                <c:pt idx="417">
                  <c:v>8.281711331553537E-3</c:v>
                </c:pt>
                <c:pt idx="418">
                  <c:v>8.2855865189974762E-3</c:v>
                </c:pt>
                <c:pt idx="419">
                  <c:v>8.2894606031760909E-3</c:v>
                </c:pt>
                <c:pt idx="420">
                  <c:v>8.2933335855544243E-3</c:v>
                </c:pt>
                <c:pt idx="421">
                  <c:v>8.2972054675942292E-3</c:v>
                </c:pt>
                <c:pt idx="422">
                  <c:v>8.3010762507540557E-3</c:v>
                </c:pt>
                <c:pt idx="423">
                  <c:v>8.3049459364890228E-3</c:v>
                </c:pt>
                <c:pt idx="424">
                  <c:v>8.3088145262511758E-3</c:v>
                </c:pt>
                <c:pt idx="425">
                  <c:v>8.3126820214891387E-3</c:v>
                </c:pt>
                <c:pt idx="426">
                  <c:v>8.3165484236483837E-3</c:v>
                </c:pt>
                <c:pt idx="427">
                  <c:v>8.3204137341711532E-3</c:v>
                </c:pt>
                <c:pt idx="428">
                  <c:v>8.3242779544964035E-3</c:v>
                </c:pt>
                <c:pt idx="429">
                  <c:v>8.3281410860599168E-3</c:v>
                </c:pt>
                <c:pt idx="430">
                  <c:v>8.3320031302943093E-3</c:v>
                </c:pt>
                <c:pt idx="431">
                  <c:v>8.3358640886289082E-3</c:v>
                </c:pt>
                <c:pt idx="432">
                  <c:v>8.3397239624899543E-3</c:v>
                </c:pt>
                <c:pt idx="433">
                  <c:v>8.3435827533004554E-3</c:v>
                </c:pt>
                <c:pt idx="434">
                  <c:v>8.3474404624802913E-3</c:v>
                </c:pt>
                <c:pt idx="435">
                  <c:v>8.3512970914461811E-3</c:v>
                </c:pt>
                <c:pt idx="436">
                  <c:v>8.3551526416116607E-3</c:v>
                </c:pt>
                <c:pt idx="437">
                  <c:v>8.3590071143871542E-3</c:v>
                </c:pt>
                <c:pt idx="438">
                  <c:v>8.3628605111799904E-3</c:v>
                </c:pt>
                <c:pt idx="439">
                  <c:v>8.3667128333943727E-3</c:v>
                </c:pt>
                <c:pt idx="440">
                  <c:v>8.3705640824313591E-3</c:v>
                </c:pt>
                <c:pt idx="441">
                  <c:v>8.3744142596889459E-3</c:v>
                </c:pt>
                <c:pt idx="442">
                  <c:v>8.378263366562097E-3</c:v>
                </c:pt>
                <c:pt idx="443">
                  <c:v>8.3821114044425691E-3</c:v>
                </c:pt>
                <c:pt idx="444">
                  <c:v>8.3859583747191713E-3</c:v>
                </c:pt>
                <c:pt idx="445">
                  <c:v>8.3898042787775608E-3</c:v>
                </c:pt>
                <c:pt idx="446">
                  <c:v>8.3936491180004388E-3</c:v>
                </c:pt>
                <c:pt idx="447">
                  <c:v>8.3974928937674501E-3</c:v>
                </c:pt>
                <c:pt idx="448">
                  <c:v>8.4013356074551255E-3</c:v>
                </c:pt>
                <c:pt idx="449">
                  <c:v>8.4051772604371092E-3</c:v>
                </c:pt>
                <c:pt idx="450">
                  <c:v>8.4090178540838743E-3</c:v>
                </c:pt>
                <c:pt idx="451">
                  <c:v>8.4128573897630649E-3</c:v>
                </c:pt>
                <c:pt idx="452">
                  <c:v>8.4166958688392003E-3</c:v>
                </c:pt>
                <c:pt idx="453">
                  <c:v>8.4205332926738912E-3</c:v>
                </c:pt>
                <c:pt idx="454">
                  <c:v>8.424369662625707E-3</c:v>
                </c:pt>
                <c:pt idx="455">
                  <c:v>8.4282049800503741E-3</c:v>
                </c:pt>
                <c:pt idx="456">
                  <c:v>8.4320392463005343E-3</c:v>
                </c:pt>
                <c:pt idx="457">
                  <c:v>8.4358724627259206E-3</c:v>
                </c:pt>
                <c:pt idx="458">
                  <c:v>8.4397046306734468E-3</c:v>
                </c:pt>
                <c:pt idx="459">
                  <c:v>8.4435357514868348E-3</c:v>
                </c:pt>
                <c:pt idx="460">
                  <c:v>8.4473658265071683E-3</c:v>
                </c:pt>
                <c:pt idx="461">
                  <c:v>8.451194857072403E-3</c:v>
                </c:pt>
                <c:pt idx="462">
                  <c:v>8.4550228445178163E-3</c:v>
                </c:pt>
                <c:pt idx="463">
                  <c:v>8.4588497901755648E-3</c:v>
                </c:pt>
                <c:pt idx="464">
                  <c:v>8.4626756953750399E-3</c:v>
                </c:pt>
                <c:pt idx="465">
                  <c:v>8.4665005614428072E-3</c:v>
                </c:pt>
                <c:pt idx="466">
                  <c:v>8.4703243897023706E-3</c:v>
                </c:pt>
                <c:pt idx="467">
                  <c:v>8.4741471814746214E-3</c:v>
                </c:pt>
                <c:pt idx="468">
                  <c:v>8.4779689380774341E-3</c:v>
                </c:pt>
                <c:pt idx="469">
                  <c:v>8.4817896608258749E-3</c:v>
                </c:pt>
                <c:pt idx="470">
                  <c:v>8.485609351032276E-3</c:v>
                </c:pt>
                <c:pt idx="471">
                  <c:v>8.4894280100059633E-3</c:v>
                </c:pt>
                <c:pt idx="472">
                  <c:v>8.4932456390536468E-3</c:v>
                </c:pt>
                <c:pt idx="473">
                  <c:v>8.4970622394790543E-3</c:v>
                </c:pt>
                <c:pt idx="474">
                  <c:v>8.5008778125832546E-3</c:v>
                </c:pt>
                <c:pt idx="475">
                  <c:v>8.5046923596644383E-3</c:v>
                </c:pt>
                <c:pt idx="476">
                  <c:v>8.5085058820180345E-3</c:v>
                </c:pt>
                <c:pt idx="477">
                  <c:v>8.5123183809367661E-3</c:v>
                </c:pt>
                <c:pt idx="478">
                  <c:v>8.5161298577105006E-3</c:v>
                </c:pt>
                <c:pt idx="479">
                  <c:v>8.519940313626349E-3</c:v>
                </c:pt>
                <c:pt idx="480">
                  <c:v>8.5237497499687578E-3</c:v>
                </c:pt>
                <c:pt idx="481">
                  <c:v>8.5275581680193911E-3</c:v>
                </c:pt>
                <c:pt idx="482">
                  <c:v>8.5313655690571668E-3</c:v>
                </c:pt>
                <c:pt idx="483">
                  <c:v>8.5351719543582359E-3</c:v>
                </c:pt>
                <c:pt idx="484">
                  <c:v>8.5389773251961804E-3</c:v>
                </c:pt>
                <c:pt idx="485">
                  <c:v>8.5427816828417356E-3</c:v>
                </c:pt>
                <c:pt idx="486">
                  <c:v>8.5465850285629998E-3</c:v>
                </c:pt>
                <c:pt idx="487">
                  <c:v>8.5503873636253187E-3</c:v>
                </c:pt>
                <c:pt idx="488">
                  <c:v>8.5541886892915031E-3</c:v>
                </c:pt>
                <c:pt idx="489">
                  <c:v>8.5579890068214811E-3</c:v>
                </c:pt>
                <c:pt idx="490">
                  <c:v>8.5617883174727485E-3</c:v>
                </c:pt>
                <c:pt idx="491">
                  <c:v>8.5655866224998607E-3</c:v>
                </c:pt>
                <c:pt idx="492">
                  <c:v>8.5693839231549638E-3</c:v>
                </c:pt>
                <c:pt idx="493">
                  <c:v>8.5731802206875009E-3</c:v>
                </c:pt>
                <c:pt idx="494">
                  <c:v>8.5769755163442232E-3</c:v>
                </c:pt>
                <c:pt idx="495">
                  <c:v>8.5807698113692966E-3</c:v>
                </c:pt>
                <c:pt idx="496">
                  <c:v>8.5845631070042144E-3</c:v>
                </c:pt>
                <c:pt idx="497">
                  <c:v>8.5883554044879108E-3</c:v>
                </c:pt>
                <c:pt idx="498">
                  <c:v>8.5921467050567319E-3</c:v>
                </c:pt>
                <c:pt idx="499">
                  <c:v>8.5959370099444338E-3</c:v>
                </c:pt>
                <c:pt idx="500">
                  <c:v>8.5997263203820597E-3</c:v>
                </c:pt>
                <c:pt idx="501">
                  <c:v>8.6035146375982342E-3</c:v>
                </c:pt>
                <c:pt idx="502">
                  <c:v>8.6073019628189178E-3</c:v>
                </c:pt>
                <c:pt idx="503">
                  <c:v>8.6110882972674548E-3</c:v>
                </c:pt>
                <c:pt idx="504">
                  <c:v>8.6148736421647974E-3</c:v>
                </c:pt>
                <c:pt idx="505">
                  <c:v>8.6186579987292244E-3</c:v>
                </c:pt>
                <c:pt idx="506">
                  <c:v>8.6224413681765168E-3</c:v>
                </c:pt>
                <c:pt idx="507">
                  <c:v>8.6262237517197825E-3</c:v>
                </c:pt>
                <c:pt idx="508">
                  <c:v>8.6300051505698357E-3</c:v>
                </c:pt>
                <c:pt idx="509">
                  <c:v>8.6337855659348386E-3</c:v>
                </c:pt>
                <c:pt idx="510">
                  <c:v>8.6375649990204067E-3</c:v>
                </c:pt>
                <c:pt idx="511">
                  <c:v>8.6413434510297319E-3</c:v>
                </c:pt>
                <c:pt idx="512">
                  <c:v>8.645120923163465E-3</c:v>
                </c:pt>
                <c:pt idx="513">
                  <c:v>8.6488974166196771E-3</c:v>
                </c:pt>
                <c:pt idx="514">
                  <c:v>8.6526729325941687E-3</c:v>
                </c:pt>
                <c:pt idx="515">
                  <c:v>8.6564474722801432E-3</c:v>
                </c:pt>
                <c:pt idx="516">
                  <c:v>8.6602210368682524E-3</c:v>
                </c:pt>
                <c:pt idx="517">
                  <c:v>8.6639936275467715E-3</c:v>
                </c:pt>
                <c:pt idx="518">
                  <c:v>8.6677652455016251E-3</c:v>
                </c:pt>
                <c:pt idx="519">
                  <c:v>8.6715358919160455E-3</c:v>
                </c:pt>
                <c:pt idx="520">
                  <c:v>8.6753055679710239E-3</c:v>
                </c:pt>
                <c:pt idx="521">
                  <c:v>8.6790742748449855E-3</c:v>
                </c:pt>
                <c:pt idx="522">
                  <c:v>8.6828420137140105E-3</c:v>
                </c:pt>
                <c:pt idx="523">
                  <c:v>8.6866087857518232E-3</c:v>
                </c:pt>
                <c:pt idx="524">
                  <c:v>8.6903745921295718E-3</c:v>
                </c:pt>
                <c:pt idx="525">
                  <c:v>8.6941394340160592E-3</c:v>
                </c:pt>
                <c:pt idx="526">
                  <c:v>8.6979033125777882E-3</c:v>
                </c:pt>
                <c:pt idx="527">
                  <c:v>8.7016662289787512E-3</c:v>
                </c:pt>
                <c:pt idx="528">
                  <c:v>8.7054281843805589E-3</c:v>
                </c:pt>
                <c:pt idx="529">
                  <c:v>8.709189179942553E-3</c:v>
                </c:pt>
                <c:pt idx="530">
                  <c:v>8.7129492168214837E-3</c:v>
                </c:pt>
                <c:pt idx="531">
                  <c:v>8.7167082961720176E-3</c:v>
                </c:pt>
                <c:pt idx="532">
                  <c:v>8.7204664191462625E-3</c:v>
                </c:pt>
                <c:pt idx="533">
                  <c:v>8.7242235868940955E-3</c:v>
                </c:pt>
                <c:pt idx="534">
                  <c:v>8.727979800562868E-3</c:v>
                </c:pt>
                <c:pt idx="535">
                  <c:v>8.7317350612978947E-3</c:v>
                </c:pt>
                <c:pt idx="536">
                  <c:v>8.7354893702417877E-3</c:v>
                </c:pt>
                <c:pt idx="537">
                  <c:v>8.7392427285351727E-3</c:v>
                </c:pt>
                <c:pt idx="538">
                  <c:v>8.7429951373160716E-3</c:v>
                </c:pt>
                <c:pt idx="539">
                  <c:v>8.7467465977204423E-3</c:v>
                </c:pt>
                <c:pt idx="540">
                  <c:v>8.7504971108818188E-3</c:v>
                </c:pt>
                <c:pt idx="541">
                  <c:v>8.7542466779314682E-3</c:v>
                </c:pt>
                <c:pt idx="542">
                  <c:v>8.7579952999982599E-3</c:v>
                </c:pt>
                <c:pt idx="543">
                  <c:v>8.7617429782089595E-3</c:v>
                </c:pt>
                <c:pt idx="544">
                  <c:v>8.7654897136878272E-3</c:v>
                </c:pt>
                <c:pt idx="545">
                  <c:v>8.769235507557132E-3</c:v>
                </c:pt>
                <c:pt idx="546">
                  <c:v>8.7729803609366153E-3</c:v>
                </c:pt>
                <c:pt idx="547">
                  <c:v>8.7767242749439856E-3</c:v>
                </c:pt>
                <c:pt idx="548">
                  <c:v>8.7804672506944462E-3</c:v>
                </c:pt>
                <c:pt idx="549">
                  <c:v>8.7842092893011779E-3</c:v>
                </c:pt>
                <c:pt idx="550">
                  <c:v>8.7879503918750299E-3</c:v>
                </c:pt>
                <c:pt idx="551">
                  <c:v>8.7916905595245773E-3</c:v>
                </c:pt>
                <c:pt idx="552">
                  <c:v>8.7954297933562735E-3</c:v>
                </c:pt>
                <c:pt idx="553">
                  <c:v>8.7991680944742006E-3</c:v>
                </c:pt>
                <c:pt idx="554">
                  <c:v>8.8029054639804823E-3</c:v>
                </c:pt>
                <c:pt idx="555">
                  <c:v>8.8066419029747042E-3</c:v>
                </c:pt>
                <c:pt idx="556">
                  <c:v>8.8103774125543807E-3</c:v>
                </c:pt>
                <c:pt idx="557">
                  <c:v>8.8141119938150644E-3</c:v>
                </c:pt>
                <c:pt idx="558">
                  <c:v>8.8178456478497143E-3</c:v>
                </c:pt>
                <c:pt idx="559">
                  <c:v>8.8215783757494316E-3</c:v>
                </c:pt>
                <c:pt idx="560">
                  <c:v>8.8253101786029253E-3</c:v>
                </c:pt>
                <c:pt idx="561">
                  <c:v>8.8290410574969318E-3</c:v>
                </c:pt>
                <c:pt idx="562">
                  <c:v>8.8327710135157281E-3</c:v>
                </c:pt>
                <c:pt idx="563">
                  <c:v>8.8365000477418146E-3</c:v>
                </c:pt>
                <c:pt idx="564">
                  <c:v>8.8402281612551935E-3</c:v>
                </c:pt>
                <c:pt idx="565">
                  <c:v>8.8439553551338985E-3</c:v>
                </c:pt>
                <c:pt idx="566">
                  <c:v>8.8476816304538675E-3</c:v>
                </c:pt>
                <c:pt idx="567">
                  <c:v>8.8514069882886862E-3</c:v>
                </c:pt>
                <c:pt idx="568">
                  <c:v>8.8551314297100406E-3</c:v>
                </c:pt>
                <c:pt idx="569">
                  <c:v>8.8588549557873583E-3</c:v>
                </c:pt>
                <c:pt idx="570">
                  <c:v>8.8625775675880529E-3</c:v>
                </c:pt>
                <c:pt idx="571">
                  <c:v>8.8662992661772324E-3</c:v>
                </c:pt>
                <c:pt idx="572">
                  <c:v>8.8700200526181452E-3</c:v>
                </c:pt>
                <c:pt idx="573">
                  <c:v>8.8737399279718264E-3</c:v>
                </c:pt>
                <c:pt idx="574">
                  <c:v>8.8774588932970834E-3</c:v>
                </c:pt>
                <c:pt idx="575">
                  <c:v>8.8811769496508312E-3</c:v>
                </c:pt>
                <c:pt idx="576">
                  <c:v>8.8848940980879032E-3</c:v>
                </c:pt>
                <c:pt idx="577">
                  <c:v>8.8886103396609208E-3</c:v>
                </c:pt>
                <c:pt idx="578">
                  <c:v>8.8923256754205506E-3</c:v>
                </c:pt>
                <c:pt idx="579">
                  <c:v>8.8960401064152976E-3</c:v>
                </c:pt>
                <c:pt idx="580">
                  <c:v>8.8997536336916667E-3</c:v>
                </c:pt>
                <c:pt idx="581">
                  <c:v>8.9034662582940394E-3</c:v>
                </c:pt>
                <c:pt idx="582">
                  <c:v>8.9071779812648858E-3</c:v>
                </c:pt>
                <c:pt idx="583">
                  <c:v>8.9108888036444848E-3</c:v>
                </c:pt>
                <c:pt idx="584">
                  <c:v>8.9145987264712227E-3</c:v>
                </c:pt>
                <c:pt idx="585">
                  <c:v>8.918307750781302E-3</c:v>
                </c:pt>
                <c:pt idx="586">
                  <c:v>8.9220158776089856E-3</c:v>
                </c:pt>
                <c:pt idx="587">
                  <c:v>8.9257231079865069E-3</c:v>
                </c:pt>
                <c:pt idx="588">
                  <c:v>8.929429442944066E-3</c:v>
                </c:pt>
                <c:pt idx="589">
                  <c:v>8.9331348835099897E-3</c:v>
                </c:pt>
                <c:pt idx="590">
                  <c:v>8.936839430710327E-3</c:v>
                </c:pt>
                <c:pt idx="591">
                  <c:v>8.9405430855692344E-3</c:v>
                </c:pt>
                <c:pt idx="592">
                  <c:v>8.9442458491091181E-3</c:v>
                </c:pt>
                <c:pt idx="593">
                  <c:v>8.9479477223501115E-3</c:v>
                </c:pt>
                <c:pt idx="594">
                  <c:v>8.9516487063103153E-3</c:v>
                </c:pt>
                <c:pt idx="595">
                  <c:v>8.9553488020063261E-3</c:v>
                </c:pt>
                <c:pt idx="596">
                  <c:v>8.9590480104520219E-3</c:v>
                </c:pt>
                <c:pt idx="597">
                  <c:v>8.9627463326600043E-3</c:v>
                </c:pt>
                <c:pt idx="598">
                  <c:v>8.966443769640545E-3</c:v>
                </c:pt>
                <c:pt idx="599">
                  <c:v>8.9701403224020301E-3</c:v>
                </c:pt>
                <c:pt idx="600">
                  <c:v>8.9738359919510086E-3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4-4614-BF58-688E9006F52C}"/>
            </c:ext>
          </c:extLst>
        </c:ser>
        <c:ser>
          <c:idx val="1"/>
          <c:order val="1"/>
          <c:tx>
            <c:strRef>
              <c:f>MarketFit!$X$4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MarketFit!$X$5:$X$605</c:f>
              <c:numCache>
                <c:formatCode>0.00%</c:formatCode>
                <c:ptCount val="601"/>
                <c:pt idx="0">
                  <c:v>7.2019999999989211E-3</c:v>
                </c:pt>
                <c:pt idx="1">
                  <c:v>7.2019999999990616E-3</c:v>
                </c:pt>
                <c:pt idx="2">
                  <c:v>7.2019999999991995E-3</c:v>
                </c:pt>
                <c:pt idx="3">
                  <c:v>7.2019999999993357E-3</c:v>
                </c:pt>
                <c:pt idx="4">
                  <c:v>7.2019999999994701E-3</c:v>
                </c:pt>
                <c:pt idx="5">
                  <c:v>7.2019999999996046E-3</c:v>
                </c:pt>
                <c:pt idx="6">
                  <c:v>7.2019999999997381E-3</c:v>
                </c:pt>
                <c:pt idx="7">
                  <c:v>7.2019999999998613E-3</c:v>
                </c:pt>
                <c:pt idx="8">
                  <c:v>7.2019999999999793E-3</c:v>
                </c:pt>
                <c:pt idx="9">
                  <c:v>7.2020000000000955E-3</c:v>
                </c:pt>
                <c:pt idx="10">
                  <c:v>7.2020000000002013E-3</c:v>
                </c:pt>
                <c:pt idx="11">
                  <c:v>7.2020000000003019E-3</c:v>
                </c:pt>
                <c:pt idx="12">
                  <c:v>7.2020000000003912E-3</c:v>
                </c:pt>
                <c:pt idx="13">
                  <c:v>7.2020000000004762E-3</c:v>
                </c:pt>
                <c:pt idx="14">
                  <c:v>7.2020000000005508E-3</c:v>
                </c:pt>
                <c:pt idx="15">
                  <c:v>7.2020000000006098E-3</c:v>
                </c:pt>
                <c:pt idx="16">
                  <c:v>7.2020000000006723E-3</c:v>
                </c:pt>
                <c:pt idx="17">
                  <c:v>7.2020000000007182E-3</c:v>
                </c:pt>
                <c:pt idx="18">
                  <c:v>7.2020000000007547E-3</c:v>
                </c:pt>
                <c:pt idx="19">
                  <c:v>7.2020000000007824E-3</c:v>
                </c:pt>
                <c:pt idx="20">
                  <c:v>7.2020000000007972E-3</c:v>
                </c:pt>
                <c:pt idx="21">
                  <c:v>7.2020000000008145E-3</c:v>
                </c:pt>
                <c:pt idx="22">
                  <c:v>7.2020000000008163E-3</c:v>
                </c:pt>
                <c:pt idx="23">
                  <c:v>7.2020000000008076E-3</c:v>
                </c:pt>
                <c:pt idx="24">
                  <c:v>7.2020000000007946E-3</c:v>
                </c:pt>
                <c:pt idx="25">
                  <c:v>7.202000000000772E-3</c:v>
                </c:pt>
                <c:pt idx="26">
                  <c:v>7.2020000000007425E-3</c:v>
                </c:pt>
                <c:pt idx="27">
                  <c:v>7.2020000000007122E-3</c:v>
                </c:pt>
                <c:pt idx="28">
                  <c:v>7.2020000000006705E-3</c:v>
                </c:pt>
                <c:pt idx="29">
                  <c:v>7.202000000000628E-3</c:v>
                </c:pt>
                <c:pt idx="30">
                  <c:v>7.2020000000005803E-3</c:v>
                </c:pt>
                <c:pt idx="31">
                  <c:v>7.2020000000005257E-3</c:v>
                </c:pt>
                <c:pt idx="32">
                  <c:v>7.2020000000004736E-3</c:v>
                </c:pt>
                <c:pt idx="33">
                  <c:v>7.202000000000419E-3</c:v>
                </c:pt>
                <c:pt idx="34">
                  <c:v>7.2020000000003618E-3</c:v>
                </c:pt>
                <c:pt idx="35">
                  <c:v>7.202000000000301E-3</c:v>
                </c:pt>
                <c:pt idx="36">
                  <c:v>7.2020000000002412E-3</c:v>
                </c:pt>
                <c:pt idx="37">
                  <c:v>7.2020000000001805E-3</c:v>
                </c:pt>
                <c:pt idx="38">
                  <c:v>7.2020000000001267E-3</c:v>
                </c:pt>
                <c:pt idx="39">
                  <c:v>7.2020000000000738E-3</c:v>
                </c:pt>
                <c:pt idx="40">
                  <c:v>7.2020000000000183E-3</c:v>
                </c:pt>
                <c:pt idx="41">
                  <c:v>7.201999999999968E-3</c:v>
                </c:pt>
                <c:pt idx="42">
                  <c:v>7.2019999999999159E-3</c:v>
                </c:pt>
                <c:pt idx="43">
                  <c:v>7.201999999999876E-3</c:v>
                </c:pt>
                <c:pt idx="44">
                  <c:v>7.2019999999998309E-3</c:v>
                </c:pt>
                <c:pt idx="45">
                  <c:v>7.2019999999997962E-3</c:v>
                </c:pt>
                <c:pt idx="46">
                  <c:v>7.2019999999997624E-3</c:v>
                </c:pt>
                <c:pt idx="47">
                  <c:v>7.2019999999997329E-3</c:v>
                </c:pt>
                <c:pt idx="48">
                  <c:v>7.2019999999997095E-3</c:v>
                </c:pt>
                <c:pt idx="49">
                  <c:v>7.2019999999996887E-3</c:v>
                </c:pt>
                <c:pt idx="50">
                  <c:v>7.2019999999996757E-3</c:v>
                </c:pt>
                <c:pt idx="51">
                  <c:v>7.2019999999996661E-3</c:v>
                </c:pt>
                <c:pt idx="52">
                  <c:v>7.2019999999996566E-3</c:v>
                </c:pt>
                <c:pt idx="53">
                  <c:v>7.2019999999996566E-3</c:v>
                </c:pt>
                <c:pt idx="54">
                  <c:v>7.2019999999996609E-3</c:v>
                </c:pt>
                <c:pt idx="55">
                  <c:v>7.2019999999996644E-3</c:v>
                </c:pt>
                <c:pt idx="56">
                  <c:v>7.2019999999996765E-3</c:v>
                </c:pt>
                <c:pt idx="57">
                  <c:v>7.2019999999996887E-3</c:v>
                </c:pt>
                <c:pt idx="58">
                  <c:v>7.201999999999706E-3</c:v>
                </c:pt>
                <c:pt idx="59">
                  <c:v>7.2019999999997234E-3</c:v>
                </c:pt>
                <c:pt idx="60">
                  <c:v>7.2019999999997451E-3</c:v>
                </c:pt>
                <c:pt idx="61">
                  <c:v>7.2019999999997694E-3</c:v>
                </c:pt>
                <c:pt idx="62">
                  <c:v>7.2019999999997945E-3</c:v>
                </c:pt>
                <c:pt idx="63">
                  <c:v>7.2019999999998197E-3</c:v>
                </c:pt>
                <c:pt idx="64">
                  <c:v>7.2019999999998474E-3</c:v>
                </c:pt>
                <c:pt idx="65">
                  <c:v>7.2019999999998726E-3</c:v>
                </c:pt>
                <c:pt idx="66">
                  <c:v>7.2019999999999003E-3</c:v>
                </c:pt>
                <c:pt idx="67">
                  <c:v>7.2019999999999289E-3</c:v>
                </c:pt>
                <c:pt idx="68">
                  <c:v>7.2019999999999602E-3</c:v>
                </c:pt>
                <c:pt idx="69">
                  <c:v>7.2019999999999819E-3</c:v>
                </c:pt>
                <c:pt idx="70">
                  <c:v>7.2020000000000122E-3</c:v>
                </c:pt>
                <c:pt idx="71">
                  <c:v>7.2020000000000322E-3</c:v>
                </c:pt>
                <c:pt idx="72">
                  <c:v>7.2020000000000538E-3</c:v>
                </c:pt>
                <c:pt idx="73">
                  <c:v>7.202000000000079E-3</c:v>
                </c:pt>
                <c:pt idx="74">
                  <c:v>7.2020000000000989E-3</c:v>
                </c:pt>
                <c:pt idx="75">
                  <c:v>7.2020000000001137E-3</c:v>
                </c:pt>
                <c:pt idx="76">
                  <c:v>7.2020000000001258E-3</c:v>
                </c:pt>
                <c:pt idx="77">
                  <c:v>7.2020000000001371E-3</c:v>
                </c:pt>
                <c:pt idx="78">
                  <c:v>7.202000000000151E-3</c:v>
                </c:pt>
                <c:pt idx="79">
                  <c:v>7.2020000000001614E-3</c:v>
                </c:pt>
                <c:pt idx="80">
                  <c:v>7.2020000000001649E-3</c:v>
                </c:pt>
                <c:pt idx="81">
                  <c:v>7.2020000000001683E-3</c:v>
                </c:pt>
                <c:pt idx="82">
                  <c:v>7.2020000000001683E-3</c:v>
                </c:pt>
                <c:pt idx="83">
                  <c:v>7.2020000000001675E-3</c:v>
                </c:pt>
                <c:pt idx="84">
                  <c:v>7.2020000000001631E-3</c:v>
                </c:pt>
                <c:pt idx="85">
                  <c:v>7.2020000000001597E-3</c:v>
                </c:pt>
                <c:pt idx="86">
                  <c:v>7.2020000000001519E-3</c:v>
                </c:pt>
                <c:pt idx="87">
                  <c:v>7.2020000000001441E-3</c:v>
                </c:pt>
                <c:pt idx="88">
                  <c:v>7.2020000000001345E-3</c:v>
                </c:pt>
                <c:pt idx="89">
                  <c:v>7.202000000000125E-3</c:v>
                </c:pt>
                <c:pt idx="90">
                  <c:v>7.2020000000001128E-3</c:v>
                </c:pt>
                <c:pt idx="91">
                  <c:v>7.2020000000001015E-3</c:v>
                </c:pt>
                <c:pt idx="92">
                  <c:v>7.2020000000000911E-3</c:v>
                </c:pt>
                <c:pt idx="93">
                  <c:v>7.2020000000000755E-3</c:v>
                </c:pt>
                <c:pt idx="94">
                  <c:v>7.2020000000000643E-3</c:v>
                </c:pt>
                <c:pt idx="95">
                  <c:v>7.2020000000000512E-3</c:v>
                </c:pt>
                <c:pt idx="96">
                  <c:v>7.2020000000000374E-3</c:v>
                </c:pt>
                <c:pt idx="97">
                  <c:v>7.2020000000000278E-3</c:v>
                </c:pt>
                <c:pt idx="98">
                  <c:v>7.2020000000000131E-3</c:v>
                </c:pt>
                <c:pt idx="99">
                  <c:v>7.2019999999999992E-3</c:v>
                </c:pt>
                <c:pt idx="100">
                  <c:v>7.2019999999999897E-3</c:v>
                </c:pt>
                <c:pt idx="101">
                  <c:v>7.2019999999999819E-3</c:v>
                </c:pt>
                <c:pt idx="102">
                  <c:v>7.2019999999999749E-3</c:v>
                </c:pt>
                <c:pt idx="103">
                  <c:v>7.201999999999968E-3</c:v>
                </c:pt>
                <c:pt idx="104">
                  <c:v>7.2019999999999593E-3</c:v>
                </c:pt>
                <c:pt idx="105">
                  <c:v>7.2019999999999584E-3</c:v>
                </c:pt>
                <c:pt idx="106">
                  <c:v>7.2019999999999541E-3</c:v>
                </c:pt>
                <c:pt idx="107">
                  <c:v>7.2019999999999524E-3</c:v>
                </c:pt>
                <c:pt idx="108">
                  <c:v>7.2019999999999498E-3</c:v>
                </c:pt>
                <c:pt idx="109">
                  <c:v>7.201999999999948E-3</c:v>
                </c:pt>
                <c:pt idx="110">
                  <c:v>7.201999999999948E-3</c:v>
                </c:pt>
                <c:pt idx="111">
                  <c:v>7.2019999999999506E-3</c:v>
                </c:pt>
                <c:pt idx="112">
                  <c:v>7.201999999999955E-3</c:v>
                </c:pt>
                <c:pt idx="113">
                  <c:v>7.2019999999999576E-3</c:v>
                </c:pt>
                <c:pt idx="114">
                  <c:v>7.2019999999999602E-3</c:v>
                </c:pt>
                <c:pt idx="115">
                  <c:v>7.2019999999999645E-3</c:v>
                </c:pt>
                <c:pt idx="116">
                  <c:v>7.2019999999999706E-3</c:v>
                </c:pt>
                <c:pt idx="117">
                  <c:v>7.201999999999974E-3</c:v>
                </c:pt>
                <c:pt idx="118">
                  <c:v>7.2019999999999793E-3</c:v>
                </c:pt>
                <c:pt idx="119">
                  <c:v>7.2019999999999862E-3</c:v>
                </c:pt>
                <c:pt idx="120">
                  <c:v>7.2019999999999897E-3</c:v>
                </c:pt>
                <c:pt idx="121">
                  <c:v>7.201999999999994E-3</c:v>
                </c:pt>
                <c:pt idx="122">
                  <c:v>7.2020000000000018E-3</c:v>
                </c:pt>
                <c:pt idx="123">
                  <c:v>7.2020000000000061E-3</c:v>
                </c:pt>
                <c:pt idx="124">
                  <c:v>7.2020000000000122E-3</c:v>
                </c:pt>
                <c:pt idx="125">
                  <c:v>7.2020000000000131E-3</c:v>
                </c:pt>
                <c:pt idx="126">
                  <c:v>7.2020000000000174E-3</c:v>
                </c:pt>
                <c:pt idx="127">
                  <c:v>7.2020000000000174E-3</c:v>
                </c:pt>
                <c:pt idx="128">
                  <c:v>7.2020000000000218E-3</c:v>
                </c:pt>
                <c:pt idx="129">
                  <c:v>7.2020000000000252E-3</c:v>
                </c:pt>
                <c:pt idx="130">
                  <c:v>7.2020000000000235E-3</c:v>
                </c:pt>
                <c:pt idx="131">
                  <c:v>7.2020000000000244E-3</c:v>
                </c:pt>
                <c:pt idx="132">
                  <c:v>7.2020000000000226E-3</c:v>
                </c:pt>
                <c:pt idx="133">
                  <c:v>7.2020000000000244E-3</c:v>
                </c:pt>
                <c:pt idx="134">
                  <c:v>7.2020000000000226E-3</c:v>
                </c:pt>
                <c:pt idx="135">
                  <c:v>7.2020000000000209E-3</c:v>
                </c:pt>
                <c:pt idx="136">
                  <c:v>7.2020000000000209E-3</c:v>
                </c:pt>
                <c:pt idx="137">
                  <c:v>7.2020000000000157E-3</c:v>
                </c:pt>
                <c:pt idx="138">
                  <c:v>7.2020000000000096E-3</c:v>
                </c:pt>
                <c:pt idx="139">
                  <c:v>7.2020000000000087E-3</c:v>
                </c:pt>
                <c:pt idx="140">
                  <c:v>7.2020000000000035E-3</c:v>
                </c:pt>
                <c:pt idx="141">
                  <c:v>7.2020000000000027E-3</c:v>
                </c:pt>
                <c:pt idx="142">
                  <c:v>7.2020000000000009E-3</c:v>
                </c:pt>
                <c:pt idx="143">
                  <c:v>7.2020000000000001E-3</c:v>
                </c:pt>
                <c:pt idx="144">
                  <c:v>7.2019999999999931E-3</c:v>
                </c:pt>
                <c:pt idx="145">
                  <c:v>7.2019999999999957E-3</c:v>
                </c:pt>
                <c:pt idx="146">
                  <c:v>7.2019999999999905E-3</c:v>
                </c:pt>
                <c:pt idx="147">
                  <c:v>7.2019999999999853E-3</c:v>
                </c:pt>
                <c:pt idx="148">
                  <c:v>7.2019999999999871E-3</c:v>
                </c:pt>
                <c:pt idx="149">
                  <c:v>7.2019999999999862E-3</c:v>
                </c:pt>
                <c:pt idx="150">
                  <c:v>7.2019999999999871E-3</c:v>
                </c:pt>
                <c:pt idx="151">
                  <c:v>7.2019999999999871E-3</c:v>
                </c:pt>
                <c:pt idx="152">
                  <c:v>7.2019999999999862E-3</c:v>
                </c:pt>
                <c:pt idx="153">
                  <c:v>7.2019999999999923E-3</c:v>
                </c:pt>
                <c:pt idx="154">
                  <c:v>7.2019999999999897E-3</c:v>
                </c:pt>
                <c:pt idx="155">
                  <c:v>7.2019999999999957E-3</c:v>
                </c:pt>
                <c:pt idx="156">
                  <c:v>7.2019999999999923E-3</c:v>
                </c:pt>
                <c:pt idx="157">
                  <c:v>7.2019999999999957E-3</c:v>
                </c:pt>
                <c:pt idx="158">
                  <c:v>7.2020000000000001E-3</c:v>
                </c:pt>
                <c:pt idx="159">
                  <c:v>7.2020000000000027E-3</c:v>
                </c:pt>
                <c:pt idx="160">
                  <c:v>7.202000000000007E-3</c:v>
                </c:pt>
                <c:pt idx="161">
                  <c:v>7.2020000000000087E-3</c:v>
                </c:pt>
                <c:pt idx="162">
                  <c:v>7.2020000000000113E-3</c:v>
                </c:pt>
                <c:pt idx="163">
                  <c:v>7.2020000000000157E-3</c:v>
                </c:pt>
                <c:pt idx="164">
                  <c:v>7.2020000000000209E-3</c:v>
                </c:pt>
                <c:pt idx="165">
                  <c:v>7.2020000000000174E-3</c:v>
                </c:pt>
                <c:pt idx="166">
                  <c:v>7.2020000000000218E-3</c:v>
                </c:pt>
                <c:pt idx="167">
                  <c:v>7.2020000000000235E-3</c:v>
                </c:pt>
                <c:pt idx="168">
                  <c:v>7.2020000000000218E-3</c:v>
                </c:pt>
                <c:pt idx="169">
                  <c:v>7.2020000000000226E-3</c:v>
                </c:pt>
                <c:pt idx="170">
                  <c:v>7.2020000000000235E-3</c:v>
                </c:pt>
                <c:pt idx="171">
                  <c:v>7.2020000000000235E-3</c:v>
                </c:pt>
                <c:pt idx="172">
                  <c:v>7.2020000000000183E-3</c:v>
                </c:pt>
                <c:pt idx="173">
                  <c:v>7.2020000000000174E-3</c:v>
                </c:pt>
                <c:pt idx="174">
                  <c:v>7.2020000000000174E-3</c:v>
                </c:pt>
                <c:pt idx="175">
                  <c:v>7.2020000000000148E-3</c:v>
                </c:pt>
                <c:pt idx="176">
                  <c:v>7.2020000000000105E-3</c:v>
                </c:pt>
                <c:pt idx="177">
                  <c:v>7.2020000000000061E-3</c:v>
                </c:pt>
                <c:pt idx="178">
                  <c:v>7.2020000000000009E-3</c:v>
                </c:pt>
                <c:pt idx="179">
                  <c:v>7.2019999999999949E-3</c:v>
                </c:pt>
                <c:pt idx="180">
                  <c:v>7.2019999999999923E-3</c:v>
                </c:pt>
                <c:pt idx="181">
                  <c:v>7.2019999999999862E-3</c:v>
                </c:pt>
                <c:pt idx="182">
                  <c:v>7.201999999999981E-3</c:v>
                </c:pt>
                <c:pt idx="183">
                  <c:v>7.2019999999999732E-3</c:v>
                </c:pt>
                <c:pt idx="184">
                  <c:v>7.2019999999999697E-3</c:v>
                </c:pt>
                <c:pt idx="185">
                  <c:v>7.2019999999999636E-3</c:v>
                </c:pt>
                <c:pt idx="186">
                  <c:v>7.2019999999999619E-3</c:v>
                </c:pt>
                <c:pt idx="187">
                  <c:v>7.2019999999999558E-3</c:v>
                </c:pt>
                <c:pt idx="188">
                  <c:v>7.201999999999955E-3</c:v>
                </c:pt>
                <c:pt idx="189">
                  <c:v>7.2019999999999541E-3</c:v>
                </c:pt>
                <c:pt idx="190">
                  <c:v>7.2019999999999472E-3</c:v>
                </c:pt>
                <c:pt idx="191">
                  <c:v>7.2019999999999489E-3</c:v>
                </c:pt>
                <c:pt idx="192">
                  <c:v>7.2019999999999463E-3</c:v>
                </c:pt>
                <c:pt idx="193">
                  <c:v>7.2019999999999506E-3</c:v>
                </c:pt>
                <c:pt idx="194">
                  <c:v>7.2019999999999532E-3</c:v>
                </c:pt>
                <c:pt idx="195">
                  <c:v>7.2019999999999576E-3</c:v>
                </c:pt>
                <c:pt idx="196">
                  <c:v>7.2019999999999602E-3</c:v>
                </c:pt>
                <c:pt idx="197">
                  <c:v>7.2019999999999706E-3</c:v>
                </c:pt>
                <c:pt idx="198">
                  <c:v>7.2019999999999775E-3</c:v>
                </c:pt>
                <c:pt idx="199">
                  <c:v>7.2019999999999845E-3</c:v>
                </c:pt>
                <c:pt idx="200">
                  <c:v>7.2019999999999888E-3</c:v>
                </c:pt>
                <c:pt idx="201">
                  <c:v>7.2020000000000035E-3</c:v>
                </c:pt>
                <c:pt idx="202">
                  <c:v>7.2020000000000131E-3</c:v>
                </c:pt>
                <c:pt idx="203">
                  <c:v>7.2020000000000287E-3</c:v>
                </c:pt>
                <c:pt idx="204">
                  <c:v>7.2020000000000348E-3</c:v>
                </c:pt>
                <c:pt idx="205">
                  <c:v>7.2020000000000521E-3</c:v>
                </c:pt>
                <c:pt idx="206">
                  <c:v>7.2020000000000625E-3</c:v>
                </c:pt>
                <c:pt idx="207">
                  <c:v>7.2020000000000729E-3</c:v>
                </c:pt>
                <c:pt idx="208">
                  <c:v>7.2020000000000894E-3</c:v>
                </c:pt>
                <c:pt idx="209">
                  <c:v>7.2020000000001015E-3</c:v>
                </c:pt>
                <c:pt idx="210">
                  <c:v>7.2020000000001128E-3</c:v>
                </c:pt>
                <c:pt idx="211">
                  <c:v>7.2020000000001258E-3</c:v>
                </c:pt>
                <c:pt idx="212">
                  <c:v>7.2020000000001345E-3</c:v>
                </c:pt>
                <c:pt idx="213">
                  <c:v>7.2020000000001467E-3</c:v>
                </c:pt>
                <c:pt idx="214">
                  <c:v>7.2020000000001536E-3</c:v>
                </c:pt>
                <c:pt idx="215">
                  <c:v>7.2020000000001605E-3</c:v>
                </c:pt>
                <c:pt idx="216">
                  <c:v>7.2020000000001666E-3</c:v>
                </c:pt>
                <c:pt idx="217">
                  <c:v>7.2020000000001718E-3</c:v>
                </c:pt>
                <c:pt idx="218">
                  <c:v>7.2020000000001683E-3</c:v>
                </c:pt>
                <c:pt idx="219">
                  <c:v>7.202000000000164E-3</c:v>
                </c:pt>
                <c:pt idx="220">
                  <c:v>7.2020000000001597E-3</c:v>
                </c:pt>
                <c:pt idx="221">
                  <c:v>7.2020000000001597E-3</c:v>
                </c:pt>
                <c:pt idx="222">
                  <c:v>7.2020000000001493E-3</c:v>
                </c:pt>
                <c:pt idx="223">
                  <c:v>7.2020000000001397E-3</c:v>
                </c:pt>
                <c:pt idx="224">
                  <c:v>7.2020000000001293E-3</c:v>
                </c:pt>
                <c:pt idx="225">
                  <c:v>7.2020000000001137E-3</c:v>
                </c:pt>
                <c:pt idx="226">
                  <c:v>7.2020000000000989E-3</c:v>
                </c:pt>
                <c:pt idx="227">
                  <c:v>7.2020000000000773E-3</c:v>
                </c:pt>
                <c:pt idx="228">
                  <c:v>7.2020000000000564E-3</c:v>
                </c:pt>
                <c:pt idx="229">
                  <c:v>7.202000000000033E-3</c:v>
                </c:pt>
                <c:pt idx="230">
                  <c:v>7.2020000000000079E-3</c:v>
                </c:pt>
                <c:pt idx="231">
                  <c:v>7.2019999999999853E-3</c:v>
                </c:pt>
                <c:pt idx="232">
                  <c:v>7.2019999999999576E-3</c:v>
                </c:pt>
                <c:pt idx="233">
                  <c:v>7.2019999999999289E-3</c:v>
                </c:pt>
                <c:pt idx="234">
                  <c:v>7.2019999999999003E-3</c:v>
                </c:pt>
                <c:pt idx="235">
                  <c:v>7.2019999999998717E-3</c:v>
                </c:pt>
                <c:pt idx="236">
                  <c:v>7.2019999999998457E-3</c:v>
                </c:pt>
                <c:pt idx="237">
                  <c:v>7.2019999999998214E-3</c:v>
                </c:pt>
                <c:pt idx="238">
                  <c:v>7.2019999999997928E-3</c:v>
                </c:pt>
                <c:pt idx="239">
                  <c:v>7.2019999999997685E-3</c:v>
                </c:pt>
                <c:pt idx="240">
                  <c:v>7.2019999999997485E-3</c:v>
                </c:pt>
                <c:pt idx="241">
                  <c:v>7.2019999999997225E-3</c:v>
                </c:pt>
                <c:pt idx="242">
                  <c:v>7.2019999999997078E-3</c:v>
                </c:pt>
                <c:pt idx="243">
                  <c:v>7.2019999999996887E-3</c:v>
                </c:pt>
                <c:pt idx="244">
                  <c:v>7.2019999999996731E-3</c:v>
                </c:pt>
                <c:pt idx="245">
                  <c:v>7.2019999999996653E-3</c:v>
                </c:pt>
                <c:pt idx="246">
                  <c:v>7.2019999999996557E-3</c:v>
                </c:pt>
                <c:pt idx="247">
                  <c:v>7.2019999999996575E-3</c:v>
                </c:pt>
                <c:pt idx="248">
                  <c:v>7.2019999999996575E-3</c:v>
                </c:pt>
                <c:pt idx="249">
                  <c:v>7.2019999999996679E-3</c:v>
                </c:pt>
                <c:pt idx="250">
                  <c:v>7.2019999999996774E-3</c:v>
                </c:pt>
                <c:pt idx="251">
                  <c:v>7.2019999999996904E-3</c:v>
                </c:pt>
                <c:pt idx="252">
                  <c:v>7.2019999999997078E-3</c:v>
                </c:pt>
                <c:pt idx="253">
                  <c:v>7.2019999999997364E-3</c:v>
                </c:pt>
                <c:pt idx="254">
                  <c:v>7.2019999999997607E-3</c:v>
                </c:pt>
                <c:pt idx="255">
                  <c:v>7.2019999999997954E-3</c:v>
                </c:pt>
                <c:pt idx="256">
                  <c:v>7.2019999999998301E-3</c:v>
                </c:pt>
                <c:pt idx="257">
                  <c:v>7.2019999999998726E-3</c:v>
                </c:pt>
                <c:pt idx="258">
                  <c:v>7.2019999999999194E-3</c:v>
                </c:pt>
                <c:pt idx="259">
                  <c:v>7.2019999999999662E-3</c:v>
                </c:pt>
                <c:pt idx="260">
                  <c:v>7.2020000000000209E-3</c:v>
                </c:pt>
                <c:pt idx="261">
                  <c:v>7.2020000000000695E-3</c:v>
                </c:pt>
                <c:pt idx="262">
                  <c:v>7.2020000000001232E-3</c:v>
                </c:pt>
                <c:pt idx="263">
                  <c:v>7.2020000000001831E-3</c:v>
                </c:pt>
                <c:pt idx="264">
                  <c:v>7.2020000000002429E-3</c:v>
                </c:pt>
                <c:pt idx="265">
                  <c:v>7.2020000000003036E-3</c:v>
                </c:pt>
                <c:pt idx="266">
                  <c:v>7.2020000000003592E-3</c:v>
                </c:pt>
                <c:pt idx="267">
                  <c:v>7.2020000000004181E-3</c:v>
                </c:pt>
                <c:pt idx="268">
                  <c:v>7.2020000000004728E-3</c:v>
                </c:pt>
                <c:pt idx="269">
                  <c:v>7.2020000000005283E-3</c:v>
                </c:pt>
                <c:pt idx="270">
                  <c:v>7.2020000000005786E-3</c:v>
                </c:pt>
                <c:pt idx="271">
                  <c:v>7.2020000000006254E-3</c:v>
                </c:pt>
                <c:pt idx="272">
                  <c:v>7.2020000000006731E-3</c:v>
                </c:pt>
                <c:pt idx="273">
                  <c:v>7.2020000000007096E-3</c:v>
                </c:pt>
                <c:pt idx="274">
                  <c:v>7.2020000000007399E-3</c:v>
                </c:pt>
                <c:pt idx="275">
                  <c:v>7.202000000000772E-3</c:v>
                </c:pt>
                <c:pt idx="276">
                  <c:v>7.2020000000007954E-3</c:v>
                </c:pt>
                <c:pt idx="277">
                  <c:v>7.202000000000805E-3</c:v>
                </c:pt>
                <c:pt idx="278">
                  <c:v>7.2020000000008137E-3</c:v>
                </c:pt>
                <c:pt idx="279">
                  <c:v>7.2020000000008119E-3</c:v>
                </c:pt>
                <c:pt idx="280">
                  <c:v>7.2020000000008032E-3</c:v>
                </c:pt>
                <c:pt idx="281">
                  <c:v>7.2020000000007824E-3</c:v>
                </c:pt>
                <c:pt idx="282">
                  <c:v>7.2020000000007538E-3</c:v>
                </c:pt>
                <c:pt idx="283">
                  <c:v>7.2020000000007139E-3</c:v>
                </c:pt>
                <c:pt idx="284">
                  <c:v>7.2020000000006697E-3</c:v>
                </c:pt>
                <c:pt idx="285">
                  <c:v>7.202000000000615E-3</c:v>
                </c:pt>
                <c:pt idx="286">
                  <c:v>7.2020000000005508E-3</c:v>
                </c:pt>
                <c:pt idx="287">
                  <c:v>7.2020000000004745E-3</c:v>
                </c:pt>
                <c:pt idx="288">
                  <c:v>7.2020000000003965E-3</c:v>
                </c:pt>
                <c:pt idx="289">
                  <c:v>7.2020000000003045E-3</c:v>
                </c:pt>
                <c:pt idx="290">
                  <c:v>7.202000000000203E-3</c:v>
                </c:pt>
                <c:pt idx="291">
                  <c:v>7.2020000000000946E-3</c:v>
                </c:pt>
                <c:pt idx="292">
                  <c:v>7.2019999999999784E-3</c:v>
                </c:pt>
                <c:pt idx="293">
                  <c:v>7.2019999999998613E-3</c:v>
                </c:pt>
                <c:pt idx="294">
                  <c:v>7.2019999999997425E-3</c:v>
                </c:pt>
                <c:pt idx="295">
                  <c:v>7.2019999999996098E-3</c:v>
                </c:pt>
                <c:pt idx="296">
                  <c:v>7.2019999999994744E-3</c:v>
                </c:pt>
                <c:pt idx="297">
                  <c:v>7.2019999999993383E-3</c:v>
                </c:pt>
                <c:pt idx="298">
                  <c:v>7.2019999999992021E-3</c:v>
                </c:pt>
                <c:pt idx="299">
                  <c:v>7.2019999999990564E-3</c:v>
                </c:pt>
                <c:pt idx="300">
                  <c:v>7.2019999999989202E-3</c:v>
                </c:pt>
                <c:pt idx="301">
                  <c:v>7.2019999999987901E-3</c:v>
                </c:pt>
                <c:pt idx="302">
                  <c:v>7.2019999999986539E-3</c:v>
                </c:pt>
                <c:pt idx="303">
                  <c:v>7.2019999999985264E-3</c:v>
                </c:pt>
                <c:pt idx="304">
                  <c:v>7.2019999999984007E-3</c:v>
                </c:pt>
                <c:pt idx="305">
                  <c:v>7.2019999999982888E-3</c:v>
                </c:pt>
                <c:pt idx="306">
                  <c:v>7.2019999999981795E-3</c:v>
                </c:pt>
                <c:pt idx="307">
                  <c:v>7.2019999999980841E-3</c:v>
                </c:pt>
                <c:pt idx="308">
                  <c:v>7.2019999999979965E-3</c:v>
                </c:pt>
                <c:pt idx="309">
                  <c:v>7.201999999997921E-3</c:v>
                </c:pt>
                <c:pt idx="310">
                  <c:v>7.2019999999978612E-3</c:v>
                </c:pt>
                <c:pt idx="311">
                  <c:v>7.2019999999978134E-3</c:v>
                </c:pt>
                <c:pt idx="312">
                  <c:v>7.2019999999977814E-3</c:v>
                </c:pt>
                <c:pt idx="313">
                  <c:v>7.2019999999977666E-3</c:v>
                </c:pt>
                <c:pt idx="314">
                  <c:v>7.2019999999977692E-3</c:v>
                </c:pt>
                <c:pt idx="315">
                  <c:v>7.2019999999977866E-3</c:v>
                </c:pt>
                <c:pt idx="316">
                  <c:v>7.2019999999978247E-3</c:v>
                </c:pt>
                <c:pt idx="317">
                  <c:v>7.2019999999978846E-3</c:v>
                </c:pt>
                <c:pt idx="318">
                  <c:v>7.2019999999979618E-3</c:v>
                </c:pt>
                <c:pt idx="319">
                  <c:v>7.2019999999980598E-3</c:v>
                </c:pt>
                <c:pt idx="320">
                  <c:v>7.2019999999981777E-3</c:v>
                </c:pt>
                <c:pt idx="321">
                  <c:v>7.2019999999983174E-3</c:v>
                </c:pt>
                <c:pt idx="322">
                  <c:v>7.2019999999984778E-3</c:v>
                </c:pt>
                <c:pt idx="323">
                  <c:v>7.2019999999986539E-3</c:v>
                </c:pt>
                <c:pt idx="324">
                  <c:v>7.2019999999988578E-3</c:v>
                </c:pt>
                <c:pt idx="325">
                  <c:v>7.2019999999990729E-3</c:v>
                </c:pt>
                <c:pt idx="326">
                  <c:v>7.2019999999993079E-3</c:v>
                </c:pt>
                <c:pt idx="327">
                  <c:v>7.2019999999995647E-3</c:v>
                </c:pt>
                <c:pt idx="328">
                  <c:v>7.2019999999998405E-3</c:v>
                </c:pt>
                <c:pt idx="329">
                  <c:v>7.2020000000001267E-3</c:v>
                </c:pt>
                <c:pt idx="330">
                  <c:v>7.2020000000004268E-3</c:v>
                </c:pt>
                <c:pt idx="331">
                  <c:v>7.2020000000007408E-3</c:v>
                </c:pt>
                <c:pt idx="332">
                  <c:v>7.2020000000010695E-3</c:v>
                </c:pt>
                <c:pt idx="333">
                  <c:v>7.2020000000014035E-3</c:v>
                </c:pt>
                <c:pt idx="334">
                  <c:v>7.2020000000017469E-3</c:v>
                </c:pt>
                <c:pt idx="335">
                  <c:v>7.2020000000020982E-3</c:v>
                </c:pt>
                <c:pt idx="336">
                  <c:v>7.2020000000024495E-3</c:v>
                </c:pt>
                <c:pt idx="337">
                  <c:v>7.2020000000028034E-3</c:v>
                </c:pt>
                <c:pt idx="338">
                  <c:v>7.2020000000031564E-3</c:v>
                </c:pt>
                <c:pt idx="339">
                  <c:v>7.2020000000035085E-3</c:v>
                </c:pt>
                <c:pt idx="340">
                  <c:v>7.2020000000038546E-3</c:v>
                </c:pt>
                <c:pt idx="341">
                  <c:v>7.2020000000041868E-3</c:v>
                </c:pt>
                <c:pt idx="342">
                  <c:v>7.2020000000045156E-3</c:v>
                </c:pt>
                <c:pt idx="343">
                  <c:v>7.202000000004833E-3</c:v>
                </c:pt>
                <c:pt idx="344">
                  <c:v>7.2020000000051288E-3</c:v>
                </c:pt>
                <c:pt idx="345">
                  <c:v>7.2020000000054133E-3</c:v>
                </c:pt>
                <c:pt idx="346">
                  <c:v>7.2020000000056735E-3</c:v>
                </c:pt>
                <c:pt idx="347">
                  <c:v>7.2020000000059059E-3</c:v>
                </c:pt>
                <c:pt idx="348">
                  <c:v>7.2020000000061167E-3</c:v>
                </c:pt>
                <c:pt idx="349">
                  <c:v>7.2020000000063015E-3</c:v>
                </c:pt>
                <c:pt idx="350">
                  <c:v>7.2020000000064558E-3</c:v>
                </c:pt>
                <c:pt idx="351">
                  <c:v>7.2020000000065729E-3</c:v>
                </c:pt>
                <c:pt idx="352">
                  <c:v>7.2020000000066562E-3</c:v>
                </c:pt>
                <c:pt idx="353">
                  <c:v>7.2020000000067056E-3</c:v>
                </c:pt>
                <c:pt idx="354">
                  <c:v>7.2020000000067108E-3</c:v>
                </c:pt>
                <c:pt idx="355">
                  <c:v>7.2020000000066805E-3</c:v>
                </c:pt>
                <c:pt idx="356">
                  <c:v>7.2020000000066059E-3</c:v>
                </c:pt>
                <c:pt idx="357">
                  <c:v>7.2020000000064845E-3</c:v>
                </c:pt>
                <c:pt idx="358">
                  <c:v>7.2020000000063275E-3</c:v>
                </c:pt>
                <c:pt idx="359">
                  <c:v>7.2020000000061184E-3</c:v>
                </c:pt>
                <c:pt idx="360">
                  <c:v>7.2020000000058617E-3</c:v>
                </c:pt>
                <c:pt idx="361">
                  <c:v>7.2020000000055599E-3</c:v>
                </c:pt>
                <c:pt idx="362">
                  <c:v>7.2020000000052094E-3</c:v>
                </c:pt>
                <c:pt idx="363">
                  <c:v>7.2020000000048122E-3</c:v>
                </c:pt>
                <c:pt idx="364">
                  <c:v>7.2020000000043664E-3</c:v>
                </c:pt>
                <c:pt idx="365">
                  <c:v>7.2020000000038772E-3</c:v>
                </c:pt>
                <c:pt idx="366">
                  <c:v>7.2020000000033437E-3</c:v>
                </c:pt>
                <c:pt idx="367">
                  <c:v>7.2020000000027557E-3</c:v>
                </c:pt>
                <c:pt idx="368">
                  <c:v>7.2020000000021303E-3</c:v>
                </c:pt>
                <c:pt idx="369">
                  <c:v>7.2020000000014624E-3</c:v>
                </c:pt>
                <c:pt idx="370">
                  <c:v>7.2020000000007503E-3</c:v>
                </c:pt>
                <c:pt idx="371">
                  <c:v>7.2019999999999966E-3</c:v>
                </c:pt>
                <c:pt idx="372">
                  <c:v>7.2019999999992151E-3</c:v>
                </c:pt>
                <c:pt idx="373">
                  <c:v>7.2019999999983928E-3</c:v>
                </c:pt>
                <c:pt idx="374">
                  <c:v>7.2019999999975402E-3</c:v>
                </c:pt>
                <c:pt idx="375">
                  <c:v>7.2019999999966616E-3</c:v>
                </c:pt>
                <c:pt idx="376">
                  <c:v>7.2019999999957639E-3</c:v>
                </c:pt>
                <c:pt idx="377">
                  <c:v>7.2019999999948367E-3</c:v>
                </c:pt>
                <c:pt idx="378">
                  <c:v>7.201999999993893E-3</c:v>
                </c:pt>
                <c:pt idx="379">
                  <c:v>7.2019999999929397E-3</c:v>
                </c:pt>
                <c:pt idx="380">
                  <c:v>7.2019999999919744E-3</c:v>
                </c:pt>
                <c:pt idx="381">
                  <c:v>7.2019999999909977E-3</c:v>
                </c:pt>
                <c:pt idx="382">
                  <c:v>7.2019999999900263E-3</c:v>
                </c:pt>
                <c:pt idx="383">
                  <c:v>7.2019999999890592E-3</c:v>
                </c:pt>
                <c:pt idx="384">
                  <c:v>7.2019999999881042E-3</c:v>
                </c:pt>
                <c:pt idx="385">
                  <c:v>7.2019999999871544E-3</c:v>
                </c:pt>
                <c:pt idx="386">
                  <c:v>7.2019999999862342E-3</c:v>
                </c:pt>
                <c:pt idx="387">
                  <c:v>7.2019999999853304E-3</c:v>
                </c:pt>
                <c:pt idx="388">
                  <c:v>7.2019999999844604E-3</c:v>
                </c:pt>
                <c:pt idx="389">
                  <c:v>7.2019999999836269E-3</c:v>
                </c:pt>
                <c:pt idx="390">
                  <c:v>7.2019999999828263E-3</c:v>
                </c:pt>
                <c:pt idx="391">
                  <c:v>7.2019999999820743E-3</c:v>
                </c:pt>
                <c:pt idx="392">
                  <c:v>7.2019999999813761E-3</c:v>
                </c:pt>
                <c:pt idx="393">
                  <c:v>7.201999999980723E-3</c:v>
                </c:pt>
                <c:pt idx="394">
                  <c:v>7.2019999999801427E-3</c:v>
                </c:pt>
                <c:pt idx="395">
                  <c:v>7.2019999999796205E-3</c:v>
                </c:pt>
                <c:pt idx="396">
                  <c:v>7.2019999999791712E-3</c:v>
                </c:pt>
                <c:pt idx="397">
                  <c:v>7.2019999999787905E-3</c:v>
                </c:pt>
                <c:pt idx="398">
                  <c:v>7.2019999999784964E-3</c:v>
                </c:pt>
                <c:pt idx="399">
                  <c:v>7.2019999999782822E-3</c:v>
                </c:pt>
                <c:pt idx="400">
                  <c:v>7.2019999999781573E-3</c:v>
                </c:pt>
                <c:pt idx="401">
                  <c:v>7.2019999999781287E-3</c:v>
                </c:pt>
                <c:pt idx="402">
                  <c:v>7.201999999978192E-3</c:v>
                </c:pt>
                <c:pt idx="403">
                  <c:v>7.2019999999783507E-3</c:v>
                </c:pt>
                <c:pt idx="404">
                  <c:v>7.2019999999786127E-3</c:v>
                </c:pt>
                <c:pt idx="405">
                  <c:v>7.2019999999789813E-3</c:v>
                </c:pt>
                <c:pt idx="406">
                  <c:v>7.2019999999794592E-3</c:v>
                </c:pt>
                <c:pt idx="407">
                  <c:v>7.201999999980056E-3</c:v>
                </c:pt>
                <c:pt idx="408">
                  <c:v>7.2019999999807481E-3</c:v>
                </c:pt>
                <c:pt idx="409">
                  <c:v>7.2019999999815582E-3</c:v>
                </c:pt>
                <c:pt idx="410">
                  <c:v>7.2019999999824794E-3</c:v>
                </c:pt>
                <c:pt idx="411">
                  <c:v>7.2019999999835141E-3</c:v>
                </c:pt>
                <c:pt idx="412">
                  <c:v>7.2019999999846599E-3</c:v>
                </c:pt>
                <c:pt idx="413">
                  <c:v>7.2019999999859228E-3</c:v>
                </c:pt>
                <c:pt idx="414">
                  <c:v>7.2019999999872932E-3</c:v>
                </c:pt>
                <c:pt idx="415">
                  <c:v>7.2019999999887929E-3</c:v>
                </c:pt>
                <c:pt idx="416">
                  <c:v>7.2019999999903888E-3</c:v>
                </c:pt>
                <c:pt idx="417">
                  <c:v>7.2019999999920932E-3</c:v>
                </c:pt>
                <c:pt idx="418">
                  <c:v>7.2019999999939077E-3</c:v>
                </c:pt>
                <c:pt idx="419">
                  <c:v>7.2019999999958159E-3</c:v>
                </c:pt>
                <c:pt idx="420">
                  <c:v>7.2019999999978239E-3</c:v>
                </c:pt>
                <c:pt idx="421">
                  <c:v>7.2019999999999341E-3</c:v>
                </c:pt>
                <c:pt idx="422">
                  <c:v>7.2020000000021346E-3</c:v>
                </c:pt>
                <c:pt idx="423">
                  <c:v>7.2020000000044149E-3</c:v>
                </c:pt>
                <c:pt idx="424">
                  <c:v>7.202000000006769E-3</c:v>
                </c:pt>
                <c:pt idx="425">
                  <c:v>7.2020000000092045E-3</c:v>
                </c:pt>
                <c:pt idx="426">
                  <c:v>7.2020000000117112E-3</c:v>
                </c:pt>
                <c:pt idx="427">
                  <c:v>7.2020000000142734E-3</c:v>
                </c:pt>
                <c:pt idx="428">
                  <c:v>7.2020000000168841E-3</c:v>
                </c:pt>
                <c:pt idx="429">
                  <c:v>7.2020000000195556E-3</c:v>
                </c:pt>
                <c:pt idx="430">
                  <c:v>7.2020000000222531E-3</c:v>
                </c:pt>
                <c:pt idx="431">
                  <c:v>7.2020000000249784E-3</c:v>
                </c:pt>
                <c:pt idx="432">
                  <c:v>7.2020000000277374E-3</c:v>
                </c:pt>
                <c:pt idx="433">
                  <c:v>7.2020000000305043E-3</c:v>
                </c:pt>
                <c:pt idx="434">
                  <c:v>7.2020000000332695E-3</c:v>
                </c:pt>
                <c:pt idx="435">
                  <c:v>7.2020000000360372E-3</c:v>
                </c:pt>
                <c:pt idx="436">
                  <c:v>7.2020000000387833E-3</c:v>
                </c:pt>
                <c:pt idx="437">
                  <c:v>7.2020000000415077E-3</c:v>
                </c:pt>
                <c:pt idx="438">
                  <c:v>7.2020000000441965E-3</c:v>
                </c:pt>
                <c:pt idx="439">
                  <c:v>7.2020000000468289E-3</c:v>
                </c:pt>
                <c:pt idx="440">
                  <c:v>7.2020000000494327E-3</c:v>
                </c:pt>
                <c:pt idx="441">
                  <c:v>7.2020000000519446E-3</c:v>
                </c:pt>
                <c:pt idx="442">
                  <c:v>7.2020000000543897E-3</c:v>
                </c:pt>
                <c:pt idx="443">
                  <c:v>7.2020000000567524E-3</c:v>
                </c:pt>
                <c:pt idx="444">
                  <c:v>7.2020000000590032E-3</c:v>
                </c:pt>
                <c:pt idx="445">
                  <c:v>7.2020000000611551E-3</c:v>
                </c:pt>
                <c:pt idx="446">
                  <c:v>7.2020000000631761E-3</c:v>
                </c:pt>
                <c:pt idx="447">
                  <c:v>7.2020000000650904E-3</c:v>
                </c:pt>
                <c:pt idx="448">
                  <c:v>7.2020000000668442E-3</c:v>
                </c:pt>
                <c:pt idx="449">
                  <c:v>7.2020000000684618E-3</c:v>
                </c:pt>
                <c:pt idx="450">
                  <c:v>7.2020000000699086E-3</c:v>
                </c:pt>
                <c:pt idx="451">
                  <c:v>7.2020000000711862E-3</c:v>
                </c:pt>
                <c:pt idx="452">
                  <c:v>7.2020000000723042E-3</c:v>
                </c:pt>
                <c:pt idx="453">
                  <c:v>7.2020000000732037E-3</c:v>
                </c:pt>
                <c:pt idx="454">
                  <c:v>7.2020000000739392E-3</c:v>
                </c:pt>
                <c:pt idx="455">
                  <c:v>7.2020000000744362E-3</c:v>
                </c:pt>
                <c:pt idx="456">
                  <c:v>7.2020000000747268E-3</c:v>
                </c:pt>
                <c:pt idx="457">
                  <c:v>7.2020000000748083E-3</c:v>
                </c:pt>
                <c:pt idx="458">
                  <c:v>7.2020000000746617E-3</c:v>
                </c:pt>
                <c:pt idx="459">
                  <c:v>7.2020000000742584E-3</c:v>
                </c:pt>
                <c:pt idx="460">
                  <c:v>7.2020000000736339E-3</c:v>
                </c:pt>
                <c:pt idx="461">
                  <c:v>7.2020000000727275E-3</c:v>
                </c:pt>
                <c:pt idx="462">
                  <c:v>7.2020000000716129E-3</c:v>
                </c:pt>
                <c:pt idx="463">
                  <c:v>7.2020000000701965E-3</c:v>
                </c:pt>
                <c:pt idx="464">
                  <c:v>7.2020000000685485E-3</c:v>
                </c:pt>
                <c:pt idx="465">
                  <c:v>7.2020000000666447E-3</c:v>
                </c:pt>
                <c:pt idx="466">
                  <c:v>7.2020000000644398E-3</c:v>
                </c:pt>
                <c:pt idx="467">
                  <c:v>7.20200000006198E-3</c:v>
                </c:pt>
                <c:pt idx="468">
                  <c:v>7.2020000000592738E-3</c:v>
                </c:pt>
                <c:pt idx="469">
                  <c:v>7.2020000000562598E-3</c:v>
                </c:pt>
                <c:pt idx="470">
                  <c:v>7.2020000000529794E-3</c:v>
                </c:pt>
                <c:pt idx="471">
                  <c:v>7.2020000000494206E-3</c:v>
                </c:pt>
                <c:pt idx="472">
                  <c:v>7.2020000000456129E-3</c:v>
                </c:pt>
                <c:pt idx="473">
                  <c:v>7.2020000000415267E-3</c:v>
                </c:pt>
                <c:pt idx="474">
                  <c:v>7.2020000000371717E-3</c:v>
                </c:pt>
                <c:pt idx="475">
                  <c:v>7.2020000000325634E-3</c:v>
                </c:pt>
                <c:pt idx="476">
                  <c:v>7.2020000000276871E-3</c:v>
                </c:pt>
                <c:pt idx="477">
                  <c:v>7.2020000000225896E-3</c:v>
                </c:pt>
                <c:pt idx="478">
                  <c:v>7.2020000000172276E-3</c:v>
                </c:pt>
                <c:pt idx="479">
                  <c:v>7.2020000000116201E-3</c:v>
                </c:pt>
                <c:pt idx="480">
                  <c:v>7.2020000000057706E-3</c:v>
                </c:pt>
                <c:pt idx="481">
                  <c:v>7.2019999999997251E-3</c:v>
                </c:pt>
                <c:pt idx="482">
                  <c:v>7.201999999993461E-3</c:v>
                </c:pt>
                <c:pt idx="483">
                  <c:v>7.2019999999870018E-3</c:v>
                </c:pt>
                <c:pt idx="484">
                  <c:v>7.2019999999803457E-3</c:v>
                </c:pt>
                <c:pt idx="485">
                  <c:v>7.2019999999734935E-3</c:v>
                </c:pt>
                <c:pt idx="486">
                  <c:v>7.2019999999664661E-3</c:v>
                </c:pt>
                <c:pt idx="487">
                  <c:v>7.2019999999593408E-3</c:v>
                </c:pt>
                <c:pt idx="488">
                  <c:v>7.2019999999520133E-3</c:v>
                </c:pt>
                <c:pt idx="489">
                  <c:v>7.2019999999445947E-3</c:v>
                </c:pt>
                <c:pt idx="490">
                  <c:v>7.2019999999370235E-3</c:v>
                </c:pt>
                <c:pt idx="491">
                  <c:v>7.2019999999294046E-3</c:v>
                </c:pt>
                <c:pt idx="492">
                  <c:v>7.2019999999216903E-3</c:v>
                </c:pt>
                <c:pt idx="493">
                  <c:v>7.2019999999139083E-3</c:v>
                </c:pt>
                <c:pt idx="494">
                  <c:v>7.2019999999060709E-3</c:v>
                </c:pt>
                <c:pt idx="495">
                  <c:v>7.2019999998982091E-3</c:v>
                </c:pt>
                <c:pt idx="496">
                  <c:v>7.2019999998903361E-3</c:v>
                </c:pt>
                <c:pt idx="497">
                  <c:v>7.2019999998824812E-3</c:v>
                </c:pt>
                <c:pt idx="498">
                  <c:v>7.2019999998746498E-3</c:v>
                </c:pt>
                <c:pt idx="499">
                  <c:v>7.2019999998668184E-3</c:v>
                </c:pt>
                <c:pt idx="500">
                  <c:v>7.2019999998591301E-3</c:v>
                </c:pt>
                <c:pt idx="501">
                  <c:v>7.2019999998514973E-3</c:v>
                </c:pt>
                <c:pt idx="502">
                  <c:v>7.2019999998439626E-3</c:v>
                </c:pt>
                <c:pt idx="503">
                  <c:v>7.2019999998365648E-3</c:v>
                </c:pt>
                <c:pt idx="504">
                  <c:v>7.2019999998292903E-3</c:v>
                </c:pt>
                <c:pt idx="505">
                  <c:v>7.201999999822223E-3</c:v>
                </c:pt>
                <c:pt idx="506">
                  <c:v>7.2019999998152884E-3</c:v>
                </c:pt>
                <c:pt idx="507">
                  <c:v>7.2019999998086011E-3</c:v>
                </c:pt>
                <c:pt idx="508">
                  <c:v>7.201999999802141E-3</c:v>
                </c:pt>
                <c:pt idx="509">
                  <c:v>7.201999999795922E-3</c:v>
                </c:pt>
                <c:pt idx="510">
                  <c:v>7.2019999997899363E-3</c:v>
                </c:pt>
                <c:pt idx="511">
                  <c:v>7.2019999997843323E-3</c:v>
                </c:pt>
                <c:pt idx="512">
                  <c:v>7.2019999997789729E-3</c:v>
                </c:pt>
                <c:pt idx="513">
                  <c:v>7.2019999997739413E-3</c:v>
                </c:pt>
                <c:pt idx="514">
                  <c:v>7.2019999997693139E-3</c:v>
                </c:pt>
                <c:pt idx="515">
                  <c:v>7.2019999997649953E-3</c:v>
                </c:pt>
                <c:pt idx="516">
                  <c:v>7.201999999761113E-3</c:v>
                </c:pt>
                <c:pt idx="517">
                  <c:v>7.2019999997576254E-3</c:v>
                </c:pt>
                <c:pt idx="518">
                  <c:v>7.2019999997545566E-3</c:v>
                </c:pt>
                <c:pt idx="519">
                  <c:v>7.2019999997519138E-3</c:v>
                </c:pt>
                <c:pt idx="520">
                  <c:v>7.2019999997497688E-3</c:v>
                </c:pt>
                <c:pt idx="521">
                  <c:v>7.201999999748087E-3</c:v>
                </c:pt>
                <c:pt idx="522">
                  <c:v>7.2019999997469109E-3</c:v>
                </c:pt>
                <c:pt idx="523">
                  <c:v>7.2019999997462074E-3</c:v>
                </c:pt>
                <c:pt idx="524">
                  <c:v>7.2019999997460782E-3</c:v>
                </c:pt>
                <c:pt idx="525">
                  <c:v>7.2019999997464798E-3</c:v>
                </c:pt>
                <c:pt idx="526">
                  <c:v>7.201999999747361E-3</c:v>
                </c:pt>
                <c:pt idx="527">
                  <c:v>7.2019999997488017E-3</c:v>
                </c:pt>
                <c:pt idx="528">
                  <c:v>7.2019999997508938E-3</c:v>
                </c:pt>
                <c:pt idx="529">
                  <c:v>7.201999999753541E-3</c:v>
                </c:pt>
                <c:pt idx="530">
                  <c:v>7.2019999997567702E-3</c:v>
                </c:pt>
                <c:pt idx="531">
                  <c:v>7.201999999760544E-3</c:v>
                </c:pt>
                <c:pt idx="532">
                  <c:v>7.2019999997650309E-3</c:v>
                </c:pt>
                <c:pt idx="533">
                  <c:v>7.2019999997700373E-3</c:v>
                </c:pt>
                <c:pt idx="534">
                  <c:v>7.2019999997757324E-3</c:v>
                </c:pt>
                <c:pt idx="535">
                  <c:v>7.2019999997819661E-3</c:v>
                </c:pt>
                <c:pt idx="536">
                  <c:v>7.2019999997888313E-3</c:v>
                </c:pt>
                <c:pt idx="537">
                  <c:v>7.2019999997964173E-3</c:v>
                </c:pt>
                <c:pt idx="538">
                  <c:v>7.2019999998045219E-3</c:v>
                </c:pt>
                <c:pt idx="539">
                  <c:v>7.2019999998133273E-3</c:v>
                </c:pt>
                <c:pt idx="540">
                  <c:v>7.2019999998226784E-3</c:v>
                </c:pt>
                <c:pt idx="541">
                  <c:v>7.2019999998327103E-3</c:v>
                </c:pt>
                <c:pt idx="542">
                  <c:v>7.2019999998433745E-3</c:v>
                </c:pt>
                <c:pt idx="543">
                  <c:v>7.2019999998545513E-3</c:v>
                </c:pt>
                <c:pt idx="544">
                  <c:v>7.2019999998663882E-3</c:v>
                </c:pt>
                <c:pt idx="545">
                  <c:v>7.2019999998787767E-3</c:v>
                </c:pt>
                <c:pt idx="546">
                  <c:v>7.201999999891795E-3</c:v>
                </c:pt>
                <c:pt idx="547">
                  <c:v>7.2019999999054125E-3</c:v>
                </c:pt>
                <c:pt idx="548">
                  <c:v>7.2019999999195462E-3</c:v>
                </c:pt>
                <c:pt idx="549">
                  <c:v>7.201999999934261E-3</c:v>
                </c:pt>
                <c:pt idx="550">
                  <c:v>7.2019999999494528E-3</c:v>
                </c:pt>
                <c:pt idx="551">
                  <c:v>7.201999999965218E-3</c:v>
                </c:pt>
                <c:pt idx="552">
                  <c:v>7.201999999981501E-3</c:v>
                </c:pt>
                <c:pt idx="553">
                  <c:v>7.2019999999981691E-3</c:v>
                </c:pt>
                <c:pt idx="554">
                  <c:v>7.2020000000154001E-3</c:v>
                </c:pt>
                <c:pt idx="555">
                  <c:v>7.2020000000330318E-3</c:v>
                </c:pt>
                <c:pt idx="556">
                  <c:v>7.202000000051066E-3</c:v>
                </c:pt>
                <c:pt idx="557">
                  <c:v>7.2020000000695963E-3</c:v>
                </c:pt>
                <c:pt idx="558">
                  <c:v>7.2020000000884762E-3</c:v>
                </c:pt>
                <c:pt idx="559">
                  <c:v>7.2020000001076214E-3</c:v>
                </c:pt>
                <c:pt idx="560">
                  <c:v>7.2020000001271588E-3</c:v>
                </c:pt>
                <c:pt idx="561">
                  <c:v>7.2020000001469693E-3</c:v>
                </c:pt>
                <c:pt idx="562">
                  <c:v>7.2020000001671329E-3</c:v>
                </c:pt>
                <c:pt idx="563">
                  <c:v>7.2020000001874473E-3</c:v>
                </c:pt>
                <c:pt idx="564">
                  <c:v>7.2020000002080272E-3</c:v>
                </c:pt>
                <c:pt idx="565">
                  <c:v>7.2020000002288179E-3</c:v>
                </c:pt>
                <c:pt idx="566">
                  <c:v>7.2020000002495669E-3</c:v>
                </c:pt>
                <c:pt idx="567">
                  <c:v>7.2020000002706403E-3</c:v>
                </c:pt>
                <c:pt idx="568">
                  <c:v>7.202000000291706E-3</c:v>
                </c:pt>
                <c:pt idx="569">
                  <c:v>7.20200000031286E-3</c:v>
                </c:pt>
                <c:pt idx="570">
                  <c:v>7.2020000003340792E-3</c:v>
                </c:pt>
                <c:pt idx="571">
                  <c:v>7.2020000003552281E-3</c:v>
                </c:pt>
                <c:pt idx="572">
                  <c:v>7.2020000003763483E-3</c:v>
                </c:pt>
                <c:pt idx="573">
                  <c:v>7.2020000003973489E-3</c:v>
                </c:pt>
                <c:pt idx="574">
                  <c:v>7.2020000004183104E-3</c:v>
                </c:pt>
                <c:pt idx="575">
                  <c:v>7.2020000004390091E-3</c:v>
                </c:pt>
                <c:pt idx="576">
                  <c:v>7.2020000004596324E-3</c:v>
                </c:pt>
                <c:pt idx="577">
                  <c:v>7.2020000004799105E-3</c:v>
                </c:pt>
                <c:pt idx="578">
                  <c:v>7.2020000004999812E-3</c:v>
                </c:pt>
                <c:pt idx="579">
                  <c:v>7.2020000005196018E-3</c:v>
                </c:pt>
                <c:pt idx="580">
                  <c:v>7.2020000005390637E-3</c:v>
                </c:pt>
                <c:pt idx="581">
                  <c:v>7.2020000005581187E-3</c:v>
                </c:pt>
                <c:pt idx="582">
                  <c:v>7.20200000057678E-3</c:v>
                </c:pt>
                <c:pt idx="583">
                  <c:v>7.2020000005948185E-3</c:v>
                </c:pt>
                <c:pt idx="584">
                  <c:v>7.2020000006124806E-3</c:v>
                </c:pt>
                <c:pt idx="585">
                  <c:v>7.2020000006295312E-3</c:v>
                </c:pt>
                <c:pt idx="586">
                  <c:v>7.2020000006461143E-3</c:v>
                </c:pt>
                <c:pt idx="587">
                  <c:v>7.2020000006620807E-3</c:v>
                </c:pt>
                <c:pt idx="588">
                  <c:v>7.2020000006773003E-3</c:v>
                </c:pt>
                <c:pt idx="589">
                  <c:v>7.2020000006918893E-3</c:v>
                </c:pt>
                <c:pt idx="590">
                  <c:v>7.2020000007058643E-3</c:v>
                </c:pt>
                <c:pt idx="591">
                  <c:v>7.2020000007188886E-3</c:v>
                </c:pt>
                <c:pt idx="592">
                  <c:v>7.2020000007313725E-3</c:v>
                </c:pt>
                <c:pt idx="593">
                  <c:v>7.2020000007427774E-3</c:v>
                </c:pt>
                <c:pt idx="594">
                  <c:v>7.2020000007535197E-3</c:v>
                </c:pt>
                <c:pt idx="595">
                  <c:v>7.2020000007632324E-3</c:v>
                </c:pt>
                <c:pt idx="596">
                  <c:v>7.2020000007721905E-3</c:v>
                </c:pt>
                <c:pt idx="597">
                  <c:v>7.2020000007800705E-3</c:v>
                </c:pt>
                <c:pt idx="598">
                  <c:v>7.2020000007871144E-3</c:v>
                </c:pt>
                <c:pt idx="599">
                  <c:v>7.202000000793113E-3</c:v>
                </c:pt>
                <c:pt idx="600">
                  <c:v>7.2020000007980154E-3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4-4614-BF58-688E9006F52C}"/>
            </c:ext>
          </c:extLst>
        </c:ser>
        <c:ser>
          <c:idx val="2"/>
          <c:order val="2"/>
          <c:tx>
            <c:strRef>
              <c:f>MarketFit!$B$16</c:f>
              <c:strCache>
                <c:ptCount val="1"/>
                <c:pt idx="0">
                  <c:v>Marketdata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2"/>
              </a:solidFill>
            </c:spPr>
          </c:marker>
          <c:xVal>
            <c:numRef>
              <c:f>MarketFit!$B$18:$B$26</c:f>
              <c:numCache>
                <c:formatCode>0.00%</c:formatCode>
                <c:ptCount val="9"/>
                <c:pt idx="0">
                  <c:v>-9.9999999999999985E-3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7.4999999999999997E-3</c:v>
                </c:pt>
                <c:pt idx="6">
                  <c:v>0.01</c:v>
                </c:pt>
                <c:pt idx="7">
                  <c:v>1.4999999999999999E-2</c:v>
                </c:pt>
                <c:pt idx="8">
                  <c:v>0.02</c:v>
                </c:pt>
              </c:numCache>
            </c:numRef>
          </c:xVal>
          <c:yVal>
            <c:numRef>
              <c:f>MarketFit!$C$18:$C$26</c:f>
              <c:numCache>
                <c:formatCode>0.00%</c:formatCode>
                <c:ptCount val="9"/>
                <c:pt idx="0">
                  <c:v>6.8049999999999994E-3</c:v>
                </c:pt>
                <c:pt idx="1">
                  <c:v>6.9089999999999993E-3</c:v>
                </c:pt>
                <c:pt idx="2">
                  <c:v>7.0289999999999988E-3</c:v>
                </c:pt>
                <c:pt idx="3">
                  <c:v>7.1079999999999997E-3</c:v>
                </c:pt>
                <c:pt idx="4">
                  <c:v>7.2019999999999992E-3</c:v>
                </c:pt>
                <c:pt idx="5">
                  <c:v>7.3129999999999992E-3</c:v>
                </c:pt>
                <c:pt idx="6">
                  <c:v>7.4409999999999997E-3</c:v>
                </c:pt>
                <c:pt idx="7">
                  <c:v>7.744E-3</c:v>
                </c:pt>
                <c:pt idx="8">
                  <c:v>8.1019999999999998E-3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4-4614-BF58-688E9006F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4160"/>
        <c:axId val="170846464"/>
      </c:scatterChart>
      <c:valAx>
        <c:axId val="170844160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70846464"/>
        <c:crosses val="autoZero"/>
        <c:crossBetween val="midCat"/>
      </c:valAx>
      <c:valAx>
        <c:axId val="170846464"/>
        <c:scaling>
          <c:orientation val="minMax"/>
          <c:max val="8.5000000000000023E-3"/>
          <c:min val="6.0000000000000019E-3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Implied normal volatility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73785267696275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70844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6666666666666666E-2"/>
          <c:y val="5.6544476966551398E-2"/>
          <c:w val="0.94548687664041997"/>
          <c:h val="0.1557941620933746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MarketFit!$W$4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MarketFit!$W$5:$W$605</c:f>
              <c:numCache>
                <c:formatCode>0.00%</c:formatCode>
                <c:ptCount val="601"/>
                <c:pt idx="0">
                  <c:v>6.5459819925299386E-3</c:v>
                </c:pt>
                <c:pt idx="1">
                  <c:v>6.5505053294560587E-3</c:v>
                </c:pt>
                <c:pt idx="2">
                  <c:v>6.5550264463779219E-3</c:v>
                </c:pt>
                <c:pt idx="3">
                  <c:v>6.5595453480677733E-3</c:v>
                </c:pt>
                <c:pt idx="4">
                  <c:v>6.5640620392805361E-3</c:v>
                </c:pt>
                <c:pt idx="5">
                  <c:v>6.5685765247540375E-3</c:v>
                </c:pt>
                <c:pt idx="6">
                  <c:v>6.5730888092089797E-3</c:v>
                </c:pt>
                <c:pt idx="7">
                  <c:v>6.5775988973490974E-3</c:v>
                </c:pt>
                <c:pt idx="8">
                  <c:v>6.5821067938612327E-3</c:v>
                </c:pt>
                <c:pt idx="9">
                  <c:v>6.5866125034153436E-3</c:v>
                </c:pt>
                <c:pt idx="10">
                  <c:v>6.5911160306646958E-3</c:v>
                </c:pt>
                <c:pt idx="11">
                  <c:v>6.5956173802459153E-3</c:v>
                </c:pt>
                <c:pt idx="12">
                  <c:v>6.6001165567790045E-3</c:v>
                </c:pt>
                <c:pt idx="13">
                  <c:v>6.6046135648675126E-3</c:v>
                </c:pt>
                <c:pt idx="14">
                  <c:v>6.6091084090985734E-3</c:v>
                </c:pt>
                <c:pt idx="15">
                  <c:v>6.6136010940430106E-3</c:v>
                </c:pt>
                <c:pt idx="16">
                  <c:v>6.6180916242553805E-3</c:v>
                </c:pt>
                <c:pt idx="17">
                  <c:v>6.6225800042740953E-3</c:v>
                </c:pt>
                <c:pt idx="18">
                  <c:v>6.6270662386214664E-3</c:v>
                </c:pt>
                <c:pt idx="19">
                  <c:v>6.6315503318038318E-3</c:v>
                </c:pt>
                <c:pt idx="20">
                  <c:v>6.6360322883115839E-3</c:v>
                </c:pt>
                <c:pt idx="21">
                  <c:v>6.6405121126192693E-3</c:v>
                </c:pt>
                <c:pt idx="22">
                  <c:v>6.6449898091856799E-3</c:v>
                </c:pt>
                <c:pt idx="23">
                  <c:v>6.6494653824539333E-3</c:v>
                </c:pt>
                <c:pt idx="24">
                  <c:v>6.6539388368514855E-3</c:v>
                </c:pt>
                <c:pt idx="25">
                  <c:v>6.6584101767903124E-3</c:v>
                </c:pt>
                <c:pt idx="26">
                  <c:v>6.6628794066669033E-3</c:v>
                </c:pt>
                <c:pt idx="27">
                  <c:v>6.6673465308623716E-3</c:v>
                </c:pt>
                <c:pt idx="28">
                  <c:v>6.6718115537425272E-3</c:v>
                </c:pt>
                <c:pt idx="29">
                  <c:v>6.6762744796579378E-3</c:v>
                </c:pt>
                <c:pt idx="30">
                  <c:v>6.6807353129440241E-3</c:v>
                </c:pt>
                <c:pt idx="31">
                  <c:v>6.6851940579211221E-3</c:v>
                </c:pt>
                <c:pt idx="32">
                  <c:v>6.6896507188945247E-3</c:v>
                </c:pt>
                <c:pt idx="33">
                  <c:v>6.6941053001546577E-3</c:v>
                </c:pt>
                <c:pt idx="34">
                  <c:v>6.698557805977029E-3</c:v>
                </c:pt>
                <c:pt idx="35">
                  <c:v>6.7030082406223301E-3</c:v>
                </c:pt>
                <c:pt idx="36">
                  <c:v>6.7074566083366151E-3</c:v>
                </c:pt>
                <c:pt idx="37">
                  <c:v>6.7119029133511868E-3</c:v>
                </c:pt>
                <c:pt idx="38">
                  <c:v>6.7163471598828536E-3</c:v>
                </c:pt>
                <c:pt idx="39">
                  <c:v>6.7207893521338798E-3</c:v>
                </c:pt>
                <c:pt idx="40">
                  <c:v>6.7252294942920735E-3</c:v>
                </c:pt>
                <c:pt idx="41">
                  <c:v>6.7296675905308967E-3</c:v>
                </c:pt>
                <c:pt idx="42">
                  <c:v>6.7341036450095032E-3</c:v>
                </c:pt>
                <c:pt idx="43">
                  <c:v>6.7385376618727998E-3</c:v>
                </c:pt>
                <c:pt idx="44">
                  <c:v>6.7429696452515732E-3</c:v>
                </c:pt>
                <c:pt idx="45">
                  <c:v>6.7473995992624733E-3</c:v>
                </c:pt>
                <c:pt idx="46">
                  <c:v>6.75182752800812E-3</c:v>
                </c:pt>
                <c:pt idx="47">
                  <c:v>6.7562534355771796E-3</c:v>
                </c:pt>
                <c:pt idx="48">
                  <c:v>6.7606773260444333E-3</c:v>
                </c:pt>
                <c:pt idx="49">
                  <c:v>6.765099203470828E-3</c:v>
                </c:pt>
                <c:pt idx="50">
                  <c:v>6.7695190719035334E-3</c:v>
                </c:pt>
                <c:pt idx="51">
                  <c:v>6.7739369353760348E-3</c:v>
                </c:pt>
                <c:pt idx="52">
                  <c:v>6.7783527979081689E-3</c:v>
                </c:pt>
                <c:pt idx="53">
                  <c:v>6.7827666635062083E-3</c:v>
                </c:pt>
                <c:pt idx="54">
                  <c:v>6.7871785361629357E-3</c:v>
                </c:pt>
                <c:pt idx="55">
                  <c:v>6.7915884198576793E-3</c:v>
                </c:pt>
                <c:pt idx="56">
                  <c:v>6.7959963185563752E-3</c:v>
                </c:pt>
                <c:pt idx="57">
                  <c:v>6.8004022362116731E-3</c:v>
                </c:pt>
                <c:pt idx="58">
                  <c:v>6.8048061767629385E-3</c:v>
                </c:pt>
                <c:pt idx="59">
                  <c:v>6.8092081441363762E-3</c:v>
                </c:pt>
                <c:pt idx="60">
                  <c:v>6.8136081422450478E-3</c:v>
                </c:pt>
                <c:pt idx="61">
                  <c:v>6.8180061749889501E-3</c:v>
                </c:pt>
                <c:pt idx="62">
                  <c:v>6.8224022462550528E-3</c:v>
                </c:pt>
                <c:pt idx="63">
                  <c:v>6.8267963599174192E-3</c:v>
                </c:pt>
                <c:pt idx="64">
                  <c:v>6.8311885198371882E-3</c:v>
                </c:pt>
                <c:pt idx="65">
                  <c:v>6.8355787298627095E-3</c:v>
                </c:pt>
                <c:pt idx="66">
                  <c:v>6.8399669938295537E-3</c:v>
                </c:pt>
                <c:pt idx="67">
                  <c:v>6.8443533155605543E-3</c:v>
                </c:pt>
                <c:pt idx="68">
                  <c:v>6.848737698865931E-3</c:v>
                </c:pt>
                <c:pt idx="69">
                  <c:v>6.8531201475433255E-3</c:v>
                </c:pt>
                <c:pt idx="70">
                  <c:v>6.8575006653778274E-3</c:v>
                </c:pt>
                <c:pt idx="71">
                  <c:v>6.8618792561420472E-3</c:v>
                </c:pt>
                <c:pt idx="72">
                  <c:v>6.866255923596189E-3</c:v>
                </c:pt>
                <c:pt idx="73">
                  <c:v>6.8706306714881073E-3</c:v>
                </c:pt>
                <c:pt idx="74">
                  <c:v>6.875003503553345E-3</c:v>
                </c:pt>
                <c:pt idx="75">
                  <c:v>6.8793744235152079E-3</c:v>
                </c:pt>
                <c:pt idx="76">
                  <c:v>6.8837434350848071E-3</c:v>
                </c:pt>
                <c:pt idx="77">
                  <c:v>6.8881105419611004E-3</c:v>
                </c:pt>
                <c:pt idx="78">
                  <c:v>6.8924757478310223E-3</c:v>
                </c:pt>
                <c:pt idx="79">
                  <c:v>6.8968390563694431E-3</c:v>
                </c:pt>
                <c:pt idx="80">
                  <c:v>6.9012004712392773E-3</c:v>
                </c:pt>
                <c:pt idx="81">
                  <c:v>6.9055599960915065E-3</c:v>
                </c:pt>
                <c:pt idx="82">
                  <c:v>6.9099176345653107E-3</c:v>
                </c:pt>
                <c:pt idx="83">
                  <c:v>6.9142733902879984E-3</c:v>
                </c:pt>
                <c:pt idx="84">
                  <c:v>6.9186272668751731E-3</c:v>
                </c:pt>
                <c:pt idx="85">
                  <c:v>6.9229792679307255E-3</c:v>
                </c:pt>
                <c:pt idx="86">
                  <c:v>6.9273293970468835E-3</c:v>
                </c:pt>
                <c:pt idx="87">
                  <c:v>6.9316776578043247E-3</c:v>
                </c:pt>
                <c:pt idx="88">
                  <c:v>6.9360240537721506E-3</c:v>
                </c:pt>
                <c:pt idx="89">
                  <c:v>6.9403685885079947E-3</c:v>
                </c:pt>
                <c:pt idx="90">
                  <c:v>6.9447112655580401E-3</c:v>
                </c:pt>
                <c:pt idx="91">
                  <c:v>6.9490520884570913E-3</c:v>
                </c:pt>
                <c:pt idx="92">
                  <c:v>6.9533910607286501E-3</c:v>
                </c:pt>
                <c:pt idx="93">
                  <c:v>6.957728185884888E-3</c:v>
                </c:pt>
                <c:pt idx="94">
                  <c:v>6.9620634674267545E-3</c:v>
                </c:pt>
                <c:pt idx="95">
                  <c:v>6.9663969088440587E-3</c:v>
                </c:pt>
                <c:pt idx="96">
                  <c:v>6.9707285136154278E-3</c:v>
                </c:pt>
                <c:pt idx="97">
                  <c:v>6.9750582852084264E-3</c:v>
                </c:pt>
                <c:pt idx="98">
                  <c:v>6.9793862270795945E-3</c:v>
                </c:pt>
                <c:pt idx="99">
                  <c:v>6.9837123426744882E-3</c:v>
                </c:pt>
                <c:pt idx="100">
                  <c:v>6.9880366354277135E-3</c:v>
                </c:pt>
                <c:pt idx="101">
                  <c:v>6.9923591087630056E-3</c:v>
                </c:pt>
                <c:pt idx="102">
                  <c:v>6.9966797660932717E-3</c:v>
                </c:pt>
                <c:pt idx="103">
                  <c:v>7.0009986108205977E-3</c:v>
                </c:pt>
                <c:pt idx="104">
                  <c:v>7.005315646336361E-3</c:v>
                </c:pt>
                <c:pt idx="105">
                  <c:v>7.0096308760212288E-3</c:v>
                </c:pt>
                <c:pt idx="106">
                  <c:v>7.0139443032452018E-3</c:v>
                </c:pt>
                <c:pt idx="107">
                  <c:v>7.0182559313677279E-3</c:v>
                </c:pt>
                <c:pt idx="108">
                  <c:v>7.0225657637376631E-3</c:v>
                </c:pt>
                <c:pt idx="109">
                  <c:v>7.0268738036933856E-3</c:v>
                </c:pt>
                <c:pt idx="110">
                  <c:v>7.031180054562769E-3</c:v>
                </c:pt>
                <c:pt idx="111">
                  <c:v>7.035484519663307E-3</c:v>
                </c:pt>
                <c:pt idx="112">
                  <c:v>7.039787202302159E-3</c:v>
                </c:pt>
                <c:pt idx="113">
                  <c:v>7.0440881057760524E-3</c:v>
                </c:pt>
                <c:pt idx="114">
                  <c:v>7.0483872333715588E-3</c:v>
                </c:pt>
                <c:pt idx="115">
                  <c:v>7.0526845883649297E-3</c:v>
                </c:pt>
                <c:pt idx="116">
                  <c:v>7.0569801740222593E-3</c:v>
                </c:pt>
                <c:pt idx="117">
                  <c:v>7.0612739935995011E-3</c:v>
                </c:pt>
                <c:pt idx="118">
                  <c:v>7.0655660503425172E-3</c:v>
                </c:pt>
                <c:pt idx="119">
                  <c:v>7.0698563474870732E-3</c:v>
                </c:pt>
                <c:pt idx="120">
                  <c:v>7.0741448882589491E-3</c:v>
                </c:pt>
                <c:pt idx="121">
                  <c:v>7.0784316758739675E-3</c:v>
                </c:pt>
                <c:pt idx="122">
                  <c:v>7.0827167135379988E-3</c:v>
                </c:pt>
                <c:pt idx="123">
                  <c:v>7.0870000044470517E-3</c:v>
                </c:pt>
                <c:pt idx="124">
                  <c:v>7.0912815517872752E-3</c:v>
                </c:pt>
                <c:pt idx="125">
                  <c:v>7.0955613587350124E-3</c:v>
                </c:pt>
                <c:pt idx="126">
                  <c:v>7.0998394284568786E-3</c:v>
                </c:pt>
                <c:pt idx="127">
                  <c:v>7.1041157641097679E-3</c:v>
                </c:pt>
                <c:pt idx="128">
                  <c:v>7.1083903688408936E-3</c:v>
                </c:pt>
                <c:pt idx="129">
                  <c:v>7.1126632457878336E-3</c:v>
                </c:pt>
                <c:pt idx="130">
                  <c:v>7.1169343980785711E-3</c:v>
                </c:pt>
                <c:pt idx="131">
                  <c:v>7.1212038288315698E-3</c:v>
                </c:pt>
                <c:pt idx="132">
                  <c:v>7.1254715411557491E-3</c:v>
                </c:pt>
                <c:pt idx="133">
                  <c:v>7.1297375381506036E-3</c:v>
                </c:pt>
                <c:pt idx="134">
                  <c:v>7.1340018229061495E-3</c:v>
                </c:pt>
                <c:pt idx="135">
                  <c:v>7.138264398503057E-3</c:v>
                </c:pt>
                <c:pt idx="136">
                  <c:v>7.142525268012628E-3</c:v>
                </c:pt>
                <c:pt idx="137">
                  <c:v>7.1467844344968723E-3</c:v>
                </c:pt>
                <c:pt idx="138">
                  <c:v>7.1510419010085147E-3</c:v>
                </c:pt>
                <c:pt idx="139">
                  <c:v>7.1552976705910494E-3</c:v>
                </c:pt>
                <c:pt idx="140">
                  <c:v>7.1595517462788201E-3</c:v>
                </c:pt>
                <c:pt idx="141">
                  <c:v>7.1638041310969729E-3</c:v>
                </c:pt>
                <c:pt idx="142">
                  <c:v>7.1680548280615803E-3</c:v>
                </c:pt>
                <c:pt idx="143">
                  <c:v>7.1723038401795992E-3</c:v>
                </c:pt>
                <c:pt idx="144">
                  <c:v>7.1765511704489707E-3</c:v>
                </c:pt>
                <c:pt idx="145">
                  <c:v>7.1807968218586711E-3</c:v>
                </c:pt>
                <c:pt idx="146">
                  <c:v>7.1850407973886778E-3</c:v>
                </c:pt>
                <c:pt idx="147">
                  <c:v>7.1892831000100379E-3</c:v>
                </c:pt>
                <c:pt idx="148">
                  <c:v>7.1935237326849685E-3</c:v>
                </c:pt>
                <c:pt idx="149">
                  <c:v>7.1977626983667628E-3</c:v>
                </c:pt>
                <c:pt idx="150">
                  <c:v>7.2019999999999784E-3</c:v>
                </c:pt>
                <c:pt idx="151">
                  <c:v>7.206235640520366E-3</c:v>
                </c:pt>
                <c:pt idx="152">
                  <c:v>7.2104696228549202E-3</c:v>
                </c:pt>
                <c:pt idx="153">
                  <c:v>7.2147019499219662E-3</c:v>
                </c:pt>
                <c:pt idx="154">
                  <c:v>7.2189326246311688E-3</c:v>
                </c:pt>
                <c:pt idx="155">
                  <c:v>7.2231616498835338E-3</c:v>
                </c:pt>
                <c:pt idx="156">
                  <c:v>7.2273890285714914E-3</c:v>
                </c:pt>
                <c:pt idx="157">
                  <c:v>7.2316147635789136E-3</c:v>
                </c:pt>
                <c:pt idx="158">
                  <c:v>7.2358388577811747E-3</c:v>
                </c:pt>
                <c:pt idx="159">
                  <c:v>7.2400613140451179E-3</c:v>
                </c:pt>
                <c:pt idx="160">
                  <c:v>7.2442821352291763E-3</c:v>
                </c:pt>
                <c:pt idx="161">
                  <c:v>7.2485013241833226E-3</c:v>
                </c:pt>
                <c:pt idx="162">
                  <c:v>7.2527188837492144E-3</c:v>
                </c:pt>
                <c:pt idx="163">
                  <c:v>7.2569348167601105E-3</c:v>
                </c:pt>
                <c:pt idx="164">
                  <c:v>7.26114912604095E-3</c:v>
                </c:pt>
                <c:pt idx="165">
                  <c:v>7.2653618144084622E-3</c:v>
                </c:pt>
                <c:pt idx="166">
                  <c:v>7.2695728846710328E-3</c:v>
                </c:pt>
                <c:pt idx="167">
                  <c:v>7.2737823396289277E-3</c:v>
                </c:pt>
                <c:pt idx="168">
                  <c:v>7.2779901820741793E-3</c:v>
                </c:pt>
                <c:pt idx="169">
                  <c:v>7.2821964147906882E-3</c:v>
                </c:pt>
                <c:pt idx="170">
                  <c:v>7.2864010405542844E-3</c:v>
                </c:pt>
                <c:pt idx="171">
                  <c:v>7.2906040621326792E-3</c:v>
                </c:pt>
                <c:pt idx="172">
                  <c:v>7.294805482285528E-3</c:v>
                </c:pt>
                <c:pt idx="173">
                  <c:v>7.2990053037645108E-3</c:v>
                </c:pt>
                <c:pt idx="174">
                  <c:v>7.303203529313314E-3</c:v>
                </c:pt>
                <c:pt idx="175">
                  <c:v>7.30740016166769E-3</c:v>
                </c:pt>
                <c:pt idx="176">
                  <c:v>7.3115952035554569E-3</c:v>
                </c:pt>
                <c:pt idx="177">
                  <c:v>7.3157886576965528E-3</c:v>
                </c:pt>
                <c:pt idx="178">
                  <c:v>7.3199805268030832E-3</c:v>
                </c:pt>
                <c:pt idx="179">
                  <c:v>7.3241708135793364E-3</c:v>
                </c:pt>
                <c:pt idx="180">
                  <c:v>7.3283595207217743E-3</c:v>
                </c:pt>
                <c:pt idx="181">
                  <c:v>7.3325466509191629E-3</c:v>
                </c:pt>
                <c:pt idx="182">
                  <c:v>7.3367322068524747E-3</c:v>
                </c:pt>
                <c:pt idx="183">
                  <c:v>7.3409161911950791E-3</c:v>
                </c:pt>
                <c:pt idx="184">
                  <c:v>7.3450986066125939E-3</c:v>
                </c:pt>
                <c:pt idx="185">
                  <c:v>7.3492794557630794E-3</c:v>
                </c:pt>
                <c:pt idx="186">
                  <c:v>7.3534587412969268E-3</c:v>
                </c:pt>
                <c:pt idx="187">
                  <c:v>7.3576364658569917E-3</c:v>
                </c:pt>
                <c:pt idx="188">
                  <c:v>7.3618126320786148E-3</c:v>
                </c:pt>
                <c:pt idx="189">
                  <c:v>7.3659872425895874E-3</c:v>
                </c:pt>
                <c:pt idx="190">
                  <c:v>7.3701603000102325E-3</c:v>
                </c:pt>
                <c:pt idx="191">
                  <c:v>7.3743318069534229E-3</c:v>
                </c:pt>
                <c:pt idx="192">
                  <c:v>7.3785017660246231E-3</c:v>
                </c:pt>
                <c:pt idx="193">
                  <c:v>7.3826701798218953E-3</c:v>
                </c:pt>
                <c:pt idx="194">
                  <c:v>7.3868370509359285E-3</c:v>
                </c:pt>
                <c:pt idx="195">
                  <c:v>7.3910023819501267E-3</c:v>
                </c:pt>
                <c:pt idx="196">
                  <c:v>7.3951661754405162E-3</c:v>
                </c:pt>
                <c:pt idx="197">
                  <c:v>7.3993284339759161E-3</c:v>
                </c:pt>
                <c:pt idx="198">
                  <c:v>7.4034891601178722E-3</c:v>
                </c:pt>
                <c:pt idx="199">
                  <c:v>7.4076483564207152E-3</c:v>
                </c:pt>
                <c:pt idx="200">
                  <c:v>7.4118060254315873E-3</c:v>
                </c:pt>
                <c:pt idx="201">
                  <c:v>7.4159621696904786E-3</c:v>
                </c:pt>
                <c:pt idx="202">
                  <c:v>7.4201167917302231E-3</c:v>
                </c:pt>
                <c:pt idx="203">
                  <c:v>7.4242698940765782E-3</c:v>
                </c:pt>
                <c:pt idx="204">
                  <c:v>7.4284214792482194E-3</c:v>
                </c:pt>
                <c:pt idx="205">
                  <c:v>7.432571549756785E-3</c:v>
                </c:pt>
                <c:pt idx="206">
                  <c:v>7.4367201081068568E-3</c:v>
                </c:pt>
                <c:pt idx="207">
                  <c:v>7.44086715679606E-3</c:v>
                </c:pt>
                <c:pt idx="208">
                  <c:v>7.4450126983150108E-3</c:v>
                </c:pt>
                <c:pt idx="209">
                  <c:v>7.4491567351474769E-3</c:v>
                </c:pt>
                <c:pt idx="210">
                  <c:v>7.4532992697701949E-3</c:v>
                </c:pt>
                <c:pt idx="211">
                  <c:v>7.4574403046531092E-3</c:v>
                </c:pt>
                <c:pt idx="212">
                  <c:v>7.4615798422592696E-3</c:v>
                </c:pt>
                <c:pt idx="213">
                  <c:v>7.4657178850449056E-3</c:v>
                </c:pt>
                <c:pt idx="214">
                  <c:v>7.46985443545942E-3</c:v>
                </c:pt>
                <c:pt idx="215">
                  <c:v>7.4739894959454734E-3</c:v>
                </c:pt>
                <c:pt idx="216">
                  <c:v>7.4781230689389428E-3</c:v>
                </c:pt>
                <c:pt idx="217">
                  <c:v>7.4822551568690119E-3</c:v>
                </c:pt>
                <c:pt idx="218">
                  <c:v>7.4863857621581291E-3</c:v>
                </c:pt>
                <c:pt idx="219">
                  <c:v>7.4905148872221093E-3</c:v>
                </c:pt>
                <c:pt idx="220">
                  <c:v>7.4946425344700742E-3</c:v>
                </c:pt>
                <c:pt idx="221">
                  <c:v>7.4987687063045629E-3</c:v>
                </c:pt>
                <c:pt idx="222">
                  <c:v>7.5028934051214972E-3</c:v>
                </c:pt>
                <c:pt idx="223">
                  <c:v>7.5070166333102281E-3</c:v>
                </c:pt>
                <c:pt idx="224">
                  <c:v>7.51113839325357E-3</c:v>
                </c:pt>
                <c:pt idx="225">
                  <c:v>7.5152586873278304E-3</c:v>
                </c:pt>
                <c:pt idx="226">
                  <c:v>7.5193775179027839E-3</c:v>
                </c:pt>
                <c:pt idx="227">
                  <c:v>7.5234948873417569E-3</c:v>
                </c:pt>
                <c:pt idx="228">
                  <c:v>7.5276107980016323E-3</c:v>
                </c:pt>
                <c:pt idx="229">
                  <c:v>7.5317252522328513E-3</c:v>
                </c:pt>
                <c:pt idx="230">
                  <c:v>7.5358382523794988E-3</c:v>
                </c:pt>
                <c:pt idx="231">
                  <c:v>7.5399498007792292E-3</c:v>
                </c:pt>
                <c:pt idx="232">
                  <c:v>7.5440598997634232E-3</c:v>
                </c:pt>
                <c:pt idx="233">
                  <c:v>7.5481685516570569E-3</c:v>
                </c:pt>
                <c:pt idx="234">
                  <c:v>7.5522757587788538E-3</c:v>
                </c:pt>
                <c:pt idx="235">
                  <c:v>7.5563815234412643E-3</c:v>
                </c:pt>
                <c:pt idx="236">
                  <c:v>7.5604858479504612E-3</c:v>
                </c:pt>
                <c:pt idx="237">
                  <c:v>7.5645887346064266E-3</c:v>
                </c:pt>
                <c:pt idx="238">
                  <c:v>7.5686901857028761E-3</c:v>
                </c:pt>
                <c:pt idx="239">
                  <c:v>7.572790203527407E-3</c:v>
                </c:pt>
                <c:pt idx="240">
                  <c:v>7.5768887903614399E-3</c:v>
                </c:pt>
                <c:pt idx="241">
                  <c:v>7.5809859484802303E-3</c:v>
                </c:pt>
                <c:pt idx="242">
                  <c:v>7.5850816801529396E-3</c:v>
                </c:pt>
                <c:pt idx="243">
                  <c:v>7.5891759876426657E-3</c:v>
                </c:pt>
                <c:pt idx="244">
                  <c:v>7.5932688732064128E-3</c:v>
                </c:pt>
                <c:pt idx="245">
                  <c:v>7.5973603390951574E-3</c:v>
                </c:pt>
                <c:pt idx="246">
                  <c:v>7.6014503875538424E-3</c:v>
                </c:pt>
                <c:pt idx="247">
                  <c:v>7.6055390208214111E-3</c:v>
                </c:pt>
                <c:pt idx="248">
                  <c:v>7.6096262411308371E-3</c:v>
                </c:pt>
                <c:pt idx="249">
                  <c:v>7.6137120507091625E-3</c:v>
                </c:pt>
                <c:pt idx="250">
                  <c:v>7.6177964517774571E-3</c:v>
                </c:pt>
                <c:pt idx="251">
                  <c:v>7.6218794465509106E-3</c:v>
                </c:pt>
                <c:pt idx="252">
                  <c:v>7.6259610372388185E-3</c:v>
                </c:pt>
                <c:pt idx="253">
                  <c:v>7.6300412260446151E-3</c:v>
                </c:pt>
                <c:pt idx="254">
                  <c:v>7.6341200151658836E-3</c:v>
                </c:pt>
                <c:pt idx="255">
                  <c:v>7.6381974067943849E-3</c:v>
                </c:pt>
                <c:pt idx="256">
                  <c:v>7.6422734031160993E-3</c:v>
                </c:pt>
                <c:pt idx="257">
                  <c:v>7.646348006311224E-3</c:v>
                </c:pt>
                <c:pt idx="258">
                  <c:v>7.6504212185541801E-3</c:v>
                </c:pt>
                <c:pt idx="259">
                  <c:v>7.6544930420136348E-3</c:v>
                </c:pt>
                <c:pt idx="260">
                  <c:v>7.6585634788526227E-3</c:v>
                </c:pt>
                <c:pt idx="261">
                  <c:v>7.6626325312283946E-3</c:v>
                </c:pt>
                <c:pt idx="262">
                  <c:v>7.6667002012926009E-3</c:v>
                </c:pt>
                <c:pt idx="263">
                  <c:v>7.6707664911911857E-3</c:v>
                </c:pt>
                <c:pt idx="264">
                  <c:v>7.6748314030644941E-3</c:v>
                </c:pt>
                <c:pt idx="265">
                  <c:v>7.6788949390472604E-3</c:v>
                </c:pt>
                <c:pt idx="266">
                  <c:v>7.6829571012685992E-3</c:v>
                </c:pt>
                <c:pt idx="267">
                  <c:v>7.6870178918521078E-3</c:v>
                </c:pt>
                <c:pt idx="268">
                  <c:v>7.6910773129157724E-3</c:v>
                </c:pt>
                <c:pt idx="269">
                  <c:v>7.6951353665721265E-3</c:v>
                </c:pt>
                <c:pt idx="270">
                  <c:v>7.6991920549281416E-3</c:v>
                </c:pt>
                <c:pt idx="271">
                  <c:v>7.7032473800853025E-3</c:v>
                </c:pt>
                <c:pt idx="272">
                  <c:v>7.7073013441396488E-3</c:v>
                </c:pt>
                <c:pt idx="273">
                  <c:v>7.7113539491817824E-3</c:v>
                </c:pt>
                <c:pt idx="274">
                  <c:v>7.7154051972968462E-3</c:v>
                </c:pt>
                <c:pt idx="275">
                  <c:v>7.7194550905645845E-3</c:v>
                </c:pt>
                <c:pt idx="276">
                  <c:v>7.7235036310593537E-3</c:v>
                </c:pt>
                <c:pt idx="277">
                  <c:v>7.7275508208501514E-3</c:v>
                </c:pt>
                <c:pt idx="278">
                  <c:v>7.7315966620006404E-3</c:v>
                </c:pt>
                <c:pt idx="279">
                  <c:v>7.7356411565690933E-3</c:v>
                </c:pt>
                <c:pt idx="280">
                  <c:v>7.7396843066085677E-3</c:v>
                </c:pt>
                <c:pt idx="281">
                  <c:v>7.7437261141667189E-3</c:v>
                </c:pt>
                <c:pt idx="282">
                  <c:v>7.7477665812860329E-3</c:v>
                </c:pt>
                <c:pt idx="283">
                  <c:v>7.7518057100036501E-3</c:v>
                </c:pt>
                <c:pt idx="284">
                  <c:v>7.7558435023515615E-3</c:v>
                </c:pt>
                <c:pt idx="285">
                  <c:v>7.759879960356493E-3</c:v>
                </c:pt>
                <c:pt idx="286">
                  <c:v>7.7639150860399977E-3</c:v>
                </c:pt>
                <c:pt idx="287">
                  <c:v>7.767948881418409E-3</c:v>
                </c:pt>
                <c:pt idx="288">
                  <c:v>7.7719813485029416E-3</c:v>
                </c:pt>
                <c:pt idx="289">
                  <c:v>7.7760124892996994E-3</c:v>
                </c:pt>
                <c:pt idx="290">
                  <c:v>7.7800423058095522E-3</c:v>
                </c:pt>
                <c:pt idx="291">
                  <c:v>7.7840708000283913E-3</c:v>
                </c:pt>
                <c:pt idx="292">
                  <c:v>7.7880979739469568E-3</c:v>
                </c:pt>
                <c:pt idx="293">
                  <c:v>7.7921238295509216E-3</c:v>
                </c:pt>
                <c:pt idx="294">
                  <c:v>7.7961483688209375E-3</c:v>
                </c:pt>
                <c:pt idx="295">
                  <c:v>7.8001715937325855E-3</c:v>
                </c:pt>
                <c:pt idx="296">
                  <c:v>7.8041935062564873E-3</c:v>
                </c:pt>
                <c:pt idx="297">
                  <c:v>7.8082141083582156E-3</c:v>
                </c:pt>
                <c:pt idx="298">
                  <c:v>7.8122334019983747E-3</c:v>
                </c:pt>
                <c:pt idx="299">
                  <c:v>7.8162513891326686E-3</c:v>
                </c:pt>
                <c:pt idx="300">
                  <c:v>7.8202680717117581E-3</c:v>
                </c:pt>
                <c:pt idx="301">
                  <c:v>7.8242834516814627E-3</c:v>
                </c:pt>
                <c:pt idx="302">
                  <c:v>7.8282975309826551E-3</c:v>
                </c:pt>
                <c:pt idx="303">
                  <c:v>7.8323103115513406E-3</c:v>
                </c:pt>
                <c:pt idx="304">
                  <c:v>7.8363217953186081E-3</c:v>
                </c:pt>
                <c:pt idx="305">
                  <c:v>7.8403319842107622E-3</c:v>
                </c:pt>
                <c:pt idx="306">
                  <c:v>7.8443408801491775E-3</c:v>
                </c:pt>
                <c:pt idx="307">
                  <c:v>7.8483484850505065E-3</c:v>
                </c:pt>
                <c:pt idx="308">
                  <c:v>7.852354800826503E-3</c:v>
                </c:pt>
                <c:pt idx="309">
                  <c:v>7.8563598293842022E-3</c:v>
                </c:pt>
                <c:pt idx="310">
                  <c:v>7.8603635726258413E-3</c:v>
                </c:pt>
                <c:pt idx="311">
                  <c:v>7.8643660324488902E-3</c:v>
                </c:pt>
                <c:pt idx="312">
                  <c:v>7.8683672107461213E-3</c:v>
                </c:pt>
                <c:pt idx="313">
                  <c:v>7.8723671094055488E-3</c:v>
                </c:pt>
                <c:pt idx="314">
                  <c:v>7.8763657303104924E-3</c:v>
                </c:pt>
                <c:pt idx="315">
                  <c:v>7.8803630753395641E-3</c:v>
                </c:pt>
                <c:pt idx="316">
                  <c:v>7.8843591463667786E-3</c:v>
                </c:pt>
                <c:pt idx="317">
                  <c:v>7.8883539452613994E-3</c:v>
                </c:pt>
                <c:pt idx="318">
                  <c:v>7.8923474738880998E-3</c:v>
                </c:pt>
                <c:pt idx="319">
                  <c:v>7.8963397341069476E-3</c:v>
                </c:pt>
                <c:pt idx="320">
                  <c:v>7.9003307277733508E-3</c:v>
                </c:pt>
                <c:pt idx="321">
                  <c:v>7.9043204567382005E-3</c:v>
                </c:pt>
                <c:pt idx="322">
                  <c:v>7.9083089228477177E-3</c:v>
                </c:pt>
                <c:pt idx="323">
                  <c:v>7.9122961279436358E-3</c:v>
                </c:pt>
                <c:pt idx="324">
                  <c:v>7.9162820738631363E-3</c:v>
                </c:pt>
                <c:pt idx="325">
                  <c:v>7.9202667624388417E-3</c:v>
                </c:pt>
                <c:pt idx="326">
                  <c:v>7.9242501954989043E-3</c:v>
                </c:pt>
                <c:pt idx="327">
                  <c:v>7.9282323748669208E-3</c:v>
                </c:pt>
                <c:pt idx="328">
                  <c:v>7.9322133023621028E-3</c:v>
                </c:pt>
                <c:pt idx="329">
                  <c:v>7.9361929797990838E-3</c:v>
                </c:pt>
                <c:pt idx="330">
                  <c:v>7.9401714089881066E-3</c:v>
                </c:pt>
                <c:pt idx="331">
                  <c:v>7.9441485917349959E-3</c:v>
                </c:pt>
                <c:pt idx="332">
                  <c:v>7.9481245298410972E-3</c:v>
                </c:pt>
                <c:pt idx="333">
                  <c:v>7.9520992251034279E-3</c:v>
                </c:pt>
                <c:pt idx="334">
                  <c:v>7.9560726793145888E-3</c:v>
                </c:pt>
                <c:pt idx="335">
                  <c:v>7.9600448942627397E-3</c:v>
                </c:pt>
                <c:pt idx="336">
                  <c:v>7.9640158717317767E-3</c:v>
                </c:pt>
                <c:pt idx="337">
                  <c:v>7.9679856135011894E-3</c:v>
                </c:pt>
                <c:pt idx="338">
                  <c:v>7.9719541213461656E-3</c:v>
                </c:pt>
                <c:pt idx="339">
                  <c:v>7.9759213970375699E-3</c:v>
                </c:pt>
                <c:pt idx="340">
                  <c:v>7.9798874423419822E-3</c:v>
                </c:pt>
                <c:pt idx="341">
                  <c:v>7.9838522590216579E-3</c:v>
                </c:pt>
                <c:pt idx="342">
                  <c:v>7.9878158488346489E-3</c:v>
                </c:pt>
                <c:pt idx="343">
                  <c:v>7.991778213534648E-3</c:v>
                </c:pt>
                <c:pt idx="344">
                  <c:v>7.9957393548712105E-3</c:v>
                </c:pt>
                <c:pt idx="345">
                  <c:v>7.9996992745896278E-3</c:v>
                </c:pt>
                <c:pt idx="346">
                  <c:v>8.0036579744309361E-3</c:v>
                </c:pt>
                <c:pt idx="347">
                  <c:v>8.007615456132022E-3</c:v>
                </c:pt>
                <c:pt idx="348">
                  <c:v>8.0115717214255845E-3</c:v>
                </c:pt>
                <c:pt idx="349">
                  <c:v>8.0155267720401092E-3</c:v>
                </c:pt>
                <c:pt idx="350">
                  <c:v>8.0194806096999995E-3</c:v>
                </c:pt>
                <c:pt idx="351">
                  <c:v>8.0234332361254403E-3</c:v>
                </c:pt>
                <c:pt idx="352">
                  <c:v>8.0273846530325415E-3</c:v>
                </c:pt>
                <c:pt idx="353">
                  <c:v>8.0313348621332513E-3</c:v>
                </c:pt>
                <c:pt idx="354">
                  <c:v>8.0352838651354692E-3</c:v>
                </c:pt>
                <c:pt idx="355">
                  <c:v>8.0392316637429816E-3</c:v>
                </c:pt>
                <c:pt idx="356">
                  <c:v>8.0431782596554688E-3</c:v>
                </c:pt>
                <c:pt idx="357">
                  <c:v>8.0471236545686265E-3</c:v>
                </c:pt>
                <c:pt idx="358">
                  <c:v>8.0510678501740443E-3</c:v>
                </c:pt>
                <c:pt idx="359">
                  <c:v>8.0550108481592907E-3</c:v>
                </c:pt>
                <c:pt idx="360">
                  <c:v>8.0589526502079147E-3</c:v>
                </c:pt>
                <c:pt idx="361">
                  <c:v>8.0628932579995191E-3</c:v>
                </c:pt>
                <c:pt idx="362">
                  <c:v>8.0668326732096108E-3</c:v>
                </c:pt>
                <c:pt idx="363">
                  <c:v>8.070770897509771E-3</c:v>
                </c:pt>
                <c:pt idx="364">
                  <c:v>8.0747079325676503E-3</c:v>
                </c:pt>
                <c:pt idx="365">
                  <c:v>8.0786437800468916E-3</c:v>
                </c:pt>
                <c:pt idx="366">
                  <c:v>8.0825784416071935E-3</c:v>
                </c:pt>
                <c:pt idx="367">
                  <c:v>8.0865119189043877E-3</c:v>
                </c:pt>
                <c:pt idx="368">
                  <c:v>8.090444213590342E-3</c:v>
                </c:pt>
                <c:pt idx="369">
                  <c:v>8.0943753273130369E-3</c:v>
                </c:pt>
                <c:pt idx="370">
                  <c:v>8.0983052617165825E-3</c:v>
                </c:pt>
                <c:pt idx="371">
                  <c:v>8.1022340184411963E-3</c:v>
                </c:pt>
                <c:pt idx="372">
                  <c:v>8.1061615991232187E-3</c:v>
                </c:pt>
                <c:pt idx="373">
                  <c:v>8.110088005395184E-3</c:v>
                </c:pt>
                <c:pt idx="374">
                  <c:v>8.1140132388857634E-3</c:v>
                </c:pt>
                <c:pt idx="375">
                  <c:v>8.1179373012198117E-3</c:v>
                </c:pt>
                <c:pt idx="376">
                  <c:v>8.1218601940183672E-3</c:v>
                </c:pt>
                <c:pt idx="377">
                  <c:v>8.1257819188986797E-3</c:v>
                </c:pt>
                <c:pt idx="378">
                  <c:v>8.1297024774741756E-3</c:v>
                </c:pt>
                <c:pt idx="379">
                  <c:v>8.1336218713545724E-3</c:v>
                </c:pt>
                <c:pt idx="380">
                  <c:v>8.1375401021457714E-3</c:v>
                </c:pt>
                <c:pt idx="381">
                  <c:v>8.1414571714499666E-3</c:v>
                </c:pt>
                <c:pt idx="382">
                  <c:v>8.1453730808655929E-3</c:v>
                </c:pt>
                <c:pt idx="383">
                  <c:v>8.1492878319873643E-3</c:v>
                </c:pt>
                <c:pt idx="384">
                  <c:v>8.1532014264062546E-3</c:v>
                </c:pt>
                <c:pt idx="385">
                  <c:v>8.1571138657096122E-3</c:v>
                </c:pt>
                <c:pt idx="386">
                  <c:v>8.1610251514810002E-3</c:v>
                </c:pt>
                <c:pt idx="387">
                  <c:v>8.1649352853004186E-3</c:v>
                </c:pt>
                <c:pt idx="388">
                  <c:v>8.168844268744084E-3</c:v>
                </c:pt>
                <c:pt idx="389">
                  <c:v>8.1727521033846621E-3</c:v>
                </c:pt>
                <c:pt idx="390">
                  <c:v>8.1766587907911147E-3</c:v>
                </c:pt>
                <c:pt idx="391">
                  <c:v>8.180564332528787E-3</c:v>
                </c:pt>
                <c:pt idx="392">
                  <c:v>8.1844687301594627E-3</c:v>
                </c:pt>
                <c:pt idx="393">
                  <c:v>8.1883719852412374E-3</c:v>
                </c:pt>
                <c:pt idx="394">
                  <c:v>8.1922740993286523E-3</c:v>
                </c:pt>
                <c:pt idx="395">
                  <c:v>8.1961750739726683E-3</c:v>
                </c:pt>
                <c:pt idx="396">
                  <c:v>8.2000749107206932E-3</c:v>
                </c:pt>
                <c:pt idx="397">
                  <c:v>8.2039736111165357E-3</c:v>
                </c:pt>
                <c:pt idx="398">
                  <c:v>8.2078711767005208E-3</c:v>
                </c:pt>
                <c:pt idx="399">
                  <c:v>8.2117676090093638E-3</c:v>
                </c:pt>
                <c:pt idx="400">
                  <c:v>8.2156629095762983E-3</c:v>
                </c:pt>
                <c:pt idx="401">
                  <c:v>8.2195570799310433E-3</c:v>
                </c:pt>
                <c:pt idx="402">
                  <c:v>8.2234501215998138E-3</c:v>
                </c:pt>
                <c:pt idx="403">
                  <c:v>8.2273420361053048E-3</c:v>
                </c:pt>
                <c:pt idx="404">
                  <c:v>8.2312328249667787E-3</c:v>
                </c:pt>
                <c:pt idx="405">
                  <c:v>8.2351224897000436E-3</c:v>
                </c:pt>
                <c:pt idx="406">
                  <c:v>8.2390110318173761E-3</c:v>
                </c:pt>
                <c:pt idx="407">
                  <c:v>8.2428984528276524E-3</c:v>
                </c:pt>
                <c:pt idx="408">
                  <c:v>8.2467847542363158E-3</c:v>
                </c:pt>
                <c:pt idx="409">
                  <c:v>8.2506699375453942E-3</c:v>
                </c:pt>
                <c:pt idx="410">
                  <c:v>8.2545540042535063E-3</c:v>
                </c:pt>
                <c:pt idx="411">
                  <c:v>8.2584369558558173E-3</c:v>
                </c:pt>
                <c:pt idx="412">
                  <c:v>8.2623187938441409E-3</c:v>
                </c:pt>
                <c:pt idx="413">
                  <c:v>8.2661995197069373E-3</c:v>
                </c:pt>
                <c:pt idx="414">
                  <c:v>8.270079134929241E-3</c:v>
                </c:pt>
                <c:pt idx="415">
                  <c:v>8.2739576409927591E-3</c:v>
                </c:pt>
                <c:pt idx="416">
                  <c:v>8.2778350393758453E-3</c:v>
                </c:pt>
                <c:pt idx="417">
                  <c:v>8.281711331553537E-3</c:v>
                </c:pt>
                <c:pt idx="418">
                  <c:v>8.2855865189974762E-3</c:v>
                </c:pt>
                <c:pt idx="419">
                  <c:v>8.2894606031760909E-3</c:v>
                </c:pt>
                <c:pt idx="420">
                  <c:v>8.2933335855544243E-3</c:v>
                </c:pt>
                <c:pt idx="421">
                  <c:v>8.2972054675942292E-3</c:v>
                </c:pt>
                <c:pt idx="422">
                  <c:v>8.3010762507540557E-3</c:v>
                </c:pt>
                <c:pt idx="423">
                  <c:v>8.3049459364890228E-3</c:v>
                </c:pt>
                <c:pt idx="424">
                  <c:v>8.3088145262511758E-3</c:v>
                </c:pt>
                <c:pt idx="425">
                  <c:v>8.3126820214891387E-3</c:v>
                </c:pt>
                <c:pt idx="426">
                  <c:v>8.3165484236483837E-3</c:v>
                </c:pt>
                <c:pt idx="427">
                  <c:v>8.3204137341711532E-3</c:v>
                </c:pt>
                <c:pt idx="428">
                  <c:v>8.3242779544964035E-3</c:v>
                </c:pt>
                <c:pt idx="429">
                  <c:v>8.3281410860599168E-3</c:v>
                </c:pt>
                <c:pt idx="430">
                  <c:v>8.3320031302943093E-3</c:v>
                </c:pt>
                <c:pt idx="431">
                  <c:v>8.3358640886289082E-3</c:v>
                </c:pt>
                <c:pt idx="432">
                  <c:v>8.3397239624899543E-3</c:v>
                </c:pt>
                <c:pt idx="433">
                  <c:v>8.3435827533004554E-3</c:v>
                </c:pt>
                <c:pt idx="434">
                  <c:v>8.3474404624802913E-3</c:v>
                </c:pt>
                <c:pt idx="435">
                  <c:v>8.3512970914461811E-3</c:v>
                </c:pt>
                <c:pt idx="436">
                  <c:v>8.3551526416116607E-3</c:v>
                </c:pt>
                <c:pt idx="437">
                  <c:v>8.3590071143871542E-3</c:v>
                </c:pt>
                <c:pt idx="438">
                  <c:v>8.3628605111799904E-3</c:v>
                </c:pt>
                <c:pt idx="439">
                  <c:v>8.3667128333943727E-3</c:v>
                </c:pt>
                <c:pt idx="440">
                  <c:v>8.3705640824313591E-3</c:v>
                </c:pt>
                <c:pt idx="441">
                  <c:v>8.3744142596889459E-3</c:v>
                </c:pt>
                <c:pt idx="442">
                  <c:v>8.378263366562097E-3</c:v>
                </c:pt>
                <c:pt idx="443">
                  <c:v>8.3821114044425691E-3</c:v>
                </c:pt>
                <c:pt idx="444">
                  <c:v>8.3859583747191713E-3</c:v>
                </c:pt>
                <c:pt idx="445">
                  <c:v>8.3898042787775608E-3</c:v>
                </c:pt>
                <c:pt idx="446">
                  <c:v>8.3936491180004388E-3</c:v>
                </c:pt>
                <c:pt idx="447">
                  <c:v>8.3974928937674501E-3</c:v>
                </c:pt>
                <c:pt idx="448">
                  <c:v>8.4013356074551255E-3</c:v>
                </c:pt>
                <c:pt idx="449">
                  <c:v>8.4051772604371092E-3</c:v>
                </c:pt>
                <c:pt idx="450">
                  <c:v>8.4090178540838743E-3</c:v>
                </c:pt>
                <c:pt idx="451">
                  <c:v>8.4128573897630649E-3</c:v>
                </c:pt>
                <c:pt idx="452">
                  <c:v>8.4166958688392003E-3</c:v>
                </c:pt>
                <c:pt idx="453">
                  <c:v>8.4205332926738912E-3</c:v>
                </c:pt>
                <c:pt idx="454">
                  <c:v>8.424369662625707E-3</c:v>
                </c:pt>
                <c:pt idx="455">
                  <c:v>8.4282049800503741E-3</c:v>
                </c:pt>
                <c:pt idx="456">
                  <c:v>8.4320392463005343E-3</c:v>
                </c:pt>
                <c:pt idx="457">
                  <c:v>8.4358724627259206E-3</c:v>
                </c:pt>
                <c:pt idx="458">
                  <c:v>8.4397046306734468E-3</c:v>
                </c:pt>
                <c:pt idx="459">
                  <c:v>8.4435357514868348E-3</c:v>
                </c:pt>
                <c:pt idx="460">
                  <c:v>8.4473658265071683E-3</c:v>
                </c:pt>
                <c:pt idx="461">
                  <c:v>8.451194857072403E-3</c:v>
                </c:pt>
                <c:pt idx="462">
                  <c:v>8.4550228445178163E-3</c:v>
                </c:pt>
                <c:pt idx="463">
                  <c:v>8.4588497901755648E-3</c:v>
                </c:pt>
                <c:pt idx="464">
                  <c:v>8.4626756953750399E-3</c:v>
                </c:pt>
                <c:pt idx="465">
                  <c:v>8.4665005614428072E-3</c:v>
                </c:pt>
                <c:pt idx="466">
                  <c:v>8.4703243897023706E-3</c:v>
                </c:pt>
                <c:pt idx="467">
                  <c:v>8.4741471814746214E-3</c:v>
                </c:pt>
                <c:pt idx="468">
                  <c:v>8.4779689380774341E-3</c:v>
                </c:pt>
                <c:pt idx="469">
                  <c:v>8.4817896608258749E-3</c:v>
                </c:pt>
                <c:pt idx="470">
                  <c:v>8.485609351032276E-3</c:v>
                </c:pt>
                <c:pt idx="471">
                  <c:v>8.4894280100059633E-3</c:v>
                </c:pt>
                <c:pt idx="472">
                  <c:v>8.4932456390536468E-3</c:v>
                </c:pt>
                <c:pt idx="473">
                  <c:v>8.4970622394790543E-3</c:v>
                </c:pt>
                <c:pt idx="474">
                  <c:v>8.5008778125832546E-3</c:v>
                </c:pt>
                <c:pt idx="475">
                  <c:v>8.5046923596644383E-3</c:v>
                </c:pt>
                <c:pt idx="476">
                  <c:v>8.5085058820180345E-3</c:v>
                </c:pt>
                <c:pt idx="477">
                  <c:v>8.5123183809367661E-3</c:v>
                </c:pt>
                <c:pt idx="478">
                  <c:v>8.5161298577105006E-3</c:v>
                </c:pt>
                <c:pt idx="479">
                  <c:v>8.519940313626349E-3</c:v>
                </c:pt>
                <c:pt idx="480">
                  <c:v>8.5237497499687578E-3</c:v>
                </c:pt>
                <c:pt idx="481">
                  <c:v>8.5275581680193911E-3</c:v>
                </c:pt>
                <c:pt idx="482">
                  <c:v>8.5313655690571668E-3</c:v>
                </c:pt>
                <c:pt idx="483">
                  <c:v>8.5351719543582359E-3</c:v>
                </c:pt>
                <c:pt idx="484">
                  <c:v>8.5389773251961804E-3</c:v>
                </c:pt>
                <c:pt idx="485">
                  <c:v>8.5427816828417356E-3</c:v>
                </c:pt>
                <c:pt idx="486">
                  <c:v>8.5465850285629998E-3</c:v>
                </c:pt>
                <c:pt idx="487">
                  <c:v>8.5503873636253187E-3</c:v>
                </c:pt>
                <c:pt idx="488">
                  <c:v>8.5541886892915031E-3</c:v>
                </c:pt>
                <c:pt idx="489">
                  <c:v>8.5579890068214811E-3</c:v>
                </c:pt>
                <c:pt idx="490">
                  <c:v>8.5617883174727485E-3</c:v>
                </c:pt>
                <c:pt idx="491">
                  <c:v>8.5655866224998607E-3</c:v>
                </c:pt>
                <c:pt idx="492">
                  <c:v>8.5693839231549638E-3</c:v>
                </c:pt>
                <c:pt idx="493">
                  <c:v>8.5731802206875009E-3</c:v>
                </c:pt>
                <c:pt idx="494">
                  <c:v>8.5769755163442232E-3</c:v>
                </c:pt>
                <c:pt idx="495">
                  <c:v>8.5807698113692966E-3</c:v>
                </c:pt>
                <c:pt idx="496">
                  <c:v>8.5845631070042144E-3</c:v>
                </c:pt>
                <c:pt idx="497">
                  <c:v>8.5883554044879108E-3</c:v>
                </c:pt>
                <c:pt idx="498">
                  <c:v>8.5921467050567319E-3</c:v>
                </c:pt>
                <c:pt idx="499">
                  <c:v>8.5959370099444338E-3</c:v>
                </c:pt>
                <c:pt idx="500">
                  <c:v>8.5997263203820597E-3</c:v>
                </c:pt>
                <c:pt idx="501">
                  <c:v>8.6035146375982342E-3</c:v>
                </c:pt>
                <c:pt idx="502">
                  <c:v>8.6073019628189178E-3</c:v>
                </c:pt>
                <c:pt idx="503">
                  <c:v>8.6110882972674548E-3</c:v>
                </c:pt>
                <c:pt idx="504">
                  <c:v>8.6148736421647974E-3</c:v>
                </c:pt>
                <c:pt idx="505">
                  <c:v>8.6186579987292244E-3</c:v>
                </c:pt>
                <c:pt idx="506">
                  <c:v>8.6224413681765168E-3</c:v>
                </c:pt>
                <c:pt idx="507">
                  <c:v>8.6262237517197825E-3</c:v>
                </c:pt>
                <c:pt idx="508">
                  <c:v>8.6300051505698357E-3</c:v>
                </c:pt>
                <c:pt idx="509">
                  <c:v>8.6337855659348386E-3</c:v>
                </c:pt>
                <c:pt idx="510">
                  <c:v>8.6375649990204067E-3</c:v>
                </c:pt>
                <c:pt idx="511">
                  <c:v>8.6413434510297319E-3</c:v>
                </c:pt>
                <c:pt idx="512">
                  <c:v>8.645120923163465E-3</c:v>
                </c:pt>
                <c:pt idx="513">
                  <c:v>8.6488974166196771E-3</c:v>
                </c:pt>
                <c:pt idx="514">
                  <c:v>8.6526729325941687E-3</c:v>
                </c:pt>
                <c:pt idx="515">
                  <c:v>8.6564474722801432E-3</c:v>
                </c:pt>
                <c:pt idx="516">
                  <c:v>8.6602210368682524E-3</c:v>
                </c:pt>
                <c:pt idx="517">
                  <c:v>8.6639936275467715E-3</c:v>
                </c:pt>
                <c:pt idx="518">
                  <c:v>8.6677652455016251E-3</c:v>
                </c:pt>
                <c:pt idx="519">
                  <c:v>8.6715358919160455E-3</c:v>
                </c:pt>
                <c:pt idx="520">
                  <c:v>8.6753055679710239E-3</c:v>
                </c:pt>
                <c:pt idx="521">
                  <c:v>8.6790742748449855E-3</c:v>
                </c:pt>
                <c:pt idx="522">
                  <c:v>8.6828420137140105E-3</c:v>
                </c:pt>
                <c:pt idx="523">
                  <c:v>8.6866087857518232E-3</c:v>
                </c:pt>
                <c:pt idx="524">
                  <c:v>8.6903745921295718E-3</c:v>
                </c:pt>
                <c:pt idx="525">
                  <c:v>8.6941394340160592E-3</c:v>
                </c:pt>
                <c:pt idx="526">
                  <c:v>8.6979033125777882E-3</c:v>
                </c:pt>
                <c:pt idx="527">
                  <c:v>8.7016662289787512E-3</c:v>
                </c:pt>
                <c:pt idx="528">
                  <c:v>8.7054281843805589E-3</c:v>
                </c:pt>
                <c:pt idx="529">
                  <c:v>8.709189179942553E-3</c:v>
                </c:pt>
                <c:pt idx="530">
                  <c:v>8.7129492168214837E-3</c:v>
                </c:pt>
                <c:pt idx="531">
                  <c:v>8.7167082961720176E-3</c:v>
                </c:pt>
                <c:pt idx="532">
                  <c:v>8.7204664191462625E-3</c:v>
                </c:pt>
                <c:pt idx="533">
                  <c:v>8.7242235868940955E-3</c:v>
                </c:pt>
                <c:pt idx="534">
                  <c:v>8.727979800562868E-3</c:v>
                </c:pt>
                <c:pt idx="535">
                  <c:v>8.7317350612978947E-3</c:v>
                </c:pt>
                <c:pt idx="536">
                  <c:v>8.7354893702417877E-3</c:v>
                </c:pt>
                <c:pt idx="537">
                  <c:v>8.7392427285351727E-3</c:v>
                </c:pt>
                <c:pt idx="538">
                  <c:v>8.7429951373160716E-3</c:v>
                </c:pt>
                <c:pt idx="539">
                  <c:v>8.7467465977204423E-3</c:v>
                </c:pt>
                <c:pt idx="540">
                  <c:v>8.7504971108818188E-3</c:v>
                </c:pt>
                <c:pt idx="541">
                  <c:v>8.7542466779314682E-3</c:v>
                </c:pt>
                <c:pt idx="542">
                  <c:v>8.7579952999982599E-3</c:v>
                </c:pt>
                <c:pt idx="543">
                  <c:v>8.7617429782089595E-3</c:v>
                </c:pt>
                <c:pt idx="544">
                  <c:v>8.7654897136878272E-3</c:v>
                </c:pt>
                <c:pt idx="545">
                  <c:v>8.769235507557132E-3</c:v>
                </c:pt>
                <c:pt idx="546">
                  <c:v>8.7729803609366153E-3</c:v>
                </c:pt>
                <c:pt idx="547">
                  <c:v>8.7767242749439856E-3</c:v>
                </c:pt>
                <c:pt idx="548">
                  <c:v>8.7804672506944462E-3</c:v>
                </c:pt>
                <c:pt idx="549">
                  <c:v>8.7842092893011779E-3</c:v>
                </c:pt>
                <c:pt idx="550">
                  <c:v>8.7879503918750299E-3</c:v>
                </c:pt>
                <c:pt idx="551">
                  <c:v>8.7916905595245773E-3</c:v>
                </c:pt>
                <c:pt idx="552">
                  <c:v>8.7954297933562735E-3</c:v>
                </c:pt>
                <c:pt idx="553">
                  <c:v>8.7991680944742006E-3</c:v>
                </c:pt>
                <c:pt idx="554">
                  <c:v>8.8029054639804823E-3</c:v>
                </c:pt>
                <c:pt idx="555">
                  <c:v>8.8066419029747042E-3</c:v>
                </c:pt>
                <c:pt idx="556">
                  <c:v>8.8103774125543807E-3</c:v>
                </c:pt>
                <c:pt idx="557">
                  <c:v>8.8141119938150644E-3</c:v>
                </c:pt>
                <c:pt idx="558">
                  <c:v>8.8178456478497143E-3</c:v>
                </c:pt>
                <c:pt idx="559">
                  <c:v>8.8215783757494316E-3</c:v>
                </c:pt>
                <c:pt idx="560">
                  <c:v>8.8253101786029253E-3</c:v>
                </c:pt>
                <c:pt idx="561">
                  <c:v>8.8290410574969318E-3</c:v>
                </c:pt>
                <c:pt idx="562">
                  <c:v>8.8327710135157281E-3</c:v>
                </c:pt>
                <c:pt idx="563">
                  <c:v>8.8365000477418146E-3</c:v>
                </c:pt>
                <c:pt idx="564">
                  <c:v>8.8402281612551935E-3</c:v>
                </c:pt>
                <c:pt idx="565">
                  <c:v>8.8439553551338985E-3</c:v>
                </c:pt>
                <c:pt idx="566">
                  <c:v>8.8476816304538675E-3</c:v>
                </c:pt>
                <c:pt idx="567">
                  <c:v>8.8514069882886862E-3</c:v>
                </c:pt>
                <c:pt idx="568">
                  <c:v>8.8551314297100406E-3</c:v>
                </c:pt>
                <c:pt idx="569">
                  <c:v>8.8588549557873583E-3</c:v>
                </c:pt>
                <c:pt idx="570">
                  <c:v>8.8625775675880529E-3</c:v>
                </c:pt>
                <c:pt idx="571">
                  <c:v>8.8662992661772324E-3</c:v>
                </c:pt>
                <c:pt idx="572">
                  <c:v>8.8700200526181452E-3</c:v>
                </c:pt>
                <c:pt idx="573">
                  <c:v>8.8737399279718264E-3</c:v>
                </c:pt>
                <c:pt idx="574">
                  <c:v>8.8774588932970834E-3</c:v>
                </c:pt>
                <c:pt idx="575">
                  <c:v>8.8811769496508312E-3</c:v>
                </c:pt>
                <c:pt idx="576">
                  <c:v>8.8848940980879032E-3</c:v>
                </c:pt>
                <c:pt idx="577">
                  <c:v>8.8886103396609208E-3</c:v>
                </c:pt>
                <c:pt idx="578">
                  <c:v>8.8923256754205506E-3</c:v>
                </c:pt>
                <c:pt idx="579">
                  <c:v>8.8960401064152976E-3</c:v>
                </c:pt>
                <c:pt idx="580">
                  <c:v>8.8997536336916667E-3</c:v>
                </c:pt>
                <c:pt idx="581">
                  <c:v>8.9034662582940394E-3</c:v>
                </c:pt>
                <c:pt idx="582">
                  <c:v>8.9071779812648858E-3</c:v>
                </c:pt>
                <c:pt idx="583">
                  <c:v>8.9108888036444848E-3</c:v>
                </c:pt>
                <c:pt idx="584">
                  <c:v>8.9145987264712227E-3</c:v>
                </c:pt>
                <c:pt idx="585">
                  <c:v>8.918307750781302E-3</c:v>
                </c:pt>
                <c:pt idx="586">
                  <c:v>8.9220158776089856E-3</c:v>
                </c:pt>
                <c:pt idx="587">
                  <c:v>8.9257231079865069E-3</c:v>
                </c:pt>
                <c:pt idx="588">
                  <c:v>8.929429442944066E-3</c:v>
                </c:pt>
                <c:pt idx="589">
                  <c:v>8.9331348835099897E-3</c:v>
                </c:pt>
                <c:pt idx="590">
                  <c:v>8.936839430710327E-3</c:v>
                </c:pt>
                <c:pt idx="591">
                  <c:v>8.9405430855692344E-3</c:v>
                </c:pt>
                <c:pt idx="592">
                  <c:v>8.9442458491091181E-3</c:v>
                </c:pt>
                <c:pt idx="593">
                  <c:v>8.9479477223501115E-3</c:v>
                </c:pt>
                <c:pt idx="594">
                  <c:v>8.9516487063103153E-3</c:v>
                </c:pt>
                <c:pt idx="595">
                  <c:v>8.9553488020063261E-3</c:v>
                </c:pt>
                <c:pt idx="596">
                  <c:v>8.9590480104520219E-3</c:v>
                </c:pt>
                <c:pt idx="597">
                  <c:v>8.9627463326600043E-3</c:v>
                </c:pt>
                <c:pt idx="598">
                  <c:v>8.966443769640545E-3</c:v>
                </c:pt>
                <c:pt idx="599">
                  <c:v>8.9701403224020301E-3</c:v>
                </c:pt>
                <c:pt idx="600">
                  <c:v>8.9738359919510086E-3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65-4E70-B164-F54B84304D58}"/>
            </c:ext>
          </c:extLst>
        </c:ser>
        <c:ser>
          <c:idx val="1"/>
          <c:order val="1"/>
          <c:tx>
            <c:strRef>
              <c:f>MarketFit!$X$4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MarketFit!$X$5:$X$605</c:f>
              <c:numCache>
                <c:formatCode>0.00%</c:formatCode>
                <c:ptCount val="601"/>
                <c:pt idx="0">
                  <c:v>7.2019999999989211E-3</c:v>
                </c:pt>
                <c:pt idx="1">
                  <c:v>7.2019999999990616E-3</c:v>
                </c:pt>
                <c:pt idx="2">
                  <c:v>7.2019999999991995E-3</c:v>
                </c:pt>
                <c:pt idx="3">
                  <c:v>7.2019999999993357E-3</c:v>
                </c:pt>
                <c:pt idx="4">
                  <c:v>7.2019999999994701E-3</c:v>
                </c:pt>
                <c:pt idx="5">
                  <c:v>7.2019999999996046E-3</c:v>
                </c:pt>
                <c:pt idx="6">
                  <c:v>7.2019999999997381E-3</c:v>
                </c:pt>
                <c:pt idx="7">
                  <c:v>7.2019999999998613E-3</c:v>
                </c:pt>
                <c:pt idx="8">
                  <c:v>7.2019999999999793E-3</c:v>
                </c:pt>
                <c:pt idx="9">
                  <c:v>7.2020000000000955E-3</c:v>
                </c:pt>
                <c:pt idx="10">
                  <c:v>7.2020000000002013E-3</c:v>
                </c:pt>
                <c:pt idx="11">
                  <c:v>7.2020000000003019E-3</c:v>
                </c:pt>
                <c:pt idx="12">
                  <c:v>7.2020000000003912E-3</c:v>
                </c:pt>
                <c:pt idx="13">
                  <c:v>7.2020000000004762E-3</c:v>
                </c:pt>
                <c:pt idx="14">
                  <c:v>7.2020000000005508E-3</c:v>
                </c:pt>
                <c:pt idx="15">
                  <c:v>7.2020000000006098E-3</c:v>
                </c:pt>
                <c:pt idx="16">
                  <c:v>7.2020000000006723E-3</c:v>
                </c:pt>
                <c:pt idx="17">
                  <c:v>7.2020000000007182E-3</c:v>
                </c:pt>
                <c:pt idx="18">
                  <c:v>7.2020000000007547E-3</c:v>
                </c:pt>
                <c:pt idx="19">
                  <c:v>7.2020000000007824E-3</c:v>
                </c:pt>
                <c:pt idx="20">
                  <c:v>7.2020000000007972E-3</c:v>
                </c:pt>
                <c:pt idx="21">
                  <c:v>7.2020000000008145E-3</c:v>
                </c:pt>
                <c:pt idx="22">
                  <c:v>7.2020000000008163E-3</c:v>
                </c:pt>
                <c:pt idx="23">
                  <c:v>7.2020000000008076E-3</c:v>
                </c:pt>
                <c:pt idx="24">
                  <c:v>7.2020000000007946E-3</c:v>
                </c:pt>
                <c:pt idx="25">
                  <c:v>7.202000000000772E-3</c:v>
                </c:pt>
                <c:pt idx="26">
                  <c:v>7.2020000000007425E-3</c:v>
                </c:pt>
                <c:pt idx="27">
                  <c:v>7.2020000000007122E-3</c:v>
                </c:pt>
                <c:pt idx="28">
                  <c:v>7.2020000000006705E-3</c:v>
                </c:pt>
                <c:pt idx="29">
                  <c:v>7.202000000000628E-3</c:v>
                </c:pt>
                <c:pt idx="30">
                  <c:v>7.2020000000005803E-3</c:v>
                </c:pt>
                <c:pt idx="31">
                  <c:v>7.2020000000005257E-3</c:v>
                </c:pt>
                <c:pt idx="32">
                  <c:v>7.2020000000004736E-3</c:v>
                </c:pt>
                <c:pt idx="33">
                  <c:v>7.202000000000419E-3</c:v>
                </c:pt>
                <c:pt idx="34">
                  <c:v>7.2020000000003618E-3</c:v>
                </c:pt>
                <c:pt idx="35">
                  <c:v>7.202000000000301E-3</c:v>
                </c:pt>
                <c:pt idx="36">
                  <c:v>7.2020000000002412E-3</c:v>
                </c:pt>
                <c:pt idx="37">
                  <c:v>7.2020000000001805E-3</c:v>
                </c:pt>
                <c:pt idx="38">
                  <c:v>7.2020000000001267E-3</c:v>
                </c:pt>
                <c:pt idx="39">
                  <c:v>7.2020000000000738E-3</c:v>
                </c:pt>
                <c:pt idx="40">
                  <c:v>7.2020000000000183E-3</c:v>
                </c:pt>
                <c:pt idx="41">
                  <c:v>7.201999999999968E-3</c:v>
                </c:pt>
                <c:pt idx="42">
                  <c:v>7.2019999999999159E-3</c:v>
                </c:pt>
                <c:pt idx="43">
                  <c:v>7.201999999999876E-3</c:v>
                </c:pt>
                <c:pt idx="44">
                  <c:v>7.2019999999998309E-3</c:v>
                </c:pt>
                <c:pt idx="45">
                  <c:v>7.2019999999997962E-3</c:v>
                </c:pt>
                <c:pt idx="46">
                  <c:v>7.2019999999997624E-3</c:v>
                </c:pt>
                <c:pt idx="47">
                  <c:v>7.2019999999997329E-3</c:v>
                </c:pt>
                <c:pt idx="48">
                  <c:v>7.2019999999997095E-3</c:v>
                </c:pt>
                <c:pt idx="49">
                  <c:v>7.2019999999996887E-3</c:v>
                </c:pt>
                <c:pt idx="50">
                  <c:v>7.2019999999996757E-3</c:v>
                </c:pt>
                <c:pt idx="51">
                  <c:v>7.2019999999996661E-3</c:v>
                </c:pt>
                <c:pt idx="52">
                  <c:v>7.2019999999996566E-3</c:v>
                </c:pt>
                <c:pt idx="53">
                  <c:v>7.2019999999996566E-3</c:v>
                </c:pt>
                <c:pt idx="54">
                  <c:v>7.2019999999996609E-3</c:v>
                </c:pt>
                <c:pt idx="55">
                  <c:v>7.2019999999996644E-3</c:v>
                </c:pt>
                <c:pt idx="56">
                  <c:v>7.2019999999996765E-3</c:v>
                </c:pt>
                <c:pt idx="57">
                  <c:v>7.2019999999996887E-3</c:v>
                </c:pt>
                <c:pt idx="58">
                  <c:v>7.201999999999706E-3</c:v>
                </c:pt>
                <c:pt idx="59">
                  <c:v>7.2019999999997234E-3</c:v>
                </c:pt>
                <c:pt idx="60">
                  <c:v>7.2019999999997451E-3</c:v>
                </c:pt>
                <c:pt idx="61">
                  <c:v>7.2019999999997694E-3</c:v>
                </c:pt>
                <c:pt idx="62">
                  <c:v>7.2019999999997945E-3</c:v>
                </c:pt>
                <c:pt idx="63">
                  <c:v>7.2019999999998197E-3</c:v>
                </c:pt>
                <c:pt idx="64">
                  <c:v>7.2019999999998474E-3</c:v>
                </c:pt>
                <c:pt idx="65">
                  <c:v>7.2019999999998726E-3</c:v>
                </c:pt>
                <c:pt idx="66">
                  <c:v>7.2019999999999003E-3</c:v>
                </c:pt>
                <c:pt idx="67">
                  <c:v>7.2019999999999289E-3</c:v>
                </c:pt>
                <c:pt idx="68">
                  <c:v>7.2019999999999602E-3</c:v>
                </c:pt>
                <c:pt idx="69">
                  <c:v>7.2019999999999819E-3</c:v>
                </c:pt>
                <c:pt idx="70">
                  <c:v>7.2020000000000122E-3</c:v>
                </c:pt>
                <c:pt idx="71">
                  <c:v>7.2020000000000322E-3</c:v>
                </c:pt>
                <c:pt idx="72">
                  <c:v>7.2020000000000538E-3</c:v>
                </c:pt>
                <c:pt idx="73">
                  <c:v>7.202000000000079E-3</c:v>
                </c:pt>
                <c:pt idx="74">
                  <c:v>7.2020000000000989E-3</c:v>
                </c:pt>
                <c:pt idx="75">
                  <c:v>7.2020000000001137E-3</c:v>
                </c:pt>
                <c:pt idx="76">
                  <c:v>7.2020000000001258E-3</c:v>
                </c:pt>
                <c:pt idx="77">
                  <c:v>7.2020000000001371E-3</c:v>
                </c:pt>
                <c:pt idx="78">
                  <c:v>7.202000000000151E-3</c:v>
                </c:pt>
                <c:pt idx="79">
                  <c:v>7.2020000000001614E-3</c:v>
                </c:pt>
                <c:pt idx="80">
                  <c:v>7.2020000000001649E-3</c:v>
                </c:pt>
                <c:pt idx="81">
                  <c:v>7.2020000000001683E-3</c:v>
                </c:pt>
                <c:pt idx="82">
                  <c:v>7.2020000000001683E-3</c:v>
                </c:pt>
                <c:pt idx="83">
                  <c:v>7.2020000000001675E-3</c:v>
                </c:pt>
                <c:pt idx="84">
                  <c:v>7.2020000000001631E-3</c:v>
                </c:pt>
                <c:pt idx="85">
                  <c:v>7.2020000000001597E-3</c:v>
                </c:pt>
                <c:pt idx="86">
                  <c:v>7.2020000000001519E-3</c:v>
                </c:pt>
                <c:pt idx="87">
                  <c:v>7.2020000000001441E-3</c:v>
                </c:pt>
                <c:pt idx="88">
                  <c:v>7.2020000000001345E-3</c:v>
                </c:pt>
                <c:pt idx="89">
                  <c:v>7.202000000000125E-3</c:v>
                </c:pt>
                <c:pt idx="90">
                  <c:v>7.2020000000001128E-3</c:v>
                </c:pt>
                <c:pt idx="91">
                  <c:v>7.2020000000001015E-3</c:v>
                </c:pt>
                <c:pt idx="92">
                  <c:v>7.2020000000000911E-3</c:v>
                </c:pt>
                <c:pt idx="93">
                  <c:v>7.2020000000000755E-3</c:v>
                </c:pt>
                <c:pt idx="94">
                  <c:v>7.2020000000000643E-3</c:v>
                </c:pt>
                <c:pt idx="95">
                  <c:v>7.2020000000000512E-3</c:v>
                </c:pt>
                <c:pt idx="96">
                  <c:v>7.2020000000000374E-3</c:v>
                </c:pt>
                <c:pt idx="97">
                  <c:v>7.2020000000000278E-3</c:v>
                </c:pt>
                <c:pt idx="98">
                  <c:v>7.2020000000000131E-3</c:v>
                </c:pt>
                <c:pt idx="99">
                  <c:v>7.2019999999999992E-3</c:v>
                </c:pt>
                <c:pt idx="100">
                  <c:v>7.2019999999999897E-3</c:v>
                </c:pt>
                <c:pt idx="101">
                  <c:v>7.2019999999999819E-3</c:v>
                </c:pt>
                <c:pt idx="102">
                  <c:v>7.2019999999999749E-3</c:v>
                </c:pt>
                <c:pt idx="103">
                  <c:v>7.201999999999968E-3</c:v>
                </c:pt>
                <c:pt idx="104">
                  <c:v>7.2019999999999593E-3</c:v>
                </c:pt>
                <c:pt idx="105">
                  <c:v>7.2019999999999584E-3</c:v>
                </c:pt>
                <c:pt idx="106">
                  <c:v>7.2019999999999541E-3</c:v>
                </c:pt>
                <c:pt idx="107">
                  <c:v>7.2019999999999524E-3</c:v>
                </c:pt>
                <c:pt idx="108">
                  <c:v>7.2019999999999498E-3</c:v>
                </c:pt>
                <c:pt idx="109">
                  <c:v>7.201999999999948E-3</c:v>
                </c:pt>
                <c:pt idx="110">
                  <c:v>7.201999999999948E-3</c:v>
                </c:pt>
                <c:pt idx="111">
                  <c:v>7.2019999999999506E-3</c:v>
                </c:pt>
                <c:pt idx="112">
                  <c:v>7.201999999999955E-3</c:v>
                </c:pt>
                <c:pt idx="113">
                  <c:v>7.2019999999999576E-3</c:v>
                </c:pt>
                <c:pt idx="114">
                  <c:v>7.2019999999999602E-3</c:v>
                </c:pt>
                <c:pt idx="115">
                  <c:v>7.2019999999999645E-3</c:v>
                </c:pt>
                <c:pt idx="116">
                  <c:v>7.2019999999999706E-3</c:v>
                </c:pt>
                <c:pt idx="117">
                  <c:v>7.201999999999974E-3</c:v>
                </c:pt>
                <c:pt idx="118">
                  <c:v>7.2019999999999793E-3</c:v>
                </c:pt>
                <c:pt idx="119">
                  <c:v>7.2019999999999862E-3</c:v>
                </c:pt>
                <c:pt idx="120">
                  <c:v>7.2019999999999897E-3</c:v>
                </c:pt>
                <c:pt idx="121">
                  <c:v>7.201999999999994E-3</c:v>
                </c:pt>
                <c:pt idx="122">
                  <c:v>7.2020000000000018E-3</c:v>
                </c:pt>
                <c:pt idx="123">
                  <c:v>7.2020000000000061E-3</c:v>
                </c:pt>
                <c:pt idx="124">
                  <c:v>7.2020000000000122E-3</c:v>
                </c:pt>
                <c:pt idx="125">
                  <c:v>7.2020000000000131E-3</c:v>
                </c:pt>
                <c:pt idx="126">
                  <c:v>7.2020000000000174E-3</c:v>
                </c:pt>
                <c:pt idx="127">
                  <c:v>7.2020000000000174E-3</c:v>
                </c:pt>
                <c:pt idx="128">
                  <c:v>7.2020000000000218E-3</c:v>
                </c:pt>
                <c:pt idx="129">
                  <c:v>7.2020000000000252E-3</c:v>
                </c:pt>
                <c:pt idx="130">
                  <c:v>7.2020000000000235E-3</c:v>
                </c:pt>
                <c:pt idx="131">
                  <c:v>7.2020000000000244E-3</c:v>
                </c:pt>
                <c:pt idx="132">
                  <c:v>7.2020000000000226E-3</c:v>
                </c:pt>
                <c:pt idx="133">
                  <c:v>7.2020000000000244E-3</c:v>
                </c:pt>
                <c:pt idx="134">
                  <c:v>7.2020000000000226E-3</c:v>
                </c:pt>
                <c:pt idx="135">
                  <c:v>7.2020000000000209E-3</c:v>
                </c:pt>
                <c:pt idx="136">
                  <c:v>7.2020000000000209E-3</c:v>
                </c:pt>
                <c:pt idx="137">
                  <c:v>7.2020000000000157E-3</c:v>
                </c:pt>
                <c:pt idx="138">
                  <c:v>7.2020000000000096E-3</c:v>
                </c:pt>
                <c:pt idx="139">
                  <c:v>7.2020000000000087E-3</c:v>
                </c:pt>
                <c:pt idx="140">
                  <c:v>7.2020000000000035E-3</c:v>
                </c:pt>
                <c:pt idx="141">
                  <c:v>7.2020000000000027E-3</c:v>
                </c:pt>
                <c:pt idx="142">
                  <c:v>7.2020000000000009E-3</c:v>
                </c:pt>
                <c:pt idx="143">
                  <c:v>7.2020000000000001E-3</c:v>
                </c:pt>
                <c:pt idx="144">
                  <c:v>7.2019999999999931E-3</c:v>
                </c:pt>
                <c:pt idx="145">
                  <c:v>7.2019999999999957E-3</c:v>
                </c:pt>
                <c:pt idx="146">
                  <c:v>7.2019999999999905E-3</c:v>
                </c:pt>
                <c:pt idx="147">
                  <c:v>7.2019999999999853E-3</c:v>
                </c:pt>
                <c:pt idx="148">
                  <c:v>7.2019999999999871E-3</c:v>
                </c:pt>
                <c:pt idx="149">
                  <c:v>7.2019999999999862E-3</c:v>
                </c:pt>
                <c:pt idx="150">
                  <c:v>7.2019999999999871E-3</c:v>
                </c:pt>
                <c:pt idx="151">
                  <c:v>7.2019999999999871E-3</c:v>
                </c:pt>
                <c:pt idx="152">
                  <c:v>7.2019999999999862E-3</c:v>
                </c:pt>
                <c:pt idx="153">
                  <c:v>7.2019999999999923E-3</c:v>
                </c:pt>
                <c:pt idx="154">
                  <c:v>7.2019999999999897E-3</c:v>
                </c:pt>
                <c:pt idx="155">
                  <c:v>7.2019999999999957E-3</c:v>
                </c:pt>
                <c:pt idx="156">
                  <c:v>7.2019999999999923E-3</c:v>
                </c:pt>
                <c:pt idx="157">
                  <c:v>7.2019999999999957E-3</c:v>
                </c:pt>
                <c:pt idx="158">
                  <c:v>7.2020000000000001E-3</c:v>
                </c:pt>
                <c:pt idx="159">
                  <c:v>7.2020000000000027E-3</c:v>
                </c:pt>
                <c:pt idx="160">
                  <c:v>7.202000000000007E-3</c:v>
                </c:pt>
                <c:pt idx="161">
                  <c:v>7.2020000000000087E-3</c:v>
                </c:pt>
                <c:pt idx="162">
                  <c:v>7.2020000000000113E-3</c:v>
                </c:pt>
                <c:pt idx="163">
                  <c:v>7.2020000000000157E-3</c:v>
                </c:pt>
                <c:pt idx="164">
                  <c:v>7.2020000000000209E-3</c:v>
                </c:pt>
                <c:pt idx="165">
                  <c:v>7.2020000000000174E-3</c:v>
                </c:pt>
                <c:pt idx="166">
                  <c:v>7.2020000000000218E-3</c:v>
                </c:pt>
                <c:pt idx="167">
                  <c:v>7.2020000000000235E-3</c:v>
                </c:pt>
                <c:pt idx="168">
                  <c:v>7.2020000000000218E-3</c:v>
                </c:pt>
                <c:pt idx="169">
                  <c:v>7.2020000000000226E-3</c:v>
                </c:pt>
                <c:pt idx="170">
                  <c:v>7.2020000000000235E-3</c:v>
                </c:pt>
                <c:pt idx="171">
                  <c:v>7.2020000000000235E-3</c:v>
                </c:pt>
                <c:pt idx="172">
                  <c:v>7.2020000000000183E-3</c:v>
                </c:pt>
                <c:pt idx="173">
                  <c:v>7.2020000000000174E-3</c:v>
                </c:pt>
                <c:pt idx="174">
                  <c:v>7.2020000000000174E-3</c:v>
                </c:pt>
                <c:pt idx="175">
                  <c:v>7.2020000000000148E-3</c:v>
                </c:pt>
                <c:pt idx="176">
                  <c:v>7.2020000000000105E-3</c:v>
                </c:pt>
                <c:pt idx="177">
                  <c:v>7.2020000000000061E-3</c:v>
                </c:pt>
                <c:pt idx="178">
                  <c:v>7.2020000000000009E-3</c:v>
                </c:pt>
                <c:pt idx="179">
                  <c:v>7.2019999999999949E-3</c:v>
                </c:pt>
                <c:pt idx="180">
                  <c:v>7.2019999999999923E-3</c:v>
                </c:pt>
                <c:pt idx="181">
                  <c:v>7.2019999999999862E-3</c:v>
                </c:pt>
                <c:pt idx="182">
                  <c:v>7.201999999999981E-3</c:v>
                </c:pt>
                <c:pt idx="183">
                  <c:v>7.2019999999999732E-3</c:v>
                </c:pt>
                <c:pt idx="184">
                  <c:v>7.2019999999999697E-3</c:v>
                </c:pt>
                <c:pt idx="185">
                  <c:v>7.2019999999999636E-3</c:v>
                </c:pt>
                <c:pt idx="186">
                  <c:v>7.2019999999999619E-3</c:v>
                </c:pt>
                <c:pt idx="187">
                  <c:v>7.2019999999999558E-3</c:v>
                </c:pt>
                <c:pt idx="188">
                  <c:v>7.201999999999955E-3</c:v>
                </c:pt>
                <c:pt idx="189">
                  <c:v>7.2019999999999541E-3</c:v>
                </c:pt>
                <c:pt idx="190">
                  <c:v>7.2019999999999472E-3</c:v>
                </c:pt>
                <c:pt idx="191">
                  <c:v>7.2019999999999489E-3</c:v>
                </c:pt>
                <c:pt idx="192">
                  <c:v>7.2019999999999463E-3</c:v>
                </c:pt>
                <c:pt idx="193">
                  <c:v>7.2019999999999506E-3</c:v>
                </c:pt>
                <c:pt idx="194">
                  <c:v>7.2019999999999532E-3</c:v>
                </c:pt>
                <c:pt idx="195">
                  <c:v>7.2019999999999576E-3</c:v>
                </c:pt>
                <c:pt idx="196">
                  <c:v>7.2019999999999602E-3</c:v>
                </c:pt>
                <c:pt idx="197">
                  <c:v>7.2019999999999706E-3</c:v>
                </c:pt>
                <c:pt idx="198">
                  <c:v>7.2019999999999775E-3</c:v>
                </c:pt>
                <c:pt idx="199">
                  <c:v>7.2019999999999845E-3</c:v>
                </c:pt>
                <c:pt idx="200">
                  <c:v>7.2019999999999888E-3</c:v>
                </c:pt>
                <c:pt idx="201">
                  <c:v>7.2020000000000035E-3</c:v>
                </c:pt>
                <c:pt idx="202">
                  <c:v>7.2020000000000131E-3</c:v>
                </c:pt>
                <c:pt idx="203">
                  <c:v>7.2020000000000287E-3</c:v>
                </c:pt>
                <c:pt idx="204">
                  <c:v>7.2020000000000348E-3</c:v>
                </c:pt>
                <c:pt idx="205">
                  <c:v>7.2020000000000521E-3</c:v>
                </c:pt>
                <c:pt idx="206">
                  <c:v>7.2020000000000625E-3</c:v>
                </c:pt>
                <c:pt idx="207">
                  <c:v>7.2020000000000729E-3</c:v>
                </c:pt>
                <c:pt idx="208">
                  <c:v>7.2020000000000894E-3</c:v>
                </c:pt>
                <c:pt idx="209">
                  <c:v>7.2020000000001015E-3</c:v>
                </c:pt>
                <c:pt idx="210">
                  <c:v>7.2020000000001128E-3</c:v>
                </c:pt>
                <c:pt idx="211">
                  <c:v>7.2020000000001258E-3</c:v>
                </c:pt>
                <c:pt idx="212">
                  <c:v>7.2020000000001345E-3</c:v>
                </c:pt>
                <c:pt idx="213">
                  <c:v>7.2020000000001467E-3</c:v>
                </c:pt>
                <c:pt idx="214">
                  <c:v>7.2020000000001536E-3</c:v>
                </c:pt>
                <c:pt idx="215">
                  <c:v>7.2020000000001605E-3</c:v>
                </c:pt>
                <c:pt idx="216">
                  <c:v>7.2020000000001666E-3</c:v>
                </c:pt>
                <c:pt idx="217">
                  <c:v>7.2020000000001718E-3</c:v>
                </c:pt>
                <c:pt idx="218">
                  <c:v>7.2020000000001683E-3</c:v>
                </c:pt>
                <c:pt idx="219">
                  <c:v>7.202000000000164E-3</c:v>
                </c:pt>
                <c:pt idx="220">
                  <c:v>7.2020000000001597E-3</c:v>
                </c:pt>
                <c:pt idx="221">
                  <c:v>7.2020000000001597E-3</c:v>
                </c:pt>
                <c:pt idx="222">
                  <c:v>7.2020000000001493E-3</c:v>
                </c:pt>
                <c:pt idx="223">
                  <c:v>7.2020000000001397E-3</c:v>
                </c:pt>
                <c:pt idx="224">
                  <c:v>7.2020000000001293E-3</c:v>
                </c:pt>
                <c:pt idx="225">
                  <c:v>7.2020000000001137E-3</c:v>
                </c:pt>
                <c:pt idx="226">
                  <c:v>7.2020000000000989E-3</c:v>
                </c:pt>
                <c:pt idx="227">
                  <c:v>7.2020000000000773E-3</c:v>
                </c:pt>
                <c:pt idx="228">
                  <c:v>7.2020000000000564E-3</c:v>
                </c:pt>
                <c:pt idx="229">
                  <c:v>7.202000000000033E-3</c:v>
                </c:pt>
                <c:pt idx="230">
                  <c:v>7.2020000000000079E-3</c:v>
                </c:pt>
                <c:pt idx="231">
                  <c:v>7.2019999999999853E-3</c:v>
                </c:pt>
                <c:pt idx="232">
                  <c:v>7.2019999999999576E-3</c:v>
                </c:pt>
                <c:pt idx="233">
                  <c:v>7.2019999999999289E-3</c:v>
                </c:pt>
                <c:pt idx="234">
                  <c:v>7.2019999999999003E-3</c:v>
                </c:pt>
                <c:pt idx="235">
                  <c:v>7.2019999999998717E-3</c:v>
                </c:pt>
                <c:pt idx="236">
                  <c:v>7.2019999999998457E-3</c:v>
                </c:pt>
                <c:pt idx="237">
                  <c:v>7.2019999999998214E-3</c:v>
                </c:pt>
                <c:pt idx="238">
                  <c:v>7.2019999999997928E-3</c:v>
                </c:pt>
                <c:pt idx="239">
                  <c:v>7.2019999999997685E-3</c:v>
                </c:pt>
                <c:pt idx="240">
                  <c:v>7.2019999999997485E-3</c:v>
                </c:pt>
                <c:pt idx="241">
                  <c:v>7.2019999999997225E-3</c:v>
                </c:pt>
                <c:pt idx="242">
                  <c:v>7.2019999999997078E-3</c:v>
                </c:pt>
                <c:pt idx="243">
                  <c:v>7.2019999999996887E-3</c:v>
                </c:pt>
                <c:pt idx="244">
                  <c:v>7.2019999999996731E-3</c:v>
                </c:pt>
                <c:pt idx="245">
                  <c:v>7.2019999999996653E-3</c:v>
                </c:pt>
                <c:pt idx="246">
                  <c:v>7.2019999999996557E-3</c:v>
                </c:pt>
                <c:pt idx="247">
                  <c:v>7.2019999999996575E-3</c:v>
                </c:pt>
                <c:pt idx="248">
                  <c:v>7.2019999999996575E-3</c:v>
                </c:pt>
                <c:pt idx="249">
                  <c:v>7.2019999999996679E-3</c:v>
                </c:pt>
                <c:pt idx="250">
                  <c:v>7.2019999999996774E-3</c:v>
                </c:pt>
                <c:pt idx="251">
                  <c:v>7.2019999999996904E-3</c:v>
                </c:pt>
                <c:pt idx="252">
                  <c:v>7.2019999999997078E-3</c:v>
                </c:pt>
                <c:pt idx="253">
                  <c:v>7.2019999999997364E-3</c:v>
                </c:pt>
                <c:pt idx="254">
                  <c:v>7.2019999999997607E-3</c:v>
                </c:pt>
                <c:pt idx="255">
                  <c:v>7.2019999999997954E-3</c:v>
                </c:pt>
                <c:pt idx="256">
                  <c:v>7.2019999999998301E-3</c:v>
                </c:pt>
                <c:pt idx="257">
                  <c:v>7.2019999999998726E-3</c:v>
                </c:pt>
                <c:pt idx="258">
                  <c:v>7.2019999999999194E-3</c:v>
                </c:pt>
                <c:pt idx="259">
                  <c:v>7.2019999999999662E-3</c:v>
                </c:pt>
                <c:pt idx="260">
                  <c:v>7.2020000000000209E-3</c:v>
                </c:pt>
                <c:pt idx="261">
                  <c:v>7.2020000000000695E-3</c:v>
                </c:pt>
                <c:pt idx="262">
                  <c:v>7.2020000000001232E-3</c:v>
                </c:pt>
                <c:pt idx="263">
                  <c:v>7.2020000000001831E-3</c:v>
                </c:pt>
                <c:pt idx="264">
                  <c:v>7.2020000000002429E-3</c:v>
                </c:pt>
                <c:pt idx="265">
                  <c:v>7.2020000000003036E-3</c:v>
                </c:pt>
                <c:pt idx="266">
                  <c:v>7.2020000000003592E-3</c:v>
                </c:pt>
                <c:pt idx="267">
                  <c:v>7.2020000000004181E-3</c:v>
                </c:pt>
                <c:pt idx="268">
                  <c:v>7.2020000000004728E-3</c:v>
                </c:pt>
                <c:pt idx="269">
                  <c:v>7.2020000000005283E-3</c:v>
                </c:pt>
                <c:pt idx="270">
                  <c:v>7.2020000000005786E-3</c:v>
                </c:pt>
                <c:pt idx="271">
                  <c:v>7.2020000000006254E-3</c:v>
                </c:pt>
                <c:pt idx="272">
                  <c:v>7.2020000000006731E-3</c:v>
                </c:pt>
                <c:pt idx="273">
                  <c:v>7.2020000000007096E-3</c:v>
                </c:pt>
                <c:pt idx="274">
                  <c:v>7.2020000000007399E-3</c:v>
                </c:pt>
                <c:pt idx="275">
                  <c:v>7.202000000000772E-3</c:v>
                </c:pt>
                <c:pt idx="276">
                  <c:v>7.2020000000007954E-3</c:v>
                </c:pt>
                <c:pt idx="277">
                  <c:v>7.202000000000805E-3</c:v>
                </c:pt>
                <c:pt idx="278">
                  <c:v>7.2020000000008137E-3</c:v>
                </c:pt>
                <c:pt idx="279">
                  <c:v>7.2020000000008119E-3</c:v>
                </c:pt>
                <c:pt idx="280">
                  <c:v>7.2020000000008032E-3</c:v>
                </c:pt>
                <c:pt idx="281">
                  <c:v>7.2020000000007824E-3</c:v>
                </c:pt>
                <c:pt idx="282">
                  <c:v>7.2020000000007538E-3</c:v>
                </c:pt>
                <c:pt idx="283">
                  <c:v>7.2020000000007139E-3</c:v>
                </c:pt>
                <c:pt idx="284">
                  <c:v>7.2020000000006697E-3</c:v>
                </c:pt>
                <c:pt idx="285">
                  <c:v>7.202000000000615E-3</c:v>
                </c:pt>
                <c:pt idx="286">
                  <c:v>7.2020000000005508E-3</c:v>
                </c:pt>
                <c:pt idx="287">
                  <c:v>7.2020000000004745E-3</c:v>
                </c:pt>
                <c:pt idx="288">
                  <c:v>7.2020000000003965E-3</c:v>
                </c:pt>
                <c:pt idx="289">
                  <c:v>7.2020000000003045E-3</c:v>
                </c:pt>
                <c:pt idx="290">
                  <c:v>7.202000000000203E-3</c:v>
                </c:pt>
                <c:pt idx="291">
                  <c:v>7.2020000000000946E-3</c:v>
                </c:pt>
                <c:pt idx="292">
                  <c:v>7.2019999999999784E-3</c:v>
                </c:pt>
                <c:pt idx="293">
                  <c:v>7.2019999999998613E-3</c:v>
                </c:pt>
                <c:pt idx="294">
                  <c:v>7.2019999999997425E-3</c:v>
                </c:pt>
                <c:pt idx="295">
                  <c:v>7.2019999999996098E-3</c:v>
                </c:pt>
                <c:pt idx="296">
                  <c:v>7.2019999999994744E-3</c:v>
                </c:pt>
                <c:pt idx="297">
                  <c:v>7.2019999999993383E-3</c:v>
                </c:pt>
                <c:pt idx="298">
                  <c:v>7.2019999999992021E-3</c:v>
                </c:pt>
                <c:pt idx="299">
                  <c:v>7.2019999999990564E-3</c:v>
                </c:pt>
                <c:pt idx="300">
                  <c:v>7.2019999999989202E-3</c:v>
                </c:pt>
                <c:pt idx="301">
                  <c:v>7.2019999999987901E-3</c:v>
                </c:pt>
                <c:pt idx="302">
                  <c:v>7.2019999999986539E-3</c:v>
                </c:pt>
                <c:pt idx="303">
                  <c:v>7.2019999999985264E-3</c:v>
                </c:pt>
                <c:pt idx="304">
                  <c:v>7.2019999999984007E-3</c:v>
                </c:pt>
                <c:pt idx="305">
                  <c:v>7.2019999999982888E-3</c:v>
                </c:pt>
                <c:pt idx="306">
                  <c:v>7.2019999999981795E-3</c:v>
                </c:pt>
                <c:pt idx="307">
                  <c:v>7.2019999999980841E-3</c:v>
                </c:pt>
                <c:pt idx="308">
                  <c:v>7.2019999999979965E-3</c:v>
                </c:pt>
                <c:pt idx="309">
                  <c:v>7.201999999997921E-3</c:v>
                </c:pt>
                <c:pt idx="310">
                  <c:v>7.2019999999978612E-3</c:v>
                </c:pt>
                <c:pt idx="311">
                  <c:v>7.2019999999978134E-3</c:v>
                </c:pt>
                <c:pt idx="312">
                  <c:v>7.2019999999977814E-3</c:v>
                </c:pt>
                <c:pt idx="313">
                  <c:v>7.2019999999977666E-3</c:v>
                </c:pt>
                <c:pt idx="314">
                  <c:v>7.2019999999977692E-3</c:v>
                </c:pt>
                <c:pt idx="315">
                  <c:v>7.2019999999977866E-3</c:v>
                </c:pt>
                <c:pt idx="316">
                  <c:v>7.2019999999978247E-3</c:v>
                </c:pt>
                <c:pt idx="317">
                  <c:v>7.2019999999978846E-3</c:v>
                </c:pt>
                <c:pt idx="318">
                  <c:v>7.2019999999979618E-3</c:v>
                </c:pt>
                <c:pt idx="319">
                  <c:v>7.2019999999980598E-3</c:v>
                </c:pt>
                <c:pt idx="320">
                  <c:v>7.2019999999981777E-3</c:v>
                </c:pt>
                <c:pt idx="321">
                  <c:v>7.2019999999983174E-3</c:v>
                </c:pt>
                <c:pt idx="322">
                  <c:v>7.2019999999984778E-3</c:v>
                </c:pt>
                <c:pt idx="323">
                  <c:v>7.2019999999986539E-3</c:v>
                </c:pt>
                <c:pt idx="324">
                  <c:v>7.2019999999988578E-3</c:v>
                </c:pt>
                <c:pt idx="325">
                  <c:v>7.2019999999990729E-3</c:v>
                </c:pt>
                <c:pt idx="326">
                  <c:v>7.2019999999993079E-3</c:v>
                </c:pt>
                <c:pt idx="327">
                  <c:v>7.2019999999995647E-3</c:v>
                </c:pt>
                <c:pt idx="328">
                  <c:v>7.2019999999998405E-3</c:v>
                </c:pt>
                <c:pt idx="329">
                  <c:v>7.2020000000001267E-3</c:v>
                </c:pt>
                <c:pt idx="330">
                  <c:v>7.2020000000004268E-3</c:v>
                </c:pt>
                <c:pt idx="331">
                  <c:v>7.2020000000007408E-3</c:v>
                </c:pt>
                <c:pt idx="332">
                  <c:v>7.2020000000010695E-3</c:v>
                </c:pt>
                <c:pt idx="333">
                  <c:v>7.2020000000014035E-3</c:v>
                </c:pt>
                <c:pt idx="334">
                  <c:v>7.2020000000017469E-3</c:v>
                </c:pt>
                <c:pt idx="335">
                  <c:v>7.2020000000020982E-3</c:v>
                </c:pt>
                <c:pt idx="336">
                  <c:v>7.2020000000024495E-3</c:v>
                </c:pt>
                <c:pt idx="337">
                  <c:v>7.2020000000028034E-3</c:v>
                </c:pt>
                <c:pt idx="338">
                  <c:v>7.2020000000031564E-3</c:v>
                </c:pt>
                <c:pt idx="339">
                  <c:v>7.2020000000035085E-3</c:v>
                </c:pt>
                <c:pt idx="340">
                  <c:v>7.2020000000038546E-3</c:v>
                </c:pt>
                <c:pt idx="341">
                  <c:v>7.2020000000041868E-3</c:v>
                </c:pt>
                <c:pt idx="342">
                  <c:v>7.2020000000045156E-3</c:v>
                </c:pt>
                <c:pt idx="343">
                  <c:v>7.202000000004833E-3</c:v>
                </c:pt>
                <c:pt idx="344">
                  <c:v>7.2020000000051288E-3</c:v>
                </c:pt>
                <c:pt idx="345">
                  <c:v>7.2020000000054133E-3</c:v>
                </c:pt>
                <c:pt idx="346">
                  <c:v>7.2020000000056735E-3</c:v>
                </c:pt>
                <c:pt idx="347">
                  <c:v>7.2020000000059059E-3</c:v>
                </c:pt>
                <c:pt idx="348">
                  <c:v>7.2020000000061167E-3</c:v>
                </c:pt>
                <c:pt idx="349">
                  <c:v>7.2020000000063015E-3</c:v>
                </c:pt>
                <c:pt idx="350">
                  <c:v>7.2020000000064558E-3</c:v>
                </c:pt>
                <c:pt idx="351">
                  <c:v>7.2020000000065729E-3</c:v>
                </c:pt>
                <c:pt idx="352">
                  <c:v>7.2020000000066562E-3</c:v>
                </c:pt>
                <c:pt idx="353">
                  <c:v>7.2020000000067056E-3</c:v>
                </c:pt>
                <c:pt idx="354">
                  <c:v>7.2020000000067108E-3</c:v>
                </c:pt>
                <c:pt idx="355">
                  <c:v>7.2020000000066805E-3</c:v>
                </c:pt>
                <c:pt idx="356">
                  <c:v>7.2020000000066059E-3</c:v>
                </c:pt>
                <c:pt idx="357">
                  <c:v>7.2020000000064845E-3</c:v>
                </c:pt>
                <c:pt idx="358">
                  <c:v>7.2020000000063275E-3</c:v>
                </c:pt>
                <c:pt idx="359">
                  <c:v>7.2020000000061184E-3</c:v>
                </c:pt>
                <c:pt idx="360">
                  <c:v>7.2020000000058617E-3</c:v>
                </c:pt>
                <c:pt idx="361">
                  <c:v>7.2020000000055599E-3</c:v>
                </c:pt>
                <c:pt idx="362">
                  <c:v>7.2020000000052094E-3</c:v>
                </c:pt>
                <c:pt idx="363">
                  <c:v>7.2020000000048122E-3</c:v>
                </c:pt>
                <c:pt idx="364">
                  <c:v>7.2020000000043664E-3</c:v>
                </c:pt>
                <c:pt idx="365">
                  <c:v>7.2020000000038772E-3</c:v>
                </c:pt>
                <c:pt idx="366">
                  <c:v>7.2020000000033437E-3</c:v>
                </c:pt>
                <c:pt idx="367">
                  <c:v>7.2020000000027557E-3</c:v>
                </c:pt>
                <c:pt idx="368">
                  <c:v>7.2020000000021303E-3</c:v>
                </c:pt>
                <c:pt idx="369">
                  <c:v>7.2020000000014624E-3</c:v>
                </c:pt>
                <c:pt idx="370">
                  <c:v>7.2020000000007503E-3</c:v>
                </c:pt>
                <c:pt idx="371">
                  <c:v>7.2019999999999966E-3</c:v>
                </c:pt>
                <c:pt idx="372">
                  <c:v>7.2019999999992151E-3</c:v>
                </c:pt>
                <c:pt idx="373">
                  <c:v>7.2019999999983928E-3</c:v>
                </c:pt>
                <c:pt idx="374">
                  <c:v>7.2019999999975402E-3</c:v>
                </c:pt>
                <c:pt idx="375">
                  <c:v>7.2019999999966616E-3</c:v>
                </c:pt>
                <c:pt idx="376">
                  <c:v>7.2019999999957639E-3</c:v>
                </c:pt>
                <c:pt idx="377">
                  <c:v>7.2019999999948367E-3</c:v>
                </c:pt>
                <c:pt idx="378">
                  <c:v>7.201999999993893E-3</c:v>
                </c:pt>
                <c:pt idx="379">
                  <c:v>7.2019999999929397E-3</c:v>
                </c:pt>
                <c:pt idx="380">
                  <c:v>7.2019999999919744E-3</c:v>
                </c:pt>
                <c:pt idx="381">
                  <c:v>7.2019999999909977E-3</c:v>
                </c:pt>
                <c:pt idx="382">
                  <c:v>7.2019999999900263E-3</c:v>
                </c:pt>
                <c:pt idx="383">
                  <c:v>7.2019999999890592E-3</c:v>
                </c:pt>
                <c:pt idx="384">
                  <c:v>7.2019999999881042E-3</c:v>
                </c:pt>
                <c:pt idx="385">
                  <c:v>7.2019999999871544E-3</c:v>
                </c:pt>
                <c:pt idx="386">
                  <c:v>7.2019999999862342E-3</c:v>
                </c:pt>
                <c:pt idx="387">
                  <c:v>7.2019999999853304E-3</c:v>
                </c:pt>
                <c:pt idx="388">
                  <c:v>7.2019999999844604E-3</c:v>
                </c:pt>
                <c:pt idx="389">
                  <c:v>7.2019999999836269E-3</c:v>
                </c:pt>
                <c:pt idx="390">
                  <c:v>7.2019999999828263E-3</c:v>
                </c:pt>
                <c:pt idx="391">
                  <c:v>7.2019999999820743E-3</c:v>
                </c:pt>
                <c:pt idx="392">
                  <c:v>7.2019999999813761E-3</c:v>
                </c:pt>
                <c:pt idx="393">
                  <c:v>7.201999999980723E-3</c:v>
                </c:pt>
                <c:pt idx="394">
                  <c:v>7.2019999999801427E-3</c:v>
                </c:pt>
                <c:pt idx="395">
                  <c:v>7.2019999999796205E-3</c:v>
                </c:pt>
                <c:pt idx="396">
                  <c:v>7.2019999999791712E-3</c:v>
                </c:pt>
                <c:pt idx="397">
                  <c:v>7.2019999999787905E-3</c:v>
                </c:pt>
                <c:pt idx="398">
                  <c:v>7.2019999999784964E-3</c:v>
                </c:pt>
                <c:pt idx="399">
                  <c:v>7.2019999999782822E-3</c:v>
                </c:pt>
                <c:pt idx="400">
                  <c:v>7.2019999999781573E-3</c:v>
                </c:pt>
                <c:pt idx="401">
                  <c:v>7.2019999999781287E-3</c:v>
                </c:pt>
                <c:pt idx="402">
                  <c:v>7.201999999978192E-3</c:v>
                </c:pt>
                <c:pt idx="403">
                  <c:v>7.2019999999783507E-3</c:v>
                </c:pt>
                <c:pt idx="404">
                  <c:v>7.2019999999786127E-3</c:v>
                </c:pt>
                <c:pt idx="405">
                  <c:v>7.2019999999789813E-3</c:v>
                </c:pt>
                <c:pt idx="406">
                  <c:v>7.2019999999794592E-3</c:v>
                </c:pt>
                <c:pt idx="407">
                  <c:v>7.201999999980056E-3</c:v>
                </c:pt>
                <c:pt idx="408">
                  <c:v>7.2019999999807481E-3</c:v>
                </c:pt>
                <c:pt idx="409">
                  <c:v>7.2019999999815582E-3</c:v>
                </c:pt>
                <c:pt idx="410">
                  <c:v>7.2019999999824794E-3</c:v>
                </c:pt>
                <c:pt idx="411">
                  <c:v>7.2019999999835141E-3</c:v>
                </c:pt>
                <c:pt idx="412">
                  <c:v>7.2019999999846599E-3</c:v>
                </c:pt>
                <c:pt idx="413">
                  <c:v>7.2019999999859228E-3</c:v>
                </c:pt>
                <c:pt idx="414">
                  <c:v>7.2019999999872932E-3</c:v>
                </c:pt>
                <c:pt idx="415">
                  <c:v>7.2019999999887929E-3</c:v>
                </c:pt>
                <c:pt idx="416">
                  <c:v>7.2019999999903888E-3</c:v>
                </c:pt>
                <c:pt idx="417">
                  <c:v>7.2019999999920932E-3</c:v>
                </c:pt>
                <c:pt idx="418">
                  <c:v>7.2019999999939077E-3</c:v>
                </c:pt>
                <c:pt idx="419">
                  <c:v>7.2019999999958159E-3</c:v>
                </c:pt>
                <c:pt idx="420">
                  <c:v>7.2019999999978239E-3</c:v>
                </c:pt>
                <c:pt idx="421">
                  <c:v>7.2019999999999341E-3</c:v>
                </c:pt>
                <c:pt idx="422">
                  <c:v>7.2020000000021346E-3</c:v>
                </c:pt>
                <c:pt idx="423">
                  <c:v>7.2020000000044149E-3</c:v>
                </c:pt>
                <c:pt idx="424">
                  <c:v>7.202000000006769E-3</c:v>
                </c:pt>
                <c:pt idx="425">
                  <c:v>7.2020000000092045E-3</c:v>
                </c:pt>
                <c:pt idx="426">
                  <c:v>7.2020000000117112E-3</c:v>
                </c:pt>
                <c:pt idx="427">
                  <c:v>7.2020000000142734E-3</c:v>
                </c:pt>
                <c:pt idx="428">
                  <c:v>7.2020000000168841E-3</c:v>
                </c:pt>
                <c:pt idx="429">
                  <c:v>7.2020000000195556E-3</c:v>
                </c:pt>
                <c:pt idx="430">
                  <c:v>7.2020000000222531E-3</c:v>
                </c:pt>
                <c:pt idx="431">
                  <c:v>7.2020000000249784E-3</c:v>
                </c:pt>
                <c:pt idx="432">
                  <c:v>7.2020000000277374E-3</c:v>
                </c:pt>
                <c:pt idx="433">
                  <c:v>7.2020000000305043E-3</c:v>
                </c:pt>
                <c:pt idx="434">
                  <c:v>7.2020000000332695E-3</c:v>
                </c:pt>
                <c:pt idx="435">
                  <c:v>7.2020000000360372E-3</c:v>
                </c:pt>
                <c:pt idx="436">
                  <c:v>7.2020000000387833E-3</c:v>
                </c:pt>
                <c:pt idx="437">
                  <c:v>7.2020000000415077E-3</c:v>
                </c:pt>
                <c:pt idx="438">
                  <c:v>7.2020000000441965E-3</c:v>
                </c:pt>
                <c:pt idx="439">
                  <c:v>7.2020000000468289E-3</c:v>
                </c:pt>
                <c:pt idx="440">
                  <c:v>7.2020000000494327E-3</c:v>
                </c:pt>
                <c:pt idx="441">
                  <c:v>7.2020000000519446E-3</c:v>
                </c:pt>
                <c:pt idx="442">
                  <c:v>7.2020000000543897E-3</c:v>
                </c:pt>
                <c:pt idx="443">
                  <c:v>7.2020000000567524E-3</c:v>
                </c:pt>
                <c:pt idx="444">
                  <c:v>7.2020000000590032E-3</c:v>
                </c:pt>
                <c:pt idx="445">
                  <c:v>7.2020000000611551E-3</c:v>
                </c:pt>
                <c:pt idx="446">
                  <c:v>7.2020000000631761E-3</c:v>
                </c:pt>
                <c:pt idx="447">
                  <c:v>7.2020000000650904E-3</c:v>
                </c:pt>
                <c:pt idx="448">
                  <c:v>7.2020000000668442E-3</c:v>
                </c:pt>
                <c:pt idx="449">
                  <c:v>7.2020000000684618E-3</c:v>
                </c:pt>
                <c:pt idx="450">
                  <c:v>7.2020000000699086E-3</c:v>
                </c:pt>
                <c:pt idx="451">
                  <c:v>7.2020000000711862E-3</c:v>
                </c:pt>
                <c:pt idx="452">
                  <c:v>7.2020000000723042E-3</c:v>
                </c:pt>
                <c:pt idx="453">
                  <c:v>7.2020000000732037E-3</c:v>
                </c:pt>
                <c:pt idx="454">
                  <c:v>7.2020000000739392E-3</c:v>
                </c:pt>
                <c:pt idx="455">
                  <c:v>7.2020000000744362E-3</c:v>
                </c:pt>
                <c:pt idx="456">
                  <c:v>7.2020000000747268E-3</c:v>
                </c:pt>
                <c:pt idx="457">
                  <c:v>7.2020000000748083E-3</c:v>
                </c:pt>
                <c:pt idx="458">
                  <c:v>7.2020000000746617E-3</c:v>
                </c:pt>
                <c:pt idx="459">
                  <c:v>7.2020000000742584E-3</c:v>
                </c:pt>
                <c:pt idx="460">
                  <c:v>7.2020000000736339E-3</c:v>
                </c:pt>
                <c:pt idx="461">
                  <c:v>7.2020000000727275E-3</c:v>
                </c:pt>
                <c:pt idx="462">
                  <c:v>7.2020000000716129E-3</c:v>
                </c:pt>
                <c:pt idx="463">
                  <c:v>7.2020000000701965E-3</c:v>
                </c:pt>
                <c:pt idx="464">
                  <c:v>7.2020000000685485E-3</c:v>
                </c:pt>
                <c:pt idx="465">
                  <c:v>7.2020000000666447E-3</c:v>
                </c:pt>
                <c:pt idx="466">
                  <c:v>7.2020000000644398E-3</c:v>
                </c:pt>
                <c:pt idx="467">
                  <c:v>7.20200000006198E-3</c:v>
                </c:pt>
                <c:pt idx="468">
                  <c:v>7.2020000000592738E-3</c:v>
                </c:pt>
                <c:pt idx="469">
                  <c:v>7.2020000000562598E-3</c:v>
                </c:pt>
                <c:pt idx="470">
                  <c:v>7.2020000000529794E-3</c:v>
                </c:pt>
                <c:pt idx="471">
                  <c:v>7.2020000000494206E-3</c:v>
                </c:pt>
                <c:pt idx="472">
                  <c:v>7.2020000000456129E-3</c:v>
                </c:pt>
                <c:pt idx="473">
                  <c:v>7.2020000000415267E-3</c:v>
                </c:pt>
                <c:pt idx="474">
                  <c:v>7.2020000000371717E-3</c:v>
                </c:pt>
                <c:pt idx="475">
                  <c:v>7.2020000000325634E-3</c:v>
                </c:pt>
                <c:pt idx="476">
                  <c:v>7.2020000000276871E-3</c:v>
                </c:pt>
                <c:pt idx="477">
                  <c:v>7.2020000000225896E-3</c:v>
                </c:pt>
                <c:pt idx="478">
                  <c:v>7.2020000000172276E-3</c:v>
                </c:pt>
                <c:pt idx="479">
                  <c:v>7.2020000000116201E-3</c:v>
                </c:pt>
                <c:pt idx="480">
                  <c:v>7.2020000000057706E-3</c:v>
                </c:pt>
                <c:pt idx="481">
                  <c:v>7.2019999999997251E-3</c:v>
                </c:pt>
                <c:pt idx="482">
                  <c:v>7.201999999993461E-3</c:v>
                </c:pt>
                <c:pt idx="483">
                  <c:v>7.2019999999870018E-3</c:v>
                </c:pt>
                <c:pt idx="484">
                  <c:v>7.2019999999803457E-3</c:v>
                </c:pt>
                <c:pt idx="485">
                  <c:v>7.2019999999734935E-3</c:v>
                </c:pt>
                <c:pt idx="486">
                  <c:v>7.2019999999664661E-3</c:v>
                </c:pt>
                <c:pt idx="487">
                  <c:v>7.2019999999593408E-3</c:v>
                </c:pt>
                <c:pt idx="488">
                  <c:v>7.2019999999520133E-3</c:v>
                </c:pt>
                <c:pt idx="489">
                  <c:v>7.2019999999445947E-3</c:v>
                </c:pt>
                <c:pt idx="490">
                  <c:v>7.2019999999370235E-3</c:v>
                </c:pt>
                <c:pt idx="491">
                  <c:v>7.2019999999294046E-3</c:v>
                </c:pt>
                <c:pt idx="492">
                  <c:v>7.2019999999216903E-3</c:v>
                </c:pt>
                <c:pt idx="493">
                  <c:v>7.2019999999139083E-3</c:v>
                </c:pt>
                <c:pt idx="494">
                  <c:v>7.2019999999060709E-3</c:v>
                </c:pt>
                <c:pt idx="495">
                  <c:v>7.2019999998982091E-3</c:v>
                </c:pt>
                <c:pt idx="496">
                  <c:v>7.2019999998903361E-3</c:v>
                </c:pt>
                <c:pt idx="497">
                  <c:v>7.2019999998824812E-3</c:v>
                </c:pt>
                <c:pt idx="498">
                  <c:v>7.2019999998746498E-3</c:v>
                </c:pt>
                <c:pt idx="499">
                  <c:v>7.2019999998668184E-3</c:v>
                </c:pt>
                <c:pt idx="500">
                  <c:v>7.2019999998591301E-3</c:v>
                </c:pt>
                <c:pt idx="501">
                  <c:v>7.2019999998514973E-3</c:v>
                </c:pt>
                <c:pt idx="502">
                  <c:v>7.2019999998439626E-3</c:v>
                </c:pt>
                <c:pt idx="503">
                  <c:v>7.2019999998365648E-3</c:v>
                </c:pt>
                <c:pt idx="504">
                  <c:v>7.2019999998292903E-3</c:v>
                </c:pt>
                <c:pt idx="505">
                  <c:v>7.201999999822223E-3</c:v>
                </c:pt>
                <c:pt idx="506">
                  <c:v>7.2019999998152884E-3</c:v>
                </c:pt>
                <c:pt idx="507">
                  <c:v>7.2019999998086011E-3</c:v>
                </c:pt>
                <c:pt idx="508">
                  <c:v>7.201999999802141E-3</c:v>
                </c:pt>
                <c:pt idx="509">
                  <c:v>7.201999999795922E-3</c:v>
                </c:pt>
                <c:pt idx="510">
                  <c:v>7.2019999997899363E-3</c:v>
                </c:pt>
                <c:pt idx="511">
                  <c:v>7.2019999997843323E-3</c:v>
                </c:pt>
                <c:pt idx="512">
                  <c:v>7.2019999997789729E-3</c:v>
                </c:pt>
                <c:pt idx="513">
                  <c:v>7.2019999997739413E-3</c:v>
                </c:pt>
                <c:pt idx="514">
                  <c:v>7.2019999997693139E-3</c:v>
                </c:pt>
                <c:pt idx="515">
                  <c:v>7.2019999997649953E-3</c:v>
                </c:pt>
                <c:pt idx="516">
                  <c:v>7.201999999761113E-3</c:v>
                </c:pt>
                <c:pt idx="517">
                  <c:v>7.2019999997576254E-3</c:v>
                </c:pt>
                <c:pt idx="518">
                  <c:v>7.2019999997545566E-3</c:v>
                </c:pt>
                <c:pt idx="519">
                  <c:v>7.2019999997519138E-3</c:v>
                </c:pt>
                <c:pt idx="520">
                  <c:v>7.2019999997497688E-3</c:v>
                </c:pt>
                <c:pt idx="521">
                  <c:v>7.201999999748087E-3</c:v>
                </c:pt>
                <c:pt idx="522">
                  <c:v>7.2019999997469109E-3</c:v>
                </c:pt>
                <c:pt idx="523">
                  <c:v>7.2019999997462074E-3</c:v>
                </c:pt>
                <c:pt idx="524">
                  <c:v>7.2019999997460782E-3</c:v>
                </c:pt>
                <c:pt idx="525">
                  <c:v>7.2019999997464798E-3</c:v>
                </c:pt>
                <c:pt idx="526">
                  <c:v>7.201999999747361E-3</c:v>
                </c:pt>
                <c:pt idx="527">
                  <c:v>7.2019999997488017E-3</c:v>
                </c:pt>
                <c:pt idx="528">
                  <c:v>7.2019999997508938E-3</c:v>
                </c:pt>
                <c:pt idx="529">
                  <c:v>7.201999999753541E-3</c:v>
                </c:pt>
                <c:pt idx="530">
                  <c:v>7.2019999997567702E-3</c:v>
                </c:pt>
                <c:pt idx="531">
                  <c:v>7.201999999760544E-3</c:v>
                </c:pt>
                <c:pt idx="532">
                  <c:v>7.2019999997650309E-3</c:v>
                </c:pt>
                <c:pt idx="533">
                  <c:v>7.2019999997700373E-3</c:v>
                </c:pt>
                <c:pt idx="534">
                  <c:v>7.2019999997757324E-3</c:v>
                </c:pt>
                <c:pt idx="535">
                  <c:v>7.2019999997819661E-3</c:v>
                </c:pt>
                <c:pt idx="536">
                  <c:v>7.2019999997888313E-3</c:v>
                </c:pt>
                <c:pt idx="537">
                  <c:v>7.2019999997964173E-3</c:v>
                </c:pt>
                <c:pt idx="538">
                  <c:v>7.2019999998045219E-3</c:v>
                </c:pt>
                <c:pt idx="539">
                  <c:v>7.2019999998133273E-3</c:v>
                </c:pt>
                <c:pt idx="540">
                  <c:v>7.2019999998226784E-3</c:v>
                </c:pt>
                <c:pt idx="541">
                  <c:v>7.2019999998327103E-3</c:v>
                </c:pt>
                <c:pt idx="542">
                  <c:v>7.2019999998433745E-3</c:v>
                </c:pt>
                <c:pt idx="543">
                  <c:v>7.2019999998545513E-3</c:v>
                </c:pt>
                <c:pt idx="544">
                  <c:v>7.2019999998663882E-3</c:v>
                </c:pt>
                <c:pt idx="545">
                  <c:v>7.2019999998787767E-3</c:v>
                </c:pt>
                <c:pt idx="546">
                  <c:v>7.201999999891795E-3</c:v>
                </c:pt>
                <c:pt idx="547">
                  <c:v>7.2019999999054125E-3</c:v>
                </c:pt>
                <c:pt idx="548">
                  <c:v>7.2019999999195462E-3</c:v>
                </c:pt>
                <c:pt idx="549">
                  <c:v>7.201999999934261E-3</c:v>
                </c:pt>
                <c:pt idx="550">
                  <c:v>7.2019999999494528E-3</c:v>
                </c:pt>
                <c:pt idx="551">
                  <c:v>7.201999999965218E-3</c:v>
                </c:pt>
                <c:pt idx="552">
                  <c:v>7.201999999981501E-3</c:v>
                </c:pt>
                <c:pt idx="553">
                  <c:v>7.2019999999981691E-3</c:v>
                </c:pt>
                <c:pt idx="554">
                  <c:v>7.2020000000154001E-3</c:v>
                </c:pt>
                <c:pt idx="555">
                  <c:v>7.2020000000330318E-3</c:v>
                </c:pt>
                <c:pt idx="556">
                  <c:v>7.202000000051066E-3</c:v>
                </c:pt>
                <c:pt idx="557">
                  <c:v>7.2020000000695963E-3</c:v>
                </c:pt>
                <c:pt idx="558">
                  <c:v>7.2020000000884762E-3</c:v>
                </c:pt>
                <c:pt idx="559">
                  <c:v>7.2020000001076214E-3</c:v>
                </c:pt>
                <c:pt idx="560">
                  <c:v>7.2020000001271588E-3</c:v>
                </c:pt>
                <c:pt idx="561">
                  <c:v>7.2020000001469693E-3</c:v>
                </c:pt>
                <c:pt idx="562">
                  <c:v>7.2020000001671329E-3</c:v>
                </c:pt>
                <c:pt idx="563">
                  <c:v>7.2020000001874473E-3</c:v>
                </c:pt>
                <c:pt idx="564">
                  <c:v>7.2020000002080272E-3</c:v>
                </c:pt>
                <c:pt idx="565">
                  <c:v>7.2020000002288179E-3</c:v>
                </c:pt>
                <c:pt idx="566">
                  <c:v>7.2020000002495669E-3</c:v>
                </c:pt>
                <c:pt idx="567">
                  <c:v>7.2020000002706403E-3</c:v>
                </c:pt>
                <c:pt idx="568">
                  <c:v>7.202000000291706E-3</c:v>
                </c:pt>
                <c:pt idx="569">
                  <c:v>7.20200000031286E-3</c:v>
                </c:pt>
                <c:pt idx="570">
                  <c:v>7.2020000003340792E-3</c:v>
                </c:pt>
                <c:pt idx="571">
                  <c:v>7.2020000003552281E-3</c:v>
                </c:pt>
                <c:pt idx="572">
                  <c:v>7.2020000003763483E-3</c:v>
                </c:pt>
                <c:pt idx="573">
                  <c:v>7.2020000003973489E-3</c:v>
                </c:pt>
                <c:pt idx="574">
                  <c:v>7.2020000004183104E-3</c:v>
                </c:pt>
                <c:pt idx="575">
                  <c:v>7.2020000004390091E-3</c:v>
                </c:pt>
                <c:pt idx="576">
                  <c:v>7.2020000004596324E-3</c:v>
                </c:pt>
                <c:pt idx="577">
                  <c:v>7.2020000004799105E-3</c:v>
                </c:pt>
                <c:pt idx="578">
                  <c:v>7.2020000004999812E-3</c:v>
                </c:pt>
                <c:pt idx="579">
                  <c:v>7.2020000005196018E-3</c:v>
                </c:pt>
                <c:pt idx="580">
                  <c:v>7.2020000005390637E-3</c:v>
                </c:pt>
                <c:pt idx="581">
                  <c:v>7.2020000005581187E-3</c:v>
                </c:pt>
                <c:pt idx="582">
                  <c:v>7.20200000057678E-3</c:v>
                </c:pt>
                <c:pt idx="583">
                  <c:v>7.2020000005948185E-3</c:v>
                </c:pt>
                <c:pt idx="584">
                  <c:v>7.2020000006124806E-3</c:v>
                </c:pt>
                <c:pt idx="585">
                  <c:v>7.2020000006295312E-3</c:v>
                </c:pt>
                <c:pt idx="586">
                  <c:v>7.2020000006461143E-3</c:v>
                </c:pt>
                <c:pt idx="587">
                  <c:v>7.2020000006620807E-3</c:v>
                </c:pt>
                <c:pt idx="588">
                  <c:v>7.2020000006773003E-3</c:v>
                </c:pt>
                <c:pt idx="589">
                  <c:v>7.2020000006918893E-3</c:v>
                </c:pt>
                <c:pt idx="590">
                  <c:v>7.2020000007058643E-3</c:v>
                </c:pt>
                <c:pt idx="591">
                  <c:v>7.2020000007188886E-3</c:v>
                </c:pt>
                <c:pt idx="592">
                  <c:v>7.2020000007313725E-3</c:v>
                </c:pt>
                <c:pt idx="593">
                  <c:v>7.2020000007427774E-3</c:v>
                </c:pt>
                <c:pt idx="594">
                  <c:v>7.2020000007535197E-3</c:v>
                </c:pt>
                <c:pt idx="595">
                  <c:v>7.2020000007632324E-3</c:v>
                </c:pt>
                <c:pt idx="596">
                  <c:v>7.2020000007721905E-3</c:v>
                </c:pt>
                <c:pt idx="597">
                  <c:v>7.2020000007800705E-3</c:v>
                </c:pt>
                <c:pt idx="598">
                  <c:v>7.2020000007871144E-3</c:v>
                </c:pt>
                <c:pt idx="599">
                  <c:v>7.202000000793113E-3</c:v>
                </c:pt>
                <c:pt idx="600">
                  <c:v>7.2020000007980154E-3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65-4E70-B164-F54B84304D58}"/>
            </c:ext>
          </c:extLst>
        </c:ser>
        <c:ser>
          <c:idx val="2"/>
          <c:order val="2"/>
          <c:tx>
            <c:strRef>
              <c:f>MarketFit!$B$16</c:f>
              <c:strCache>
                <c:ptCount val="1"/>
                <c:pt idx="0">
                  <c:v>Marketdata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2"/>
              </a:solidFill>
            </c:spPr>
          </c:marker>
          <c:xVal>
            <c:numRef>
              <c:f>MarketFit!$B$18:$B$26</c:f>
              <c:numCache>
                <c:formatCode>0.00%</c:formatCode>
                <c:ptCount val="9"/>
                <c:pt idx="0">
                  <c:v>-9.9999999999999985E-3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2.5000000000000001E-3</c:v>
                </c:pt>
                <c:pt idx="4">
                  <c:v>5.0000000000000001E-3</c:v>
                </c:pt>
                <c:pt idx="5">
                  <c:v>7.4999999999999997E-3</c:v>
                </c:pt>
                <c:pt idx="6">
                  <c:v>0.01</c:v>
                </c:pt>
                <c:pt idx="7">
                  <c:v>1.4999999999999999E-2</c:v>
                </c:pt>
                <c:pt idx="8">
                  <c:v>0.02</c:v>
                </c:pt>
              </c:numCache>
            </c:numRef>
          </c:xVal>
          <c:yVal>
            <c:numRef>
              <c:f>MarketFit!$C$18:$C$26</c:f>
              <c:numCache>
                <c:formatCode>0.00%</c:formatCode>
                <c:ptCount val="9"/>
                <c:pt idx="0">
                  <c:v>6.8049999999999994E-3</c:v>
                </c:pt>
                <c:pt idx="1">
                  <c:v>6.9089999999999993E-3</c:v>
                </c:pt>
                <c:pt idx="2">
                  <c:v>7.0289999999999988E-3</c:v>
                </c:pt>
                <c:pt idx="3">
                  <c:v>7.1079999999999997E-3</c:v>
                </c:pt>
                <c:pt idx="4">
                  <c:v>7.2019999999999992E-3</c:v>
                </c:pt>
                <c:pt idx="5">
                  <c:v>7.3129999999999992E-3</c:v>
                </c:pt>
                <c:pt idx="6">
                  <c:v>7.4409999999999997E-3</c:v>
                </c:pt>
                <c:pt idx="7">
                  <c:v>7.744E-3</c:v>
                </c:pt>
                <c:pt idx="8">
                  <c:v>8.1019999999999998E-3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865-4E70-B164-F54B84304D58}"/>
            </c:ext>
          </c:extLst>
        </c:ser>
        <c:ser>
          <c:idx val="3"/>
          <c:order val="3"/>
          <c:tx>
            <c:strRef>
              <c:f>MarketFit!$Y$4</c:f>
              <c:strCache>
                <c:ptCount val="1"/>
                <c:pt idx="0">
                  <c:v>SABR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MarketFit!$O$5:$O$605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MarketFit!$Y$5:$Y$605</c:f>
              <c:numCache>
                <c:formatCode>0.00%</c:formatCode>
                <c:ptCount val="601"/>
                <c:pt idx="0">
                  <c:v>6.8199370555888034E-3</c:v>
                </c:pt>
                <c:pt idx="1">
                  <c:v>6.8209115558537153E-3</c:v>
                </c:pt>
                <c:pt idx="2">
                  <c:v>6.8219034880104713E-3</c:v>
                </c:pt>
                <c:pt idx="3">
                  <c:v>6.8229129603888539E-3</c:v>
                </c:pt>
                <c:pt idx="4">
                  <c:v>6.8239400808088957E-3</c:v>
                </c:pt>
                <c:pt idx="5">
                  <c:v>6.8249849565718765E-3</c:v>
                </c:pt>
                <c:pt idx="6">
                  <c:v>6.8260476944513862E-3</c:v>
                </c:pt>
                <c:pt idx="7">
                  <c:v>6.8271284006842028E-3</c:v>
                </c:pt>
                <c:pt idx="8">
                  <c:v>6.8282271809612877E-3</c:v>
                </c:pt>
                <c:pt idx="9">
                  <c:v>6.829344140418604E-3</c:v>
                </c:pt>
                <c:pt idx="10">
                  <c:v>6.8304793836280455E-3</c:v>
                </c:pt>
                <c:pt idx="11">
                  <c:v>6.8316330145881616E-3</c:v>
                </c:pt>
                <c:pt idx="12">
                  <c:v>6.8328051367150498E-3</c:v>
                </c:pt>
                <c:pt idx="13">
                  <c:v>6.8339958528330375E-3</c:v>
                </c:pt>
                <c:pt idx="14">
                  <c:v>6.8352052651655107E-3</c:v>
                </c:pt>
                <c:pt idx="15">
                  <c:v>6.8364334753255648E-3</c:v>
                </c:pt>
                <c:pt idx="16">
                  <c:v>6.8376805843067693E-3</c:v>
                </c:pt>
                <c:pt idx="17">
                  <c:v>6.8389466924738329E-3</c:v>
                </c:pt>
                <c:pt idx="18">
                  <c:v>6.8402318995533212E-3</c:v>
                </c:pt>
                <c:pt idx="19">
                  <c:v>6.8415363046242725E-3</c:v>
                </c:pt>
                <c:pt idx="20">
                  <c:v>6.8428600061089468E-3</c:v>
                </c:pt>
                <c:pt idx="21">
                  <c:v>6.8442031017634259E-3</c:v>
                </c:pt>
                <c:pt idx="22">
                  <c:v>6.8455656886683329E-3</c:v>
                </c:pt>
                <c:pt idx="23">
                  <c:v>6.8469478632194681E-3</c:v>
                </c:pt>
                <c:pt idx="24">
                  <c:v>6.8483497211184897E-3</c:v>
                </c:pt>
                <c:pt idx="25">
                  <c:v>6.849771357363625E-3</c:v>
                </c:pt>
                <c:pt idx="26">
                  <c:v>6.8512128662403709E-3</c:v>
                </c:pt>
                <c:pt idx="27">
                  <c:v>6.8526743413121517E-3</c:v>
                </c:pt>
                <c:pt idx="28">
                  <c:v>6.8541558754111106E-3</c:v>
                </c:pt>
                <c:pt idx="29">
                  <c:v>6.8556575606288604E-3</c:v>
                </c:pt>
                <c:pt idx="30">
                  <c:v>6.8571794883072277E-3</c:v>
                </c:pt>
                <c:pt idx="31">
                  <c:v>6.8587217490290956E-3</c:v>
                </c:pt>
                <c:pt idx="32">
                  <c:v>6.8602844326091901E-3</c:v>
                </c:pt>
                <c:pt idx="33">
                  <c:v>6.8618676280850178E-3</c:v>
                </c:pt>
                <c:pt idx="34">
                  <c:v>6.8634714237077038E-3</c:v>
                </c:pt>
                <c:pt idx="35">
                  <c:v>6.8650959069330138E-3</c:v>
                </c:pt>
                <c:pt idx="36">
                  <c:v>6.8667411644122633E-3</c:v>
                </c:pt>
                <c:pt idx="37">
                  <c:v>6.8684072819834071E-3</c:v>
                </c:pt>
                <c:pt idx="38">
                  <c:v>6.8700943446621549E-3</c:v>
                </c:pt>
                <c:pt idx="39">
                  <c:v>6.8718024366330125E-3</c:v>
                </c:pt>
                <c:pt idx="40">
                  <c:v>6.8735316412405593E-3</c:v>
                </c:pt>
                <c:pt idx="41">
                  <c:v>6.8752820409806797E-3</c:v>
                </c:pt>
                <c:pt idx="42">
                  <c:v>6.8770537174918994E-3</c:v>
                </c:pt>
                <c:pt idx="43">
                  <c:v>6.8788467515466982E-3</c:v>
                </c:pt>
                <c:pt idx="44">
                  <c:v>6.8806612230430872E-3</c:v>
                </c:pt>
                <c:pt idx="45">
                  <c:v>6.8824972109959833E-3</c:v>
                </c:pt>
                <c:pt idx="46">
                  <c:v>6.8843547935289228E-3</c:v>
                </c:pt>
                <c:pt idx="47">
                  <c:v>6.8862340478656964E-3</c:v>
                </c:pt>
                <c:pt idx="48">
                  <c:v>6.8881350503220921E-3</c:v>
                </c:pt>
                <c:pt idx="49">
                  <c:v>6.8900578762977754E-3</c:v>
                </c:pt>
                <c:pt idx="50">
                  <c:v>6.8920026002681706E-3</c:v>
                </c:pt>
                <c:pt idx="51">
                  <c:v>6.8939692957765333E-3</c:v>
                </c:pt>
                <c:pt idx="52">
                  <c:v>6.8959580354260482E-3</c:v>
                </c:pt>
                <c:pt idx="53">
                  <c:v>6.8979688908720211E-3</c:v>
                </c:pt>
                <c:pt idx="54">
                  <c:v>6.9000019328142332E-3</c:v>
                </c:pt>
                <c:pt idx="55">
                  <c:v>6.9020572309892664E-3</c:v>
                </c:pt>
                <c:pt idx="56">
                  <c:v>6.9041348541631544E-3</c:v>
                </c:pt>
                <c:pt idx="57">
                  <c:v>6.9062348701239423E-3</c:v>
                </c:pt>
                <c:pt idx="58">
                  <c:v>6.9083573456743689E-3</c:v>
                </c:pt>
                <c:pt idx="59">
                  <c:v>6.9105023466248605E-3</c:v>
                </c:pt>
                <c:pt idx="60">
                  <c:v>6.9126699377864099E-3</c:v>
                </c:pt>
                <c:pt idx="61">
                  <c:v>6.914860182963686E-3</c:v>
                </c:pt>
                <c:pt idx="62">
                  <c:v>6.9170731449482697E-3</c:v>
                </c:pt>
                <c:pt idx="63">
                  <c:v>6.9193088855120004E-3</c:v>
                </c:pt>
                <c:pt idx="64">
                  <c:v>6.9215674654004144E-3</c:v>
                </c:pt>
                <c:pt idx="65">
                  <c:v>6.9238489443264268E-3</c:v>
                </c:pt>
                <c:pt idx="66">
                  <c:v>6.9261533809639791E-3</c:v>
                </c:pt>
                <c:pt idx="67">
                  <c:v>6.9284808329420052E-3</c:v>
                </c:pt>
                <c:pt idx="68">
                  <c:v>6.9308313568383463E-3</c:v>
                </c:pt>
                <c:pt idx="69">
                  <c:v>6.9332050081740296E-3</c:v>
                </c:pt>
                <c:pt idx="70">
                  <c:v>6.9356018414074511E-3</c:v>
                </c:pt>
                <c:pt idx="71">
                  <c:v>6.9380219099289811E-3</c:v>
                </c:pt>
                <c:pt idx="72">
                  <c:v>6.9404652660553651E-3</c:v>
                </c:pt>
                <c:pt idx="73">
                  <c:v>6.9429319610246334E-3</c:v>
                </c:pt>
                <c:pt idx="74">
                  <c:v>6.9454220449909456E-3</c:v>
                </c:pt>
                <c:pt idx="75">
                  <c:v>6.9479355670196644E-3</c:v>
                </c:pt>
                <c:pt idx="76">
                  <c:v>6.9504725750825667E-3</c:v>
                </c:pt>
                <c:pt idx="77">
                  <c:v>6.9530331160532408E-3</c:v>
                </c:pt>
                <c:pt idx="78">
                  <c:v>6.9556172357026083E-3</c:v>
                </c:pt>
                <c:pt idx="79">
                  <c:v>6.9582249786946321E-3</c:v>
                </c:pt>
                <c:pt idx="80">
                  <c:v>6.9608563885822476E-3</c:v>
                </c:pt>
                <c:pt idx="81">
                  <c:v>6.9635115078032842E-3</c:v>
                </c:pt>
                <c:pt idx="82">
                  <c:v>6.966190377676834E-3</c:v>
                </c:pt>
                <c:pt idx="83">
                  <c:v>6.9688930383994827E-3</c:v>
                </c:pt>
                <c:pt idx="84">
                  <c:v>6.9716195290419926E-3</c:v>
                </c:pt>
                <c:pt idx="85">
                  <c:v>6.9743698875459311E-3</c:v>
                </c:pt>
                <c:pt idx="86">
                  <c:v>6.9771441507206905E-3</c:v>
                </c:pt>
                <c:pt idx="87">
                  <c:v>6.9799423542404454E-3</c:v>
                </c:pt>
                <c:pt idx="88">
                  <c:v>6.9827645326415496E-3</c:v>
                </c:pt>
                <c:pt idx="89">
                  <c:v>6.9856107193198725E-3</c:v>
                </c:pt>
                <c:pt idx="90">
                  <c:v>6.9884809465285093E-3</c:v>
                </c:pt>
                <c:pt idx="91">
                  <c:v>6.991375245375523E-3</c:v>
                </c:pt>
                <c:pt idx="92">
                  <c:v>6.9942936458220282E-3</c:v>
                </c:pt>
                <c:pt idx="93">
                  <c:v>6.9972361766802932E-3</c:v>
                </c:pt>
                <c:pt idx="94">
                  <c:v>7.0002028656120808E-3</c:v>
                </c:pt>
                <c:pt idx="95">
                  <c:v>7.0031937391273171E-3</c:v>
                </c:pt>
                <c:pt idx="96">
                  <c:v>7.0062088225827683E-3</c:v>
                </c:pt>
                <c:pt idx="97">
                  <c:v>7.0092481401808982E-3</c:v>
                </c:pt>
                <c:pt idx="98">
                  <c:v>7.0123117149691527E-3</c:v>
                </c:pt>
                <c:pt idx="99">
                  <c:v>7.0153995688391228E-3</c:v>
                </c:pt>
                <c:pt idx="100">
                  <c:v>7.0185117225260701E-3</c:v>
                </c:pt>
                <c:pt idx="101">
                  <c:v>7.0216481956086466E-3</c:v>
                </c:pt>
                <c:pt idx="102">
                  <c:v>7.0248090065087327E-3</c:v>
                </c:pt>
                <c:pt idx="103">
                  <c:v>7.0279941724916035E-3</c:v>
                </c:pt>
                <c:pt idx="104">
                  <c:v>7.0312037096660271E-3</c:v>
                </c:pt>
                <c:pt idx="105">
                  <c:v>7.0344376329848956E-3</c:v>
                </c:pt>
                <c:pt idx="106">
                  <c:v>7.0376959562456652E-3</c:v>
                </c:pt>
                <c:pt idx="107">
                  <c:v>7.0409786920913216E-3</c:v>
                </c:pt>
                <c:pt idx="108">
                  <c:v>7.0442858520114258E-3</c:v>
                </c:pt>
                <c:pt idx="109">
                  <c:v>7.0476174463432366E-3</c:v>
                </c:pt>
                <c:pt idx="110">
                  <c:v>7.0509734842730855E-3</c:v>
                </c:pt>
                <c:pt idx="111">
                  <c:v>7.0543539738381587E-3</c:v>
                </c:pt>
                <c:pt idx="112">
                  <c:v>7.0577589219280607E-3</c:v>
                </c:pt>
                <c:pt idx="113">
                  <c:v>7.0611883342868147E-3</c:v>
                </c:pt>
                <c:pt idx="114">
                  <c:v>7.0646422155151477E-3</c:v>
                </c:pt>
                <c:pt idx="115">
                  <c:v>7.0681205690727627E-3</c:v>
                </c:pt>
                <c:pt idx="116">
                  <c:v>7.0716233972808757E-3</c:v>
                </c:pt>
                <c:pt idx="117">
                  <c:v>7.0751507013247783E-3</c:v>
                </c:pt>
                <c:pt idx="118">
                  <c:v>7.07870248125701E-3</c:v>
                </c:pt>
                <c:pt idx="119">
                  <c:v>7.082278736000233E-3</c:v>
                </c:pt>
                <c:pt idx="120">
                  <c:v>7.0858794633506406E-3</c:v>
                </c:pt>
                <c:pt idx="121">
                  <c:v>7.0895046599812059E-3</c:v>
                </c:pt>
                <c:pt idx="122">
                  <c:v>7.0931543214453998E-3</c:v>
                </c:pt>
                <c:pt idx="123">
                  <c:v>7.0968284421811705E-3</c:v>
                </c:pt>
                <c:pt idx="124">
                  <c:v>7.1005270155146422E-3</c:v>
                </c:pt>
                <c:pt idx="125">
                  <c:v>7.1042500336644995E-3</c:v>
                </c:pt>
                <c:pt idx="126">
                  <c:v>7.1079974877458901E-3</c:v>
                </c:pt>
                <c:pt idx="127">
                  <c:v>7.1117693677757556E-3</c:v>
                </c:pt>
                <c:pt idx="128">
                  <c:v>7.1155656626764041E-3</c:v>
                </c:pt>
                <c:pt idx="129">
                  <c:v>7.1193863602814446E-3</c:v>
                </c:pt>
                <c:pt idx="130">
                  <c:v>7.1232314473399141E-3</c:v>
                </c:pt>
                <c:pt idx="131">
                  <c:v>7.1271009095219421E-3</c:v>
                </c:pt>
                <c:pt idx="132">
                  <c:v>7.1309947314240297E-3</c:v>
                </c:pt>
                <c:pt idx="133">
                  <c:v>7.1349128965741866E-3</c:v>
                </c:pt>
                <c:pt idx="134">
                  <c:v>7.1388553874382563E-3</c:v>
                </c:pt>
                <c:pt idx="135">
                  <c:v>7.1428221854248925E-3</c:v>
                </c:pt>
                <c:pt idx="136">
                  <c:v>7.1468132708923304E-3</c:v>
                </c:pt>
                <c:pt idx="137">
                  <c:v>7.1508286231540324E-3</c:v>
                </c:pt>
                <c:pt idx="138">
                  <c:v>7.1548682204849124E-3</c:v>
                </c:pt>
                <c:pt idx="139">
                  <c:v>7.1589320401280543E-3</c:v>
                </c:pt>
                <c:pt idx="140">
                  <c:v>7.1630200583008884E-3</c:v>
                </c:pt>
                <c:pt idx="141">
                  <c:v>7.1671322502025962E-3</c:v>
                </c:pt>
                <c:pt idx="142">
                  <c:v>7.1712685900201445E-3</c:v>
                </c:pt>
                <c:pt idx="143">
                  <c:v>7.1754290509352973E-3</c:v>
                </c:pt>
                <c:pt idx="144">
                  <c:v>7.179613605132854E-3</c:v>
                </c:pt>
                <c:pt idx="145">
                  <c:v>7.1838222238063956E-3</c:v>
                </c:pt>
                <c:pt idx="146">
                  <c:v>7.1880548771666511E-3</c:v>
                </c:pt>
                <c:pt idx="147">
                  <c:v>7.1923115344486961E-3</c:v>
                </c:pt>
                <c:pt idx="148">
                  <c:v>7.1965921639197492E-3</c:v>
                </c:pt>
                <c:pt idx="149">
                  <c:v>7.2008967328859594E-3</c:v>
                </c:pt>
                <c:pt idx="150">
                  <c:v>7.2052252077037977E-3</c:v>
                </c:pt>
                <c:pt idx="151">
                  <c:v>7.2095775537823524E-3</c:v>
                </c:pt>
                <c:pt idx="152">
                  <c:v>7.2139537355931189E-3</c:v>
                </c:pt>
                <c:pt idx="153">
                  <c:v>7.2183537166851403E-3</c:v>
                </c:pt>
                <c:pt idx="154">
                  <c:v>7.2227774596836797E-3</c:v>
                </c:pt>
                <c:pt idx="155">
                  <c:v>7.2272249263034619E-3</c:v>
                </c:pt>
                <c:pt idx="156">
                  <c:v>7.2316960773565978E-3</c:v>
                </c:pt>
                <c:pt idx="157">
                  <c:v>7.2361908727618168E-3</c:v>
                </c:pt>
                <c:pt idx="158">
                  <c:v>7.2407092715511589E-3</c:v>
                </c:pt>
                <c:pt idx="159">
                  <c:v>7.2452512318814475E-3</c:v>
                </c:pt>
                <c:pt idx="160">
                  <c:v>7.2498167110408946E-3</c:v>
                </c:pt>
                <c:pt idx="161">
                  <c:v>7.2544056654596772E-3</c:v>
                </c:pt>
                <c:pt idx="162">
                  <c:v>7.2590180507184016E-3</c:v>
                </c:pt>
                <c:pt idx="163">
                  <c:v>7.2636538215574264E-3</c:v>
                </c:pt>
                <c:pt idx="164">
                  <c:v>7.268312931885566E-3</c:v>
                </c:pt>
                <c:pt idx="165">
                  <c:v>7.2729953347902476E-3</c:v>
                </c:pt>
                <c:pt idx="166">
                  <c:v>7.2777009825466393E-3</c:v>
                </c:pt>
                <c:pt idx="167">
                  <c:v>7.2824298266267662E-3</c:v>
                </c:pt>
                <c:pt idx="168">
                  <c:v>7.2871818177095453E-3</c:v>
                </c:pt>
                <c:pt idx="169">
                  <c:v>7.2919569056898292E-3</c:v>
                </c:pt>
                <c:pt idx="170">
                  <c:v>7.2967550396887577E-3</c:v>
                </c:pt>
                <c:pt idx="171">
                  <c:v>7.3015761680627822E-3</c:v>
                </c:pt>
                <c:pt idx="172">
                  <c:v>7.3064202384139623E-3</c:v>
                </c:pt>
                <c:pt idx="173">
                  <c:v>7.3112871975995327E-3</c:v>
                </c:pt>
                <c:pt idx="174">
                  <c:v>7.3161769917418767E-3</c:v>
                </c:pt>
                <c:pt idx="175">
                  <c:v>7.3210895662383733E-3</c:v>
                </c:pt>
                <c:pt idx="176">
                  <c:v>7.3260248657713778E-3</c:v>
                </c:pt>
                <c:pt idx="177">
                  <c:v>7.3309828343181933E-3</c:v>
                </c:pt>
                <c:pt idx="178">
                  <c:v>7.335963415161342E-3</c:v>
                </c:pt>
                <c:pt idx="179">
                  <c:v>7.3409665508982263E-3</c:v>
                </c:pt>
                <c:pt idx="180">
                  <c:v>7.3459921834516332E-3</c:v>
                </c:pt>
                <c:pt idx="181">
                  <c:v>7.3510402540796615E-3</c:v>
                </c:pt>
                <c:pt idx="182">
                  <c:v>7.3561107033858278E-3</c:v>
                </c:pt>
                <c:pt idx="183">
                  <c:v>7.361203471329395E-3</c:v>
                </c:pt>
                <c:pt idx="184">
                  <c:v>7.3663184972355194E-3</c:v>
                </c:pt>
                <c:pt idx="185">
                  <c:v>7.3714557198054824E-3</c:v>
                </c:pt>
                <c:pt idx="186">
                  <c:v>7.3766150771268323E-3</c:v>
                </c:pt>
                <c:pt idx="187">
                  <c:v>7.3817965066836763E-3</c:v>
                </c:pt>
                <c:pt idx="188">
                  <c:v>7.3869999453670199E-3</c:v>
                </c:pt>
                <c:pt idx="189">
                  <c:v>7.3922253294849546E-3</c:v>
                </c:pt>
                <c:pt idx="190">
                  <c:v>7.3974725947727835E-3</c:v>
                </c:pt>
                <c:pt idx="191">
                  <c:v>7.4027416764036345E-3</c:v>
                </c:pt>
                <c:pt idx="192">
                  <c:v>7.4080325089982422E-3</c:v>
                </c:pt>
                <c:pt idx="193">
                  <c:v>7.4133450266356616E-3</c:v>
                </c:pt>
                <c:pt idx="194">
                  <c:v>7.4186791628631614E-3</c:v>
                </c:pt>
                <c:pt idx="195">
                  <c:v>7.4240348507067216E-3</c:v>
                </c:pt>
                <c:pt idx="196">
                  <c:v>7.4294120226810504E-3</c:v>
                </c:pt>
                <c:pt idx="197">
                  <c:v>7.4348106107999818E-3</c:v>
                </c:pt>
                <c:pt idx="198">
                  <c:v>7.4402305465864991E-3</c:v>
                </c:pt>
                <c:pt idx="199">
                  <c:v>7.4456717610830291E-3</c:v>
                </c:pt>
                <c:pt idx="200">
                  <c:v>7.4511341848614941E-3</c:v>
                </c:pt>
                <c:pt idx="201">
                  <c:v>7.4566177480336346E-3</c:v>
                </c:pt>
                <c:pt idx="202">
                  <c:v>7.4621223802607949E-3</c:v>
                </c:pt>
                <c:pt idx="203">
                  <c:v>7.4676480107643394E-3</c:v>
                </c:pt>
                <c:pt idx="204">
                  <c:v>7.4731945683354185E-3</c:v>
                </c:pt>
                <c:pt idx="205">
                  <c:v>7.4787619813451479E-3</c:v>
                </c:pt>
                <c:pt idx="206">
                  <c:v>7.4843501777545783E-3</c:v>
                </c:pt>
                <c:pt idx="207">
                  <c:v>7.4899590851244639E-3</c:v>
                </c:pt>
                <c:pt idx="208">
                  <c:v>7.4955886306254747E-3</c:v>
                </c:pt>
                <c:pt idx="209">
                  <c:v>7.5012387410476862E-3</c:v>
                </c:pt>
                <c:pt idx="210">
                  <c:v>7.5069093428107043E-3</c:v>
                </c:pt>
                <c:pt idx="211">
                  <c:v>7.512600361973285E-3</c:v>
                </c:pt>
                <c:pt idx="212">
                  <c:v>7.5183117242430542E-3</c:v>
                </c:pt>
                <c:pt idx="213">
                  <c:v>7.5240433549862984E-3</c:v>
                </c:pt>
                <c:pt idx="214">
                  <c:v>7.5297951792374675E-3</c:v>
                </c:pt>
                <c:pt idx="215">
                  <c:v>7.5355671217088105E-3</c:v>
                </c:pt>
                <c:pt idx="216">
                  <c:v>7.5413591067999162E-3</c:v>
                </c:pt>
                <c:pt idx="217">
                  <c:v>7.5471710586071409E-3</c:v>
                </c:pt>
                <c:pt idx="218">
                  <c:v>7.5530029009330361E-3</c:v>
                </c:pt>
                <c:pt idx="219">
                  <c:v>7.5588545572956847E-3</c:v>
                </c:pt>
                <c:pt idx="220">
                  <c:v>7.5647259509381056E-3</c:v>
                </c:pt>
                <c:pt idx="221">
                  <c:v>7.5706170048372929E-3</c:v>
                </c:pt>
                <c:pt idx="222">
                  <c:v>7.5765276417135291E-3</c:v>
                </c:pt>
                <c:pt idx="223">
                  <c:v>7.5824577840394695E-3</c:v>
                </c:pt>
                <c:pt idx="224">
                  <c:v>7.5884073540491547E-3</c:v>
                </c:pt>
                <c:pt idx="225">
                  <c:v>7.594376273747018E-3</c:v>
                </c:pt>
                <c:pt idx="226">
                  <c:v>7.6003644649167154E-3</c:v>
                </c:pt>
                <c:pt idx="227">
                  <c:v>7.6063718491301627E-3</c:v>
                </c:pt>
                <c:pt idx="228">
                  <c:v>7.6123983477560152E-3</c:v>
                </c:pt>
                <c:pt idx="229">
                  <c:v>7.6184438819686577E-3</c:v>
                </c:pt>
                <c:pt idx="230">
                  <c:v>7.6245083727565751E-3</c:v>
                </c:pt>
                <c:pt idx="231">
                  <c:v>7.6305917409310942E-3</c:v>
                </c:pt>
                <c:pt idx="232">
                  <c:v>7.6366939071347839E-3</c:v>
                </c:pt>
                <c:pt idx="233">
                  <c:v>7.6428147918498942E-3</c:v>
                </c:pt>
                <c:pt idx="234">
                  <c:v>7.6489543154065909E-3</c:v>
                </c:pt>
                <c:pt idx="235">
                  <c:v>7.6551123979913642E-3</c:v>
                </c:pt>
                <c:pt idx="236">
                  <c:v>7.6612889596550417E-3</c:v>
                </c:pt>
                <c:pt idx="237">
                  <c:v>7.667483920321014E-3</c:v>
                </c:pt>
                <c:pt idx="238">
                  <c:v>7.6736971997931449E-3</c:v>
                </c:pt>
                <c:pt idx="239">
                  <c:v>7.679928717763778E-3</c:v>
                </c:pt>
                <c:pt idx="240">
                  <c:v>7.6861783938216056E-3</c:v>
                </c:pt>
                <c:pt idx="241">
                  <c:v>7.692446147459342E-3</c:v>
                </c:pt>
                <c:pt idx="242">
                  <c:v>7.6987318980815539E-3</c:v>
                </c:pt>
                <c:pt idx="243">
                  <c:v>7.7050355650121315E-3</c:v>
                </c:pt>
                <c:pt idx="244">
                  <c:v>7.7113570675019626E-3</c:v>
                </c:pt>
                <c:pt idx="245">
                  <c:v>7.7176963247362305E-3</c:v>
                </c:pt>
                <c:pt idx="246">
                  <c:v>7.7240532558418788E-3</c:v>
                </c:pt>
                <c:pt idx="247">
                  <c:v>7.7304277798948707E-3</c:v>
                </c:pt>
                <c:pt idx="248">
                  <c:v>7.7368198159273186E-3</c:v>
                </c:pt>
                <c:pt idx="249">
                  <c:v>7.7432292829346799E-3</c:v>
                </c:pt>
                <c:pt idx="250">
                  <c:v>7.7496560998827034E-3</c:v>
                </c:pt>
                <c:pt idx="251">
                  <c:v>7.7561001857144232E-3</c:v>
                </c:pt>
                <c:pt idx="252">
                  <c:v>7.7625614593569694E-3</c:v>
                </c:pt>
                <c:pt idx="253">
                  <c:v>7.769039839728353E-3</c:v>
                </c:pt>
                <c:pt idx="254">
                  <c:v>7.77553524574413E-3</c:v>
                </c:pt>
                <c:pt idx="255">
                  <c:v>7.7820475963240182E-3</c:v>
                </c:pt>
                <c:pt idx="256">
                  <c:v>7.7885768103983866E-3</c:v>
                </c:pt>
                <c:pt idx="257">
                  <c:v>7.7951228069146651E-3</c:v>
                </c:pt>
                <c:pt idx="258">
                  <c:v>7.8016855048437094E-3</c:v>
                </c:pt>
                <c:pt idx="259">
                  <c:v>7.8082648231860147E-3</c:v>
                </c:pt>
                <c:pt idx="260">
                  <c:v>7.8148606809778729E-3</c:v>
                </c:pt>
                <c:pt idx="261">
                  <c:v>7.8214729972974819E-3</c:v>
                </c:pt>
                <c:pt idx="262">
                  <c:v>7.8281016912709247E-3</c:v>
                </c:pt>
                <c:pt idx="263">
                  <c:v>7.8347466820780434E-3</c:v>
                </c:pt>
                <c:pt idx="264">
                  <c:v>7.8414078889582507E-3</c:v>
                </c:pt>
                <c:pt idx="265">
                  <c:v>7.8480852312162799E-3</c:v>
                </c:pt>
                <c:pt idx="266">
                  <c:v>7.8547786282278671E-3</c:v>
                </c:pt>
                <c:pt idx="267">
                  <c:v>7.861487999445204E-3</c:v>
                </c:pt>
                <c:pt idx="268">
                  <c:v>7.8682132644025092E-3</c:v>
                </c:pt>
                <c:pt idx="269">
                  <c:v>7.8749543427213253E-3</c:v>
                </c:pt>
                <c:pt idx="270">
                  <c:v>7.881711154115895E-3</c:v>
                </c:pt>
                <c:pt idx="271">
                  <c:v>7.888483618398362E-3</c:v>
                </c:pt>
                <c:pt idx="272">
                  <c:v>7.8952716554838726E-3</c:v>
                </c:pt>
                <c:pt idx="273">
                  <c:v>7.9020751853955806E-3</c:v>
                </c:pt>
                <c:pt idx="274">
                  <c:v>7.9088941282697434E-3</c:v>
                </c:pt>
                <c:pt idx="275">
                  <c:v>7.9157284043604829E-3</c:v>
                </c:pt>
                <c:pt idx="276">
                  <c:v>7.9225779340446039E-3</c:v>
                </c:pt>
                <c:pt idx="277">
                  <c:v>7.9294426378263352E-3</c:v>
                </c:pt>
                <c:pt idx="278">
                  <c:v>7.9363224363419409E-3</c:v>
                </c:pt>
                <c:pt idx="279">
                  <c:v>7.9432172503642717E-3</c:v>
                </c:pt>
                <c:pt idx="280">
                  <c:v>7.9501270008072202E-3</c:v>
                </c:pt>
                <c:pt idx="281">
                  <c:v>7.9570516087301302E-3</c:v>
                </c:pt>
                <c:pt idx="282">
                  <c:v>7.9639909953420872E-3</c:v>
                </c:pt>
                <c:pt idx="283">
                  <c:v>7.9709450820060861E-3</c:v>
                </c:pt>
                <c:pt idx="284">
                  <c:v>7.9779137902432906E-3</c:v>
                </c:pt>
                <c:pt idx="285">
                  <c:v>7.9848970417370109E-3</c:v>
                </c:pt>
                <c:pt idx="286">
                  <c:v>7.991894758336714E-3</c:v>
                </c:pt>
                <c:pt idx="287">
                  <c:v>7.9989068620619271E-3</c:v>
                </c:pt>
                <c:pt idx="288">
                  <c:v>8.0059332751060679E-3</c:v>
                </c:pt>
                <c:pt idx="289">
                  <c:v>8.0129739198402054E-3</c:v>
                </c:pt>
                <c:pt idx="290">
                  <c:v>8.0200287188167164E-3</c:v>
                </c:pt>
                <c:pt idx="291">
                  <c:v>8.0270975947729344E-3</c:v>
                </c:pt>
                <c:pt idx="292">
                  <c:v>8.0341804706345939E-3</c:v>
                </c:pt>
                <c:pt idx="293">
                  <c:v>8.0412772695193369E-3</c:v>
                </c:pt>
                <c:pt idx="294">
                  <c:v>8.0483879147400829E-3</c:v>
                </c:pt>
                <c:pt idx="295">
                  <c:v>8.0555123298083342E-3</c:v>
                </c:pt>
                <c:pt idx="296">
                  <c:v>8.0626504384373517E-3</c:v>
                </c:pt>
                <c:pt idx="297">
                  <c:v>8.0698021645454268E-3</c:v>
                </c:pt>
                <c:pt idx="298">
                  <c:v>8.0769674322588199E-3</c:v>
                </c:pt>
                <c:pt idx="299">
                  <c:v>8.0841461659148604E-3</c:v>
                </c:pt>
                <c:pt idx="300">
                  <c:v>8.0913382900649304E-3</c:v>
                </c:pt>
                <c:pt idx="301">
                  <c:v>8.098543729477211E-3</c:v>
                </c:pt>
                <c:pt idx="302">
                  <c:v>8.105762409139617E-3</c:v>
                </c:pt>
                <c:pt idx="303">
                  <c:v>8.1129942542624584E-3</c:v>
                </c:pt>
                <c:pt idx="304">
                  <c:v>8.1202391902811116E-3</c:v>
                </c:pt>
                <c:pt idx="305">
                  <c:v>8.1274971428586529E-3</c:v>
                </c:pt>
                <c:pt idx="306">
                  <c:v>8.1347680378883718E-3</c:v>
                </c:pt>
                <c:pt idx="307">
                  <c:v>8.1420518014962608E-3</c:v>
                </c:pt>
                <c:pt idx="308">
                  <c:v>8.1493483600433743E-3</c:v>
                </c:pt>
                <c:pt idx="309">
                  <c:v>8.1566576401282172E-3</c:v>
                </c:pt>
                <c:pt idx="310">
                  <c:v>8.163979568589011E-3</c:v>
                </c:pt>
                <c:pt idx="311">
                  <c:v>8.1713140725058909E-3</c:v>
                </c:pt>
                <c:pt idx="312">
                  <c:v>8.1786610792030558E-3</c:v>
                </c:pt>
                <c:pt idx="313">
                  <c:v>8.186020516250881E-3</c:v>
                </c:pt>
                <c:pt idx="314">
                  <c:v>8.1933923114679459E-3</c:v>
                </c:pt>
                <c:pt idx="315">
                  <c:v>8.2007763929229718E-3</c:v>
                </c:pt>
                <c:pt idx="316">
                  <c:v>8.2081726889367632E-3</c:v>
                </c:pt>
                <c:pt idx="317">
                  <c:v>8.2155811280840499E-3</c:v>
                </c:pt>
                <c:pt idx="318">
                  <c:v>8.223001639195272E-3</c:v>
                </c:pt>
                <c:pt idx="319">
                  <c:v>8.23043415135832E-3</c:v>
                </c:pt>
                <c:pt idx="320">
                  <c:v>8.237878593920259E-3</c:v>
                </c:pt>
                <c:pt idx="321">
                  <c:v>8.2453348964888484E-3</c:v>
                </c:pt>
                <c:pt idx="322">
                  <c:v>8.2528029889342332E-3</c:v>
                </c:pt>
                <c:pt idx="323">
                  <c:v>8.2602828013903663E-3</c:v>
                </c:pt>
                <c:pt idx="324">
                  <c:v>8.267774264256518E-3</c:v>
                </c:pt>
                <c:pt idx="325">
                  <c:v>8.2752773081986447E-3</c:v>
                </c:pt>
                <c:pt idx="326">
                  <c:v>8.2827918641508076E-3</c:v>
                </c:pt>
                <c:pt idx="327">
                  <c:v>8.290317863316422E-3</c:v>
                </c:pt>
                <c:pt idx="328">
                  <c:v>8.2978552371695147E-3</c:v>
                </c:pt>
                <c:pt idx="329">
                  <c:v>8.3054039174559682E-3</c:v>
                </c:pt>
                <c:pt idx="330">
                  <c:v>8.3129638361946409E-3</c:v>
                </c:pt>
                <c:pt idx="331">
                  <c:v>8.3205349256784793E-3</c:v>
                </c:pt>
                <c:pt idx="332">
                  <c:v>8.32811711847555E-3</c:v>
                </c:pt>
                <c:pt idx="333">
                  <c:v>8.3357103474301312E-3</c:v>
                </c:pt>
                <c:pt idx="334">
                  <c:v>8.3433145456635674E-3</c:v>
                </c:pt>
                <c:pt idx="335">
                  <c:v>8.3509296465752725E-3</c:v>
                </c:pt>
                <c:pt idx="336">
                  <c:v>8.3585555838435726E-3</c:v>
                </c:pt>
                <c:pt idx="337">
                  <c:v>8.3661922914265059E-3</c:v>
                </c:pt>
                <c:pt idx="338">
                  <c:v>8.3738397035626865E-3</c:v>
                </c:pt>
                <c:pt idx="339">
                  <c:v>8.3814977547719306E-3</c:v>
                </c:pt>
                <c:pt idx="340">
                  <c:v>8.3891663798560633E-3</c:v>
                </c:pt>
                <c:pt idx="341">
                  <c:v>8.396845513899508E-3</c:v>
                </c:pt>
                <c:pt idx="342">
                  <c:v>8.4045350922699203E-3</c:v>
                </c:pt>
                <c:pt idx="343">
                  <c:v>8.412235050618791E-3</c:v>
                </c:pt>
                <c:pt idx="344">
                  <c:v>8.4199453248819042E-3</c:v>
                </c:pt>
                <c:pt idx="345">
                  <c:v>8.4276658512799519E-3</c:v>
                </c:pt>
                <c:pt idx="346">
                  <c:v>8.4353965663188681E-3</c:v>
                </c:pt>
                <c:pt idx="347">
                  <c:v>8.4431374067903287E-3</c:v>
                </c:pt>
                <c:pt idx="348">
                  <c:v>8.4508883097721126E-3</c:v>
                </c:pt>
                <c:pt idx="349">
                  <c:v>8.4586492126284326E-3</c:v>
                </c:pt>
                <c:pt idx="350">
                  <c:v>8.4664200530102391E-3</c:v>
                </c:pt>
                <c:pt idx="351">
                  <c:v>8.4742007688555342E-3</c:v>
                </c:pt>
                <c:pt idx="352">
                  <c:v>8.4819912983895678E-3</c:v>
                </c:pt>
                <c:pt idx="353">
                  <c:v>8.4897915801250869E-3</c:v>
                </c:pt>
                <c:pt idx="354">
                  <c:v>8.4976015528624438E-3</c:v>
                </c:pt>
                <c:pt idx="355">
                  <c:v>8.5054211556897779E-3</c:v>
                </c:pt>
                <c:pt idx="356">
                  <c:v>8.5132503279831302E-3</c:v>
                </c:pt>
                <c:pt idx="357">
                  <c:v>8.5210890094064851E-3</c:v>
                </c:pt>
                <c:pt idx="358">
                  <c:v>8.5289371399118255E-3</c:v>
                </c:pt>
                <c:pt idx="359">
                  <c:v>8.5367946597391491E-3</c:v>
                </c:pt>
                <c:pt idx="360">
                  <c:v>8.5446615094164537E-3</c:v>
                </c:pt>
                <c:pt idx="361">
                  <c:v>8.5525376297596756E-3</c:v>
                </c:pt>
                <c:pt idx="362">
                  <c:v>8.5604229618726213E-3</c:v>
                </c:pt>
                <c:pt idx="363">
                  <c:v>8.5683174471468636E-3</c:v>
                </c:pt>
                <c:pt idx="364">
                  <c:v>8.5762210272615925E-3</c:v>
                </c:pt>
                <c:pt idx="365">
                  <c:v>8.5841336441834851E-3</c:v>
                </c:pt>
                <c:pt idx="366">
                  <c:v>8.5920552401664817E-3</c:v>
                </c:pt>
                <c:pt idx="367">
                  <c:v>8.5999857577516107E-3</c:v>
                </c:pt>
                <c:pt idx="368">
                  <c:v>8.607925139766737E-3</c:v>
                </c:pt>
                <c:pt idx="369">
                  <c:v>8.6158733293262412E-3</c:v>
                </c:pt>
                <c:pt idx="370">
                  <c:v>8.623830269830832E-3</c:v>
                </c:pt>
                <c:pt idx="371">
                  <c:v>8.6317959049671648E-3</c:v>
                </c:pt>
                <c:pt idx="372">
                  <c:v>8.6397701787075155E-3</c:v>
                </c:pt>
                <c:pt idx="373">
                  <c:v>8.6477530353094231E-3</c:v>
                </c:pt>
                <c:pt idx="374">
                  <c:v>8.6557444193153185E-3</c:v>
                </c:pt>
                <c:pt idx="375">
                  <c:v>8.6637442755521099E-3</c:v>
                </c:pt>
                <c:pt idx="376">
                  <c:v>8.6717525491307318E-3</c:v>
                </c:pt>
                <c:pt idx="377">
                  <c:v>8.6797691854457442E-3</c:v>
                </c:pt>
                <c:pt idx="378">
                  <c:v>8.6877941301748488E-3</c:v>
                </c:pt>
                <c:pt idx="379">
                  <c:v>8.6958273292783751E-3</c:v>
                </c:pt>
                <c:pt idx="380">
                  <c:v>8.7038687289987746E-3</c:v>
                </c:pt>
                <c:pt idx="381">
                  <c:v>8.7119182758601463E-3</c:v>
                </c:pt>
                <c:pt idx="382">
                  <c:v>8.719975916667606E-3</c:v>
                </c:pt>
                <c:pt idx="383">
                  <c:v>8.7280415985067864E-3</c:v>
                </c:pt>
                <c:pt idx="384">
                  <c:v>8.7361152687432213E-3</c:v>
                </c:pt>
                <c:pt idx="385">
                  <c:v>8.7441968750217591E-3</c:v>
                </c:pt>
                <c:pt idx="386">
                  <c:v>8.7522863652659301E-3</c:v>
                </c:pt>
                <c:pt idx="387">
                  <c:v>8.7603836876773145E-3</c:v>
                </c:pt>
                <c:pt idx="388">
                  <c:v>8.7684887907349043E-3</c:v>
                </c:pt>
                <c:pt idx="389">
                  <c:v>8.7766016231944216E-3</c:v>
                </c:pt>
                <c:pt idx="390">
                  <c:v>8.7847221340876074E-3</c:v>
                </c:pt>
                <c:pt idx="391">
                  <c:v>8.7928502727216123E-3</c:v>
                </c:pt>
                <c:pt idx="392">
                  <c:v>8.8009859886781644E-3</c:v>
                </c:pt>
                <c:pt idx="393">
                  <c:v>8.8091292318129236E-3</c:v>
                </c:pt>
                <c:pt idx="394">
                  <c:v>8.8172799522547272E-3</c:v>
                </c:pt>
                <c:pt idx="395">
                  <c:v>8.8254381004047918E-3</c:v>
                </c:pt>
                <c:pt idx="396">
                  <c:v>8.833603626936009E-3</c:v>
                </c:pt>
                <c:pt idx="397">
                  <c:v>8.8417764827920867E-3</c:v>
                </c:pt>
                <c:pt idx="398">
                  <c:v>8.8499566191868433E-3</c:v>
                </c:pt>
                <c:pt idx="399">
                  <c:v>8.8581439876033036E-3</c:v>
                </c:pt>
                <c:pt idx="400">
                  <c:v>8.8663385397929496E-3</c:v>
                </c:pt>
                <c:pt idx="401">
                  <c:v>8.8745402277748877E-3</c:v>
                </c:pt>
                <c:pt idx="402">
                  <c:v>8.8827490038349624E-3</c:v>
                </c:pt>
                <c:pt idx="403">
                  <c:v>8.8909648205249235E-3</c:v>
                </c:pt>
                <c:pt idx="404">
                  <c:v>8.8991876306616056E-3</c:v>
                </c:pt>
                <c:pt idx="405">
                  <c:v>8.9074173873259759E-3</c:v>
                </c:pt>
                <c:pt idx="406">
                  <c:v>8.915654043862303E-3</c:v>
                </c:pt>
                <c:pt idx="407">
                  <c:v>8.9238975538772757E-3</c:v>
                </c:pt>
                <c:pt idx="408">
                  <c:v>8.9321478712390458E-3</c:v>
                </c:pt>
                <c:pt idx="409">
                  <c:v>8.940404950076369E-3</c:v>
                </c:pt>
                <c:pt idx="410">
                  <c:v>8.948668744777644E-3</c:v>
                </c:pt>
                <c:pt idx="411">
                  <c:v>8.9569392099900277E-3</c:v>
                </c:pt>
                <c:pt idx="412">
                  <c:v>8.9652163006184431E-3</c:v>
                </c:pt>
                <c:pt idx="413">
                  <c:v>8.9734999718246878E-3</c:v>
                </c:pt>
                <c:pt idx="414">
                  <c:v>8.9817901790264672E-3</c:v>
                </c:pt>
                <c:pt idx="415">
                  <c:v>8.9900868778963854E-3</c:v>
                </c:pt>
                <c:pt idx="416">
                  <c:v>8.9983900243610707E-3</c:v>
                </c:pt>
                <c:pt idx="417">
                  <c:v>9.006699574600114E-3</c:v>
                </c:pt>
                <c:pt idx="418">
                  <c:v>9.0150154850451424E-3</c:v>
                </c:pt>
                <c:pt idx="419">
                  <c:v>9.0233377123787942E-3</c:v>
                </c:pt>
                <c:pt idx="420">
                  <c:v>9.0316662135337834E-3</c:v>
                </c:pt>
                <c:pt idx="421">
                  <c:v>9.0400009456918454E-3</c:v>
                </c:pt>
                <c:pt idx="422">
                  <c:v>9.0483418662827345E-3</c:v>
                </c:pt>
                <c:pt idx="423">
                  <c:v>9.0566889329832759E-3</c:v>
                </c:pt>
                <c:pt idx="424">
                  <c:v>9.065042103716274E-3</c:v>
                </c:pt>
                <c:pt idx="425">
                  <c:v>9.0734013366495503E-3</c:v>
                </c:pt>
                <c:pt idx="426">
                  <c:v>9.081766590194891E-3</c:v>
                </c:pt>
                <c:pt idx="427">
                  <c:v>9.0901378230070148E-3</c:v>
                </c:pt>
                <c:pt idx="428">
                  <c:v>9.0985149939825632E-3</c:v>
                </c:pt>
                <c:pt idx="429">
                  <c:v>9.1068980622590681E-3</c:v>
                </c:pt>
                <c:pt idx="430">
                  <c:v>9.1152869872138699E-3</c:v>
                </c:pt>
                <c:pt idx="431">
                  <c:v>9.1236817284631091E-3</c:v>
                </c:pt>
                <c:pt idx="432">
                  <c:v>9.1320822458606649E-3</c:v>
                </c:pt>
                <c:pt idx="433">
                  <c:v>9.1404884994971229E-3</c:v>
                </c:pt>
                <c:pt idx="434">
                  <c:v>9.1489004496987051E-3</c:v>
                </c:pt>
                <c:pt idx="435">
                  <c:v>9.1573180570262164E-3</c:v>
                </c:pt>
                <c:pt idx="436">
                  <c:v>9.1657412822739818E-3</c:v>
                </c:pt>
                <c:pt idx="437">
                  <c:v>9.1741700864688049E-3</c:v>
                </c:pt>
                <c:pt idx="438">
                  <c:v>9.1826044308688844E-3</c:v>
                </c:pt>
                <c:pt idx="439">
                  <c:v>9.191044276962745E-3</c:v>
                </c:pt>
                <c:pt idx="440">
                  <c:v>9.1994895864681916E-3</c:v>
                </c:pt>
                <c:pt idx="441">
                  <c:v>9.2079403213312198E-3</c:v>
                </c:pt>
                <c:pt idx="442">
                  <c:v>9.2163964437249699E-3</c:v>
                </c:pt>
                <c:pt idx="443">
                  <c:v>9.2248579160486358E-3</c:v>
                </c:pt>
                <c:pt idx="444">
                  <c:v>9.2333247009263701E-3</c:v>
                </c:pt>
                <c:pt idx="445">
                  <c:v>9.241796761206263E-3</c:v>
                </c:pt>
                <c:pt idx="446">
                  <c:v>9.2502740599592279E-3</c:v>
                </c:pt>
                <c:pt idx="447">
                  <c:v>9.2587565604779522E-3</c:v>
                </c:pt>
                <c:pt idx="448">
                  <c:v>9.2672442262757716E-3</c:v>
                </c:pt>
                <c:pt idx="449">
                  <c:v>9.2757370210856289E-3</c:v>
                </c:pt>
                <c:pt idx="450">
                  <c:v>9.2842349088590424E-3</c:v>
                </c:pt>
                <c:pt idx="451">
                  <c:v>9.2927378537649187E-3</c:v>
                </c:pt>
                <c:pt idx="452">
                  <c:v>9.3012458201885591E-3</c:v>
                </c:pt>
                <c:pt idx="453">
                  <c:v>9.3097587727305562E-3</c:v>
                </c:pt>
                <c:pt idx="454">
                  <c:v>9.3182766762057202E-3</c:v>
                </c:pt>
                <c:pt idx="455">
                  <c:v>9.3267994956419929E-3</c:v>
                </c:pt>
                <c:pt idx="456">
                  <c:v>9.3353271962793669E-3</c:v>
                </c:pt>
                <c:pt idx="457">
                  <c:v>9.3438597435688223E-3</c:v>
                </c:pt>
                <c:pt idx="458">
                  <c:v>9.3523971031712495E-3</c:v>
                </c:pt>
                <c:pt idx="459">
                  <c:v>9.3609392409563681E-3</c:v>
                </c:pt>
                <c:pt idx="460">
                  <c:v>9.3694861230016538E-3</c:v>
                </c:pt>
                <c:pt idx="461">
                  <c:v>9.3780377155912604E-3</c:v>
                </c:pt>
                <c:pt idx="462">
                  <c:v>9.3865939852149482E-3</c:v>
                </c:pt>
                <c:pt idx="463">
                  <c:v>9.3951548985670395E-3</c:v>
                </c:pt>
                <c:pt idx="464">
                  <c:v>9.403720422545286E-3</c:v>
                </c:pt>
                <c:pt idx="465">
                  <c:v>9.4122905242498781E-3</c:v>
                </c:pt>
                <c:pt idx="466">
                  <c:v>9.4208651709823156E-3</c:v>
                </c:pt>
                <c:pt idx="467">
                  <c:v>9.4294443302443617E-3</c:v>
                </c:pt>
                <c:pt idx="468">
                  <c:v>9.4380279697370111E-3</c:v>
                </c:pt>
                <c:pt idx="469">
                  <c:v>9.4466160573593635E-3</c:v>
                </c:pt>
                <c:pt idx="470">
                  <c:v>9.4552085612076321E-3</c:v>
                </c:pt>
                <c:pt idx="471">
                  <c:v>9.4638054495740209E-3</c:v>
                </c:pt>
                <c:pt idx="472">
                  <c:v>9.4724066909457373E-3</c:v>
                </c:pt>
                <c:pt idx="473">
                  <c:v>9.4810122540038531E-3</c:v>
                </c:pt>
                <c:pt idx="474">
                  <c:v>9.4896221076223395E-3</c:v>
                </c:pt>
                <c:pt idx="475">
                  <c:v>9.4982362208669499E-3</c:v>
                </c:pt>
                <c:pt idx="476">
                  <c:v>9.5068545629942089E-3</c:v>
                </c:pt>
                <c:pt idx="477">
                  <c:v>9.5154771034503729E-3</c:v>
                </c:pt>
                <c:pt idx="478">
                  <c:v>9.5241038118703374E-3</c:v>
                </c:pt>
                <c:pt idx="479">
                  <c:v>9.5327346580766619E-3</c:v>
                </c:pt>
                <c:pt idx="480">
                  <c:v>9.5413696120784774E-3</c:v>
                </c:pt>
                <c:pt idx="481">
                  <c:v>9.5500086440704849E-3</c:v>
                </c:pt>
                <c:pt idx="482">
                  <c:v>9.5586517244319255E-3</c:v>
                </c:pt>
                <c:pt idx="483">
                  <c:v>9.5672988237255011E-3</c:v>
                </c:pt>
                <c:pt idx="484">
                  <c:v>9.5759499126964291E-3</c:v>
                </c:pt>
                <c:pt idx="485">
                  <c:v>9.5846049622713616E-3</c:v>
                </c:pt>
                <c:pt idx="486">
                  <c:v>9.5932639435573428E-3</c:v>
                </c:pt>
                <c:pt idx="487">
                  <c:v>9.6019268278408672E-3</c:v>
                </c:pt>
                <c:pt idx="488">
                  <c:v>9.6105935865868058E-3</c:v>
                </c:pt>
                <c:pt idx="489">
                  <c:v>9.6192641914374152E-3</c:v>
                </c:pt>
                <c:pt idx="490">
                  <c:v>9.6279386142113163E-3</c:v>
                </c:pt>
                <c:pt idx="491">
                  <c:v>9.636616826902502E-3</c:v>
                </c:pt>
                <c:pt idx="492">
                  <c:v>9.6452988016793445E-3</c:v>
                </c:pt>
                <c:pt idx="493">
                  <c:v>9.6539845108835655E-3</c:v>
                </c:pt>
                <c:pt idx="494">
                  <c:v>9.6626739270292729E-3</c:v>
                </c:pt>
                <c:pt idx="495">
                  <c:v>9.671367022801941E-3</c:v>
                </c:pt>
                <c:pt idx="496">
                  <c:v>9.6800637710574393E-3</c:v>
                </c:pt>
                <c:pt idx="497">
                  <c:v>9.6887641448210465E-3</c:v>
                </c:pt>
                <c:pt idx="498">
                  <c:v>9.6974681172864712E-3</c:v>
                </c:pt>
                <c:pt idx="499">
                  <c:v>9.7061756618148538E-3</c:v>
                </c:pt>
                <c:pt idx="500">
                  <c:v>9.714886751933818E-3</c:v>
                </c:pt>
                <c:pt idx="501">
                  <c:v>9.7236013613364765E-3</c:v>
                </c:pt>
                <c:pt idx="502">
                  <c:v>9.7323194638804893E-3</c:v>
                </c:pt>
                <c:pt idx="503">
                  <c:v>9.7410410335870921E-3</c:v>
                </c:pt>
                <c:pt idx="504">
                  <c:v>9.7497660446401006E-3</c:v>
                </c:pt>
                <c:pt idx="505">
                  <c:v>9.7584944713850225E-3</c:v>
                </c:pt>
                <c:pt idx="506">
                  <c:v>9.7672262883280406E-3</c:v>
                </c:pt>
                <c:pt idx="507">
                  <c:v>9.7759614701350972E-3</c:v>
                </c:pt>
                <c:pt idx="508">
                  <c:v>9.7846999916309518E-3</c:v>
                </c:pt>
                <c:pt idx="509">
                  <c:v>9.793441827798224E-3</c:v>
                </c:pt>
                <c:pt idx="510">
                  <c:v>9.8021869537764771E-3</c:v>
                </c:pt>
                <c:pt idx="511">
                  <c:v>9.8109353448612574E-3</c:v>
                </c:pt>
                <c:pt idx="512">
                  <c:v>9.8196869765031797E-3</c:v>
                </c:pt>
                <c:pt idx="513">
                  <c:v>9.8284418243070222E-3</c:v>
                </c:pt>
                <c:pt idx="514">
                  <c:v>9.8371998640307511E-3</c:v>
                </c:pt>
                <c:pt idx="515">
                  <c:v>9.8459610715846899E-3</c:v>
                </c:pt>
                <c:pt idx="516">
                  <c:v>9.854725423030496E-3</c:v>
                </c:pt>
                <c:pt idx="517">
                  <c:v>9.8634928945803557E-3</c:v>
                </c:pt>
                <c:pt idx="518">
                  <c:v>9.872263462596011E-3</c:v>
                </c:pt>
                <c:pt idx="519">
                  <c:v>9.8810371035878784E-3</c:v>
                </c:pt>
                <c:pt idx="520">
                  <c:v>9.8898137942141709E-3</c:v>
                </c:pt>
                <c:pt idx="521">
                  <c:v>9.8985935112799652E-3</c:v>
                </c:pt>
                <c:pt idx="522">
                  <c:v>9.9073762317363617E-3</c:v>
                </c:pt>
                <c:pt idx="523">
                  <c:v>9.9161619326795514E-3</c:v>
                </c:pt>
                <c:pt idx="524">
                  <c:v>9.9249505913499726E-3</c:v>
                </c:pt>
                <c:pt idx="525">
                  <c:v>9.9337421851314039E-3</c:v>
                </c:pt>
                <c:pt idx="526">
                  <c:v>9.9425366915501141E-3</c:v>
                </c:pt>
                <c:pt idx="527">
                  <c:v>9.9513340882740071E-3</c:v>
                </c:pt>
                <c:pt idx="528">
                  <c:v>9.9601343531116951E-3</c:v>
                </c:pt>
                <c:pt idx="529">
                  <c:v>9.9689374640117203E-3</c:v>
                </c:pt>
                <c:pt idx="530">
                  <c:v>9.97774339906163E-3</c:v>
                </c:pt>
                <c:pt idx="531">
                  <c:v>9.9865521364871871E-3</c:v>
                </c:pt>
                <c:pt idx="532">
                  <c:v>9.9953636546514582E-3</c:v>
                </c:pt>
                <c:pt idx="533">
                  <c:v>1.0004177932054019E-2</c:v>
                </c:pt>
                <c:pt idx="534">
                  <c:v>1.0012994947330081E-2</c:v>
                </c:pt>
                <c:pt idx="535">
                  <c:v>1.0021814679249709E-2</c:v>
                </c:pt>
                <c:pt idx="536">
                  <c:v>1.0030637106716912E-2</c:v>
                </c:pt>
                <c:pt idx="537">
                  <c:v>1.0039462208768894E-2</c:v>
                </c:pt>
                <c:pt idx="538">
                  <c:v>1.0048289964575177E-2</c:v>
                </c:pt>
                <c:pt idx="539">
                  <c:v>1.0057120353436814E-2</c:v>
                </c:pt>
                <c:pt idx="540">
                  <c:v>1.0065953354785554E-2</c:v>
                </c:pt>
                <c:pt idx="541">
                  <c:v>1.0074788948183045E-2</c:v>
                </c:pt>
                <c:pt idx="542">
                  <c:v>1.0083627113320035E-2</c:v>
                </c:pt>
                <c:pt idx="543">
                  <c:v>1.0092467830015543E-2</c:v>
                </c:pt>
                <c:pt idx="544">
                  <c:v>1.0101311078216111E-2</c:v>
                </c:pt>
                <c:pt idx="545">
                  <c:v>1.0110156837994927E-2</c:v>
                </c:pt>
                <c:pt idx="546">
                  <c:v>1.0119005089551141E-2</c:v>
                </c:pt>
                <c:pt idx="547">
                  <c:v>1.0127855813209017E-2</c:v>
                </c:pt>
                <c:pt idx="548">
                  <c:v>1.0136708989417122E-2</c:v>
                </c:pt>
                <c:pt idx="549">
                  <c:v>1.0145564598747646E-2</c:v>
                </c:pt>
                <c:pt idx="550">
                  <c:v>1.0154422621895547E-2</c:v>
                </c:pt>
                <c:pt idx="551">
                  <c:v>1.0163283039677812E-2</c:v>
                </c:pt>
                <c:pt idx="552">
                  <c:v>1.0172145833032695E-2</c:v>
                </c:pt>
                <c:pt idx="553">
                  <c:v>1.0181010983018955E-2</c:v>
                </c:pt>
                <c:pt idx="554">
                  <c:v>1.0189878470815091E-2</c:v>
                </c:pt>
                <c:pt idx="555">
                  <c:v>1.0198748277718609E-2</c:v>
                </c:pt>
                <c:pt idx="556">
                  <c:v>1.0207620385145262E-2</c:v>
                </c:pt>
                <c:pt idx="557">
                  <c:v>1.0216494774628311E-2</c:v>
                </c:pt>
                <c:pt idx="558">
                  <c:v>1.0225371427817782E-2</c:v>
                </c:pt>
                <c:pt idx="559">
                  <c:v>1.0234250326479722E-2</c:v>
                </c:pt>
                <c:pt idx="560">
                  <c:v>1.0243131452495502E-2</c:v>
                </c:pt>
                <c:pt idx="561">
                  <c:v>1.0252014787861056E-2</c:v>
                </c:pt>
                <c:pt idx="562">
                  <c:v>1.0260900314686162E-2</c:v>
                </c:pt>
                <c:pt idx="563">
                  <c:v>1.0269788015193746E-2</c:v>
                </c:pt>
                <c:pt idx="564">
                  <c:v>1.0278677871719141E-2</c:v>
                </c:pt>
                <c:pt idx="565">
                  <c:v>1.0287569866709386E-2</c:v>
                </c:pt>
                <c:pt idx="566">
                  <c:v>1.0296463982722546E-2</c:v>
                </c:pt>
                <c:pt idx="567">
                  <c:v>1.0305360202426946E-2</c:v>
                </c:pt>
                <c:pt idx="568">
                  <c:v>1.031425850860055E-2</c:v>
                </c:pt>
                <c:pt idx="569">
                  <c:v>1.0323158884130209E-2</c:v>
                </c:pt>
                <c:pt idx="570">
                  <c:v>1.0332061312010978E-2</c:v>
                </c:pt>
                <c:pt idx="571">
                  <c:v>1.0340965775345464E-2</c:v>
                </c:pt>
                <c:pt idx="572">
                  <c:v>1.0349872257343112E-2</c:v>
                </c:pt>
                <c:pt idx="573">
                  <c:v>1.0358780741319542E-2</c:v>
                </c:pt>
                <c:pt idx="574">
                  <c:v>1.036769121069585E-2</c:v>
                </c:pt>
                <c:pt idx="575">
                  <c:v>1.0376603648997968E-2</c:v>
                </c:pt>
                <c:pt idx="576">
                  <c:v>1.0385518039855979E-2</c:v>
                </c:pt>
                <c:pt idx="577">
                  <c:v>1.0394434367003477E-2</c:v>
                </c:pt>
                <c:pt idx="578">
                  <c:v>1.0403352614276867E-2</c:v>
                </c:pt>
                <c:pt idx="579">
                  <c:v>1.0412272765614747E-2</c:v>
                </c:pt>
                <c:pt idx="580">
                  <c:v>1.0421194805057234E-2</c:v>
                </c:pt>
                <c:pt idx="581">
                  <c:v>1.0430118716745358E-2</c:v>
                </c:pt>
                <c:pt idx="582">
                  <c:v>1.0439044484920328E-2</c:v>
                </c:pt>
                <c:pt idx="583">
                  <c:v>1.0447972093923025E-2</c:v>
                </c:pt>
                <c:pt idx="584">
                  <c:v>1.0456901528193206E-2</c:v>
                </c:pt>
                <c:pt idx="585">
                  <c:v>1.0465832772269047E-2</c:v>
                </c:pt>
                <c:pt idx="586">
                  <c:v>1.0474765810786369E-2</c:v>
                </c:pt>
                <c:pt idx="587">
                  <c:v>1.0483700628478093E-2</c:v>
                </c:pt>
                <c:pt idx="588">
                  <c:v>1.0492637210173598E-2</c:v>
                </c:pt>
                <c:pt idx="589">
                  <c:v>1.0501575540798086E-2</c:v>
                </c:pt>
                <c:pt idx="590">
                  <c:v>1.0510515605372006E-2</c:v>
                </c:pt>
                <c:pt idx="591">
                  <c:v>1.0519457389010429E-2</c:v>
                </c:pt>
                <c:pt idx="592">
                  <c:v>1.0528400876922427E-2</c:v>
                </c:pt>
                <c:pt idx="593">
                  <c:v>1.0537346054410477E-2</c:v>
                </c:pt>
                <c:pt idx="594">
                  <c:v>1.0546292906869871E-2</c:v>
                </c:pt>
                <c:pt idx="595">
                  <c:v>1.0555241419788123E-2</c:v>
                </c:pt>
                <c:pt idx="596">
                  <c:v>1.0564191578744385E-2</c:v>
                </c:pt>
                <c:pt idx="597">
                  <c:v>1.057314336940884E-2</c:v>
                </c:pt>
                <c:pt idx="598">
                  <c:v>1.0582096777542106E-2</c:v>
                </c:pt>
                <c:pt idx="599">
                  <c:v>1.05910517889947E-2</c:v>
                </c:pt>
                <c:pt idx="600">
                  <c:v>1.0600008389706423E-2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865-4E70-B164-F54B84304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69888"/>
        <c:axId val="170871808"/>
      </c:scatterChart>
      <c:valAx>
        <c:axId val="170869888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70871808"/>
        <c:crosses val="autoZero"/>
        <c:crossBetween val="midCat"/>
      </c:valAx>
      <c:valAx>
        <c:axId val="170871808"/>
        <c:scaling>
          <c:orientation val="minMax"/>
          <c:max val="8.5000000000000023E-3"/>
          <c:min val="6.0000000000000019E-3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Implied normal volatility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7378526769627581"/>
            </c:manualLayout>
          </c:layout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de-DE"/>
          </a:p>
        </c:txPr>
        <c:crossAx val="170869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6666666666666666E-2"/>
          <c:y val="5.6544476966551398E-2"/>
          <c:w val="0.94548687664041997"/>
          <c:h val="0.1557941620933746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SABR!$C$11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SABR!$C$12:$C$111</c:f>
              <c:numCache>
                <c:formatCode>0.00%</c:formatCode>
                <c:ptCount val="100"/>
                <c:pt idx="0">
                  <c:v>9.9952531385290068E-3</c:v>
                </c:pt>
                <c:pt idx="1">
                  <c:v>9.9957234297874484E-3</c:v>
                </c:pt>
                <c:pt idx="2">
                  <c:v>9.9959075484844437E-3</c:v>
                </c:pt>
                <c:pt idx="3">
                  <c:v>9.9960169167849864E-3</c:v>
                </c:pt>
                <c:pt idx="4">
                  <c:v>9.9960947138740836E-3</c:v>
                </c:pt>
                <c:pt idx="5">
                  <c:v>9.9961557127968403E-3</c:v>
                </c:pt>
                <c:pt idx="6">
                  <c:v>9.9962064413134395E-3</c:v>
                </c:pt>
                <c:pt idx="7">
                  <c:v>9.9962502774828804E-3</c:v>
                </c:pt>
                <c:pt idx="8">
                  <c:v>9.9962891699052168E-3</c:v>
                </c:pt>
                <c:pt idx="9">
                  <c:v>9.9963243356969936E-3</c:v>
                </c:pt>
                <c:pt idx="10">
                  <c:v>9.9963565828454972E-3</c:v>
                </c:pt>
                <c:pt idx="11">
                  <c:v>9.9963864741834177E-3</c:v>
                </c:pt>
                <c:pt idx="12">
                  <c:v>9.9964144173762086E-3</c:v>
                </c:pt>
                <c:pt idx="13">
                  <c:v>9.9964407173032399E-3</c:v>
                </c:pt>
                <c:pt idx="14">
                  <c:v>9.9964656081895642E-3</c:v>
                </c:pt>
                <c:pt idx="15">
                  <c:v>9.9964892741504323E-3</c:v>
                </c:pt>
                <c:pt idx="16">
                  <c:v>9.9965118627379813E-3</c:v>
                </c:pt>
                <c:pt idx="17">
                  <c:v>9.9965334942072031E-3</c:v>
                </c:pt>
                <c:pt idx="18">
                  <c:v>9.9965542680690821E-3</c:v>
                </c:pt>
                <c:pt idx="19">
                  <c:v>9.9965742676444043E-3</c:v>
                </c:pt>
                <c:pt idx="20">
                  <c:v>9.996593563598383E-3</c:v>
                </c:pt>
                <c:pt idx="21">
                  <c:v>9.9966122163938735E-3</c:v>
                </c:pt>
                <c:pt idx="22">
                  <c:v>9.9966302782685812E-3</c:v>
                </c:pt>
                <c:pt idx="23">
                  <c:v>9.9966477947436641E-3</c:v>
                </c:pt>
                <c:pt idx="24">
                  <c:v>9.996664805707E-3</c:v>
                </c:pt>
                <c:pt idx="25">
                  <c:v>9.9966813464093252E-3</c:v>
                </c:pt>
                <c:pt idx="26">
                  <c:v>9.9966974481591787E-3</c:v>
                </c:pt>
                <c:pt idx="27">
                  <c:v>9.9967131389288658E-3</c:v>
                </c:pt>
                <c:pt idx="28">
                  <c:v>9.9967284438254433E-3</c:v>
                </c:pt>
                <c:pt idx="29">
                  <c:v>9.9967433854794181E-3</c:v>
                </c:pt>
                <c:pt idx="30">
                  <c:v>9.9967579844255881E-3</c:v>
                </c:pt>
                <c:pt idx="31">
                  <c:v>9.9967722592785493E-3</c:v>
                </c:pt>
                <c:pt idx="32">
                  <c:v>9.9967862270841212E-3</c:v>
                </c:pt>
                <c:pt idx="33">
                  <c:v>9.9967999034007368E-3</c:v>
                </c:pt>
                <c:pt idx="34">
                  <c:v>9.9968133025319268E-3</c:v>
                </c:pt>
                <c:pt idx="35">
                  <c:v>9.9968264376650573E-3</c:v>
                </c:pt>
                <c:pt idx="36">
                  <c:v>9.9968393209784318E-3</c:v>
                </c:pt>
                <c:pt idx="37">
                  <c:v>9.9968519636888485E-3</c:v>
                </c:pt>
                <c:pt idx="38">
                  <c:v>9.9968643763319407E-3</c:v>
                </c:pt>
                <c:pt idx="39">
                  <c:v>9.9968765685798794E-3</c:v>
                </c:pt>
                <c:pt idx="40">
                  <c:v>9.9968885495491117E-3</c:v>
                </c:pt>
                <c:pt idx="41">
                  <c:v>9.9969003276457816E-3</c:v>
                </c:pt>
                <c:pt idx="42">
                  <c:v>9.9969119108545713E-3</c:v>
                </c:pt>
                <c:pt idx="43">
                  <c:v>9.9969233065878814E-3</c:v>
                </c:pt>
                <c:pt idx="44">
                  <c:v>9.9969345218161119E-3</c:v>
                </c:pt>
                <c:pt idx="45">
                  <c:v>9.9969455630881492E-3</c:v>
                </c:pt>
                <c:pt idx="46">
                  <c:v>9.9969564365614463E-3</c:v>
                </c:pt>
                <c:pt idx="47">
                  <c:v>9.996967148192943E-3</c:v>
                </c:pt>
                <c:pt idx="48">
                  <c:v>9.9969777034530916E-3</c:v>
                </c:pt>
                <c:pt idx="49">
                  <c:v>9.9969881071942691E-3</c:v>
                </c:pt>
                <c:pt idx="50">
                  <c:v>9.9969983646927742E-3</c:v>
                </c:pt>
                <c:pt idx="51">
                  <c:v>9.9970084808076818E-3</c:v>
                </c:pt>
                <c:pt idx="52">
                  <c:v>9.9970184596140828E-3</c:v>
                </c:pt>
                <c:pt idx="53">
                  <c:v>9.997028305510398E-3</c:v>
                </c:pt>
                <c:pt idx="54">
                  <c:v>9.9970380224257208E-3</c:v>
                </c:pt>
                <c:pt idx="55">
                  <c:v>9.9970476141754451E-3</c:v>
                </c:pt>
                <c:pt idx="56">
                  <c:v>9.9970570844360347E-3</c:v>
                </c:pt>
                <c:pt idx="57">
                  <c:v>9.9970664366579483E-3</c:v>
                </c:pt>
                <c:pt idx="58">
                  <c:v>9.9970756741618334E-3</c:v>
                </c:pt>
                <c:pt idx="59">
                  <c:v>9.9970848001230943E-3</c:v>
                </c:pt>
                <c:pt idx="60">
                  <c:v>9.9970938175559555E-3</c:v>
                </c:pt>
                <c:pt idx="61">
                  <c:v>9.997102729362042E-3</c:v>
                </c:pt>
                <c:pt idx="62">
                  <c:v>9.9971115382975848E-3</c:v>
                </c:pt>
                <c:pt idx="63">
                  <c:v>9.9971202470584084E-3</c:v>
                </c:pt>
                <c:pt idx="64">
                  <c:v>9.9971288581613364E-3</c:v>
                </c:pt>
                <c:pt idx="65">
                  <c:v>9.9971373740578053E-3</c:v>
                </c:pt>
                <c:pt idx="66">
                  <c:v>9.9971457971163996E-3</c:v>
                </c:pt>
                <c:pt idx="67">
                  <c:v>9.9971541295930527E-3</c:v>
                </c:pt>
                <c:pt idx="68">
                  <c:v>9.997162373651813E-3</c:v>
                </c:pt>
                <c:pt idx="69">
                  <c:v>9.9971705313851977E-3</c:v>
                </c:pt>
                <c:pt idx="70">
                  <c:v>9.9971786048077983E-3</c:v>
                </c:pt>
                <c:pt idx="71">
                  <c:v>9.9971865958619031E-3</c:v>
                </c:pt>
                <c:pt idx="72">
                  <c:v>9.9971945064121492E-3</c:v>
                </c:pt>
                <c:pt idx="73">
                  <c:v>9.9972023382694005E-3</c:v>
                </c:pt>
                <c:pt idx="74">
                  <c:v>9.9972100931557586E-3</c:v>
                </c:pt>
                <c:pt idx="75">
                  <c:v>9.9972177727630888E-3</c:v>
                </c:pt>
                <c:pt idx="76">
                  <c:v>9.9972253787123516E-3</c:v>
                </c:pt>
                <c:pt idx="77">
                  <c:v>9.9972329125692545E-3</c:v>
                </c:pt>
                <c:pt idx="78">
                  <c:v>9.9972403758338043E-3</c:v>
                </c:pt>
                <c:pt idx="79">
                  <c:v>9.9972477699837876E-3</c:v>
                </c:pt>
                <c:pt idx="80">
                  <c:v>9.9972550964347092E-3</c:v>
                </c:pt>
                <c:pt idx="81">
                  <c:v>9.9972623565558454E-3</c:v>
                </c:pt>
                <c:pt idx="82">
                  <c:v>9.9972695516699871E-3</c:v>
                </c:pt>
                <c:pt idx="83">
                  <c:v>9.997276683076076E-3</c:v>
                </c:pt>
                <c:pt idx="84">
                  <c:v>9.9972837520109614E-3</c:v>
                </c:pt>
                <c:pt idx="85">
                  <c:v>9.9972907596791935E-3</c:v>
                </c:pt>
                <c:pt idx="86">
                  <c:v>9.9972977072510221E-3</c:v>
                </c:pt>
                <c:pt idx="87">
                  <c:v>9.9973045958782619E-3</c:v>
                </c:pt>
                <c:pt idx="88">
                  <c:v>9.9973114266536638E-3</c:v>
                </c:pt>
                <c:pt idx="89">
                  <c:v>9.9973182006540973E-3</c:v>
                </c:pt>
                <c:pt idx="90">
                  <c:v>9.9973249189097453E-3</c:v>
                </c:pt>
                <c:pt idx="91">
                  <c:v>9.9973315824305881E-3</c:v>
                </c:pt>
                <c:pt idx="92">
                  <c:v>9.99733819221112E-3</c:v>
                </c:pt>
                <c:pt idx="93">
                  <c:v>9.9973447491915508E-3</c:v>
                </c:pt>
                <c:pt idx="94">
                  <c:v>9.9973512543129976E-3</c:v>
                </c:pt>
                <c:pt idx="95">
                  <c:v>9.9973577084665616E-3</c:v>
                </c:pt>
                <c:pt idx="96">
                  <c:v>9.9973641125339213E-3</c:v>
                </c:pt>
                <c:pt idx="97">
                  <c:v>9.9973704673742992E-3</c:v>
                </c:pt>
                <c:pt idx="98">
                  <c:v>9.997376773815311E-3</c:v>
                </c:pt>
                <c:pt idx="99">
                  <c:v>9.9973830326648902E-3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48-45B5-B67B-4FA0025CF6A9}"/>
            </c:ext>
          </c:extLst>
        </c:ser>
        <c:ser>
          <c:idx val="1"/>
          <c:order val="1"/>
          <c:tx>
            <c:strRef>
              <c:f>SABR!$D$11</c:f>
              <c:strCache>
                <c:ptCount val="1"/>
                <c:pt idx="0">
                  <c:v>CEV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SABR!$D$12:$D$111</c:f>
              <c:numCache>
                <c:formatCode>0.00%</c:formatCode>
                <c:ptCount val="100"/>
                <c:pt idx="0">
                  <c:v>5.4857013541505534E-3</c:v>
                </c:pt>
                <c:pt idx="1">
                  <c:v>5.8463575917717218E-3</c:v>
                </c:pt>
                <c:pt idx="2">
                  <c:v>6.101714407365076E-3</c:v>
                </c:pt>
                <c:pt idx="3">
                  <c:v>6.3097771959851456E-3</c:v>
                </c:pt>
                <c:pt idx="4">
                  <c:v>6.4896261170909594E-3</c:v>
                </c:pt>
                <c:pt idx="5">
                  <c:v>6.650250475997997E-3</c:v>
                </c:pt>
                <c:pt idx="6">
                  <c:v>6.7967107058345411E-3</c:v>
                </c:pt>
                <c:pt idx="7">
                  <c:v>6.9321823926150172E-3</c:v>
                </c:pt>
                <c:pt idx="8">
                  <c:v>7.058810689045545E-3</c:v>
                </c:pt>
                <c:pt idx="9">
                  <c:v>7.1781241697626182E-3</c:v>
                </c:pt>
                <c:pt idx="10">
                  <c:v>7.2912571196187843E-3</c:v>
                </c:pt>
                <c:pt idx="11">
                  <c:v>7.3990784763657055E-3</c:v>
                </c:pt>
                <c:pt idx="12">
                  <c:v>7.5022712256144668E-3</c:v>
                </c:pt>
                <c:pt idx="13">
                  <c:v>7.6013836765777372E-3</c:v>
                </c:pt>
                <c:pt idx="14">
                  <c:v>7.6968638970617322E-3</c:v>
                </c:pt>
                <c:pt idx="15">
                  <c:v>7.7890836050489428E-3</c:v>
                </c:pt>
                <c:pt idx="16">
                  <c:v>7.8783552094502923E-3</c:v>
                </c:pt>
                <c:pt idx="17">
                  <c:v>7.96494425629613E-3</c:v>
                </c:pt>
                <c:pt idx="18">
                  <c:v>8.0490787081970421E-3</c:v>
                </c:pt>
                <c:pt idx="19">
                  <c:v>8.1309559888647458E-3</c:v>
                </c:pt>
                <c:pt idx="20">
                  <c:v>8.2107484168799528E-3</c:v>
                </c:pt>
                <c:pt idx="21">
                  <c:v>8.2886074570329409E-3</c:v>
                </c:pt>
                <c:pt idx="22">
                  <c:v>8.3646670890219557E-3</c:v>
                </c:pt>
                <c:pt idx="23">
                  <c:v>8.4390465076329343E-3</c:v>
                </c:pt>
                <c:pt idx="24">
                  <c:v>8.5118523095785281E-3</c:v>
                </c:pt>
                <c:pt idx="25">
                  <c:v>8.5831802814225581E-3</c:v>
                </c:pt>
                <c:pt idx="26">
                  <c:v>8.6531168741726082E-3</c:v>
                </c:pt>
                <c:pt idx="27">
                  <c:v>8.7217404288562651E-3</c:v>
                </c:pt>
                <c:pt idx="28">
                  <c:v>8.789122202913344E-3</c:v>
                </c:pt>
                <c:pt idx="29">
                  <c:v>8.8553272353385608E-3</c:v>
                </c:pt>
                <c:pt idx="30">
                  <c:v>8.9204150806508533E-3</c:v>
                </c:pt>
                <c:pt idx="31">
                  <c:v>8.9844404350600537E-3</c:v>
                </c:pt>
                <c:pt idx="32">
                  <c:v>9.0474536737199639E-3</c:v>
                </c:pt>
                <c:pt idx="33">
                  <c:v>9.1095013139012027E-3</c:v>
                </c:pt>
                <c:pt idx="34">
                  <c:v>9.1706264162125465E-3</c:v>
                </c:pt>
                <c:pt idx="35">
                  <c:v>9.2308689338691085E-3</c:v>
                </c:pt>
                <c:pt idx="36">
                  <c:v>9.2902660176162836E-3</c:v>
                </c:pt>
                <c:pt idx="37">
                  <c:v>9.3488522834781086E-3</c:v>
                </c:pt>
                <c:pt idx="38">
                  <c:v>9.4066600484621499E-3</c:v>
                </c:pt>
                <c:pt idx="39">
                  <c:v>9.4637195385664941E-3</c:v>
                </c:pt>
                <c:pt idx="40">
                  <c:v>9.5200590736006473E-3</c:v>
                </c:pt>
                <c:pt idx="41">
                  <c:v>9.5757052312047987E-3</c:v>
                </c:pt>
                <c:pt idx="42">
                  <c:v>9.6306829932252622E-3</c:v>
                </c:pt>
                <c:pt idx="43">
                  <c:v>9.685015876854804E-3</c:v>
                </c:pt>
                <c:pt idx="44">
                  <c:v>9.7387260519362761E-3</c:v>
                </c:pt>
                <c:pt idx="45">
                  <c:v>9.7918344467411555E-3</c:v>
                </c:pt>
                <c:pt idx="46">
                  <c:v>9.8443608429139989E-3</c:v>
                </c:pt>
                <c:pt idx="47">
                  <c:v>9.8963239618272032E-3</c:v>
                </c:pt>
                <c:pt idx="48">
                  <c:v>9.947741542116046E-3</c:v>
                </c:pt>
                <c:pt idx="49">
                  <c:v>9.9986304111598055E-3</c:v>
                </c:pt>
                <c:pt idx="50">
                  <c:v>1.0049006548067962E-2</c:v>
                </c:pt>
                <c:pt idx="51">
                  <c:v>1.0098885143601279E-2</c:v>
                </c:pt>
                <c:pt idx="52">
                  <c:v>1.0148280652783231E-2</c:v>
                </c:pt>
                <c:pt idx="53">
                  <c:v>1.0197206843865176E-2</c:v>
                </c:pt>
                <c:pt idx="54">
                  <c:v>1.0245676843778346E-2</c:v>
                </c:pt>
                <c:pt idx="55">
                  <c:v>1.0293703178332439E-2</c:v>
                </c:pt>
                <c:pt idx="56">
                  <c:v>1.0341297810846212E-2</c:v>
                </c:pt>
                <c:pt idx="57">
                  <c:v>1.0388472176281693E-2</c:v>
                </c:pt>
                <c:pt idx="58">
                  <c:v>1.0435237213684265E-2</c:v>
                </c:pt>
                <c:pt idx="59">
                  <c:v>1.0481603395628276E-2</c:v>
                </c:pt>
                <c:pt idx="60">
                  <c:v>1.052758075566795E-2</c:v>
                </c:pt>
                <c:pt idx="61">
                  <c:v>1.057317891367923E-2</c:v>
                </c:pt>
                <c:pt idx="62">
                  <c:v>1.0618407099273293E-2</c:v>
                </c:pt>
                <c:pt idx="63">
                  <c:v>1.066327417368631E-2</c:v>
                </c:pt>
                <c:pt idx="64">
                  <c:v>1.0707788650003942E-2</c:v>
                </c:pt>
                <c:pt idx="65">
                  <c:v>1.0751958712007152E-2</c:v>
                </c:pt>
                <c:pt idx="66">
                  <c:v>1.0795792231758193E-2</c:v>
                </c:pt>
                <c:pt idx="67">
                  <c:v>1.0839296785939163E-2</c:v>
                </c:pt>
                <c:pt idx="68">
                  <c:v>1.0882479671174504E-2</c:v>
                </c:pt>
                <c:pt idx="69">
                  <c:v>1.0925347918298503E-2</c:v>
                </c:pt>
                <c:pt idx="70">
                  <c:v>1.0967908305699655E-2</c:v>
                </c:pt>
                <c:pt idx="71">
                  <c:v>1.1010167371848796E-2</c:v>
                </c:pt>
                <c:pt idx="72">
                  <c:v>1.1052131427007207E-2</c:v>
                </c:pt>
                <c:pt idx="73">
                  <c:v>1.1093806564229119E-2</c:v>
                </c:pt>
                <c:pt idx="74">
                  <c:v>1.1135198669709821E-2</c:v>
                </c:pt>
                <c:pt idx="75">
                  <c:v>1.1176313432414908E-2</c:v>
                </c:pt>
                <c:pt idx="76">
                  <c:v>1.1217156353328601E-2</c:v>
                </c:pt>
                <c:pt idx="77">
                  <c:v>1.1257732753892613E-2</c:v>
                </c:pt>
                <c:pt idx="78">
                  <c:v>1.1298047784238714E-2</c:v>
                </c:pt>
                <c:pt idx="79">
                  <c:v>1.1338106430686987E-2</c:v>
                </c:pt>
                <c:pt idx="80">
                  <c:v>1.1377913523076131E-2</c:v>
                </c:pt>
                <c:pt idx="81">
                  <c:v>1.1417473741448978E-2</c:v>
                </c:pt>
                <c:pt idx="82">
                  <c:v>1.1456791622502228E-2</c:v>
                </c:pt>
                <c:pt idx="83">
                  <c:v>1.1495871565708204E-2</c:v>
                </c:pt>
                <c:pt idx="84">
                  <c:v>1.1534717839013792E-2</c:v>
                </c:pt>
                <c:pt idx="85">
                  <c:v>1.1573334584252127E-2</c:v>
                </c:pt>
                <c:pt idx="86">
                  <c:v>1.1611725822358115E-2</c:v>
                </c:pt>
                <c:pt idx="87">
                  <c:v>1.1649895458241136E-2</c:v>
                </c:pt>
                <c:pt idx="88">
                  <c:v>1.1687847285375585E-2</c:v>
                </c:pt>
                <c:pt idx="89">
                  <c:v>1.1725584990238043E-2</c:v>
                </c:pt>
                <c:pt idx="90">
                  <c:v>1.1763112156480194E-2</c:v>
                </c:pt>
                <c:pt idx="91">
                  <c:v>1.1800432268911332E-2</c:v>
                </c:pt>
                <c:pt idx="92">
                  <c:v>1.1837548717225053E-2</c:v>
                </c:pt>
                <c:pt idx="93">
                  <c:v>1.1874464799666784E-2</c:v>
                </c:pt>
                <c:pt idx="94">
                  <c:v>1.1911183726375967E-2</c:v>
                </c:pt>
                <c:pt idx="95">
                  <c:v>1.1947708622721407E-2</c:v>
                </c:pt>
                <c:pt idx="96">
                  <c:v>1.1984042532328633E-2</c:v>
                </c:pt>
                <c:pt idx="97">
                  <c:v>1.2020188420089496E-2</c:v>
                </c:pt>
                <c:pt idx="98">
                  <c:v>1.2056149174986413E-2</c:v>
                </c:pt>
                <c:pt idx="99">
                  <c:v>1.2091927612753692E-2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48-45B5-B67B-4FA0025CF6A9}"/>
            </c:ext>
          </c:extLst>
        </c:ser>
        <c:ser>
          <c:idx val="2"/>
          <c:order val="2"/>
          <c:tx>
            <c:strRef>
              <c:f>SABR!$E$11</c:f>
              <c:strCache>
                <c:ptCount val="1"/>
                <c:pt idx="0">
                  <c:v>CEV+SV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SABR!$E$12:$E$111</c:f>
              <c:numCache>
                <c:formatCode>0.00%</c:formatCode>
                <c:ptCount val="100"/>
                <c:pt idx="0">
                  <c:v>1.1575996756887993E-2</c:v>
                </c:pt>
                <c:pt idx="1">
                  <c:v>1.1813303755381024E-2</c:v>
                </c:pt>
                <c:pt idx="2">
                  <c:v>1.192410149112884E-2</c:v>
                </c:pt>
                <c:pt idx="3">
                  <c:v>1.1981196344056451E-2</c:v>
                </c:pt>
                <c:pt idx="4">
                  <c:v>1.2007178906560402E-2</c:v>
                </c:pt>
                <c:pt idx="5">
                  <c:v>1.2012334505531476E-2</c:v>
                </c:pt>
                <c:pt idx="6">
                  <c:v>1.2002327764008624E-2</c:v>
                </c:pt>
                <c:pt idx="7">
                  <c:v>1.1980664480330935E-2</c:v>
                </c:pt>
                <c:pt idx="8">
                  <c:v>1.1949694644762112E-2</c:v>
                </c:pt>
                <c:pt idx="9">
                  <c:v>1.191108875868048E-2</c:v>
                </c:pt>
                <c:pt idx="10">
                  <c:v>1.1866089738014533E-2</c:v>
                </c:pt>
                <c:pt idx="11">
                  <c:v>1.1815657287396171E-2</c:v>
                </c:pt>
                <c:pt idx="12">
                  <c:v>1.17605560100001E-2</c:v>
                </c:pt>
                <c:pt idx="13">
                  <c:v>1.1701411987362645E-2</c:v>
                </c:pt>
                <c:pt idx="14">
                  <c:v>1.1638750693647939E-2</c:v>
                </c:pt>
                <c:pt idx="15">
                  <c:v>1.1573023355254987E-2</c:v>
                </c:pt>
                <c:pt idx="16">
                  <c:v>1.1504625890016683E-2</c:v>
                </c:pt>
                <c:pt idx="17">
                  <c:v>1.1433912934599976E-2</c:v>
                </c:pt>
                <c:pt idx="18">
                  <c:v>1.1361208539299988E-2</c:v>
                </c:pt>
                <c:pt idx="19">
                  <c:v>1.128681455669852E-2</c:v>
                </c:pt>
                <c:pt idx="20">
                  <c:v>1.1211017410388798E-2</c:v>
                </c:pt>
                <c:pt idx="21">
                  <c:v>1.1134093713840332E-2</c:v>
                </c:pt>
                <c:pt idx="22">
                  <c:v>1.1056315068067979E-2</c:v>
                </c:pt>
                <c:pt idx="23">
                  <c:v>1.0977952271387911E-2</c:v>
                </c:pt>
                <c:pt idx="24">
                  <c:v>1.0899279107942436E-2</c:v>
                </c:pt>
                <c:pt idx="25">
                  <c:v>1.0820575833108498E-2</c:v>
                </c:pt>
                <c:pt idx="26">
                  <c:v>1.0742132436407328E-2</c:v>
                </c:pt>
                <c:pt idx="27">
                  <c:v>1.0664251731388519E-2</c:v>
                </c:pt>
                <c:pt idx="28">
                  <c:v>1.0587252293817252E-2</c:v>
                </c:pt>
                <c:pt idx="29">
                  <c:v>1.0511471241859296E-2</c:v>
                </c:pt>
                <c:pt idx="30">
                  <c:v>1.0437266822945967E-2</c:v>
                </c:pt>
                <c:pt idx="31">
                  <c:v>1.0365020740242897E-2</c:v>
                </c:pt>
                <c:pt idx="32">
                  <c:v>1.0295140116352032E-2</c:v>
                </c:pt>
                <c:pt idx="33">
                  <c:v>1.0228058953038341E-2</c:v>
                </c:pt>
                <c:pt idx="34">
                  <c:v>1.0164238904497769E-2</c:v>
                </c:pt>
                <c:pt idx="35">
                  <c:v>1.0104169140645316E-2</c:v>
                </c:pt>
                <c:pt idx="36">
                  <c:v>1.0048365040848189E-2</c:v>
                </c:pt>
                <c:pt idx="37">
                  <c:v>9.9973654347079444E-3</c:v>
                </c:pt>
                <c:pt idx="38">
                  <c:v>9.9517281047898868E-3</c:v>
                </c:pt>
                <c:pt idx="39">
                  <c:v>9.9120232986039444E-3</c:v>
                </c:pt>
                <c:pt idx="40">
                  <c:v>9.8788250762171948E-3</c:v>
                </c:pt>
                <c:pt idx="41">
                  <c:v>9.8527004558104318E-3</c:v>
                </c:pt>
                <c:pt idx="42">
                  <c:v>9.8341965157808121E-3</c:v>
                </c:pt>
                <c:pt idx="43">
                  <c:v>9.8238258603951158E-3</c:v>
                </c:pt>
                <c:pt idx="44">
                  <c:v>9.8220511322417055E-3</c:v>
                </c:pt>
                <c:pt idx="45">
                  <c:v>9.829269517364193E-3</c:v>
                </c:pt>
                <c:pt idx="46">
                  <c:v>9.8457983837607708E-3</c:v>
                </c:pt>
                <c:pt idx="47">
                  <c:v>9.8718632650225419E-3</c:v>
                </c:pt>
                <c:pt idx="48">
                  <c:v>9.9075893069665803E-3</c:v>
                </c:pt>
                <c:pt idx="49">
                  <c:v>9.9529970258650582E-3</c:v>
                </c:pt>
                <c:pt idx="50">
                  <c:v>1.000800281247932E-2</c:v>
                </c:pt>
                <c:pt idx="51">
                  <c:v>1.0072424124331094E-2</c:v>
                </c:pt>
                <c:pt idx="52">
                  <c:v>1.0145988828389914E-2</c:v>
                </c:pt>
                <c:pt idx="53">
                  <c:v>1.0228347773209827E-2</c:v>
                </c:pt>
                <c:pt idx="54">
                  <c:v>1.0319089442614483E-2</c:v>
                </c:pt>
                <c:pt idx="55">
                  <c:v>1.0417755491806058E-2</c:v>
                </c:pt>
                <c:pt idx="56">
                  <c:v>1.0523856071801552E-2</c:v>
                </c:pt>
                <c:pt idx="57">
                  <c:v>1.0636884062959342E-2</c:v>
                </c:pt>
                <c:pt idx="58">
                  <c:v>1.0756327606556922E-2</c:v>
                </c:pt>
                <c:pt idx="59">
                  <c:v>1.088168059354371E-2</c:v>
                </c:pt>
                <c:pt idx="60">
                  <c:v>1.1012451004774404E-2</c:v>
                </c:pt>
                <c:pt idx="61">
                  <c:v>1.1148167177474319E-2</c:v>
                </c:pt>
                <c:pt idx="62">
                  <c:v>1.1288382193631112E-2</c:v>
                </c:pt>
                <c:pt idx="63">
                  <c:v>1.143267665303686E-2</c:v>
                </c:pt>
                <c:pt idx="64">
                  <c:v>1.158066011783687E-2</c:v>
                </c:pt>
                <c:pt idx="65">
                  <c:v>1.1731971509184633E-2</c:v>
                </c:pt>
                <c:pt idx="66">
                  <c:v>1.1886278711424156E-2</c:v>
                </c:pt>
                <c:pt idx="67">
                  <c:v>1.2043277604322644E-2</c:v>
                </c:pt>
                <c:pt idx="68">
                  <c:v>1.2202690705885774E-2</c:v>
                </c:pt>
                <c:pt idx="69">
                  <c:v>1.2364265571504163E-2</c:v>
                </c:pt>
                <c:pt idx="70">
                  <c:v>1.2527773062047947E-2</c:v>
                </c:pt>
                <c:pt idx="71">
                  <c:v>1.2693005565156753E-2</c:v>
                </c:pt>
                <c:pt idx="72">
                  <c:v>1.2859775230602645E-2</c:v>
                </c:pt>
                <c:pt idx="73">
                  <c:v>1.3027912261945421E-2</c:v>
                </c:pt>
                <c:pt idx="74">
                  <c:v>1.3197263292206803E-2</c:v>
                </c:pt>
                <c:pt idx="75">
                  <c:v>1.3367689860308448E-2</c:v>
                </c:pt>
                <c:pt idx="76">
                  <c:v>1.3539066996906487E-2</c:v>
                </c:pt>
                <c:pt idx="77">
                  <c:v>1.371128192241728E-2</c:v>
                </c:pt>
                <c:pt idx="78">
                  <c:v>1.388423285595948E-2</c:v>
                </c:pt>
                <c:pt idx="79">
                  <c:v>1.4057827931210852E-2</c:v>
                </c:pt>
                <c:pt idx="80">
                  <c:v>1.423198421345466E-2</c:v>
                </c:pt>
                <c:pt idx="81">
                  <c:v>1.4406626811100141E-2</c:v>
                </c:pt>
                <c:pt idx="82">
                  <c:v>1.4581688074496743E-2</c:v>
                </c:pt>
                <c:pt idx="83">
                  <c:v>1.4757106874764022E-2</c:v>
                </c:pt>
                <c:pt idx="84">
                  <c:v>1.4932827955510184E-2</c:v>
                </c:pt>
                <c:pt idx="85">
                  <c:v>1.5108801350623671E-2</c:v>
                </c:pt>
                <c:pt idx="86">
                  <c:v>1.5284981861731863E-2</c:v>
                </c:pt>
                <c:pt idx="87">
                  <c:v>1.5461328589382079E-2</c:v>
                </c:pt>
                <c:pt idx="88">
                  <c:v>1.5637804512481489E-2</c:v>
                </c:pt>
                <c:pt idx="89">
                  <c:v>1.581437611101285E-2</c:v>
                </c:pt>
                <c:pt idx="90">
                  <c:v>1.5991013027507151E-2</c:v>
                </c:pt>
                <c:pt idx="91">
                  <c:v>1.6167687763194494E-2</c:v>
                </c:pt>
                <c:pt idx="92">
                  <c:v>1.6344375405164077E-2</c:v>
                </c:pt>
                <c:pt idx="93">
                  <c:v>1.6521053381243024E-2</c:v>
                </c:pt>
                <c:pt idx="94">
                  <c:v>1.6697701239648931E-2</c:v>
                </c:pt>
                <c:pt idx="95">
                  <c:v>1.6874300450784536E-2</c:v>
                </c:pt>
                <c:pt idx="96">
                  <c:v>1.7050834228826178E-2</c:v>
                </c:pt>
                <c:pt idx="97">
                  <c:v>1.7227287371012305E-2</c:v>
                </c:pt>
                <c:pt idx="98">
                  <c:v>1.7403646112765729E-2</c:v>
                </c:pt>
                <c:pt idx="99">
                  <c:v>1.7579897996987809E-2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248-45B5-B67B-4FA0025CF6A9}"/>
            </c:ext>
          </c:extLst>
        </c:ser>
        <c:ser>
          <c:idx val="3"/>
          <c:order val="3"/>
          <c:tx>
            <c:strRef>
              <c:f>SABR!$F$11</c:f>
              <c:strCache>
                <c:ptCount val="1"/>
                <c:pt idx="0">
                  <c:v>CEV+SV+Corr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SABR!$F$12:$F$111</c:f>
              <c:numCache>
                <c:formatCode>0.00%</c:formatCode>
                <c:ptCount val="100"/>
                <c:pt idx="0">
                  <c:v>8.253375718936919E-3</c:v>
                </c:pt>
                <c:pt idx="1">
                  <c:v>8.2497901631760576E-3</c:v>
                </c:pt>
                <c:pt idx="2">
                  <c:v>8.2262970071169412E-3</c:v>
                </c:pt>
                <c:pt idx="3">
                  <c:v>8.1922527805697067E-3</c:v>
                </c:pt>
                <c:pt idx="4">
                  <c:v>8.1512051348458705E-3</c:v>
                </c:pt>
                <c:pt idx="5">
                  <c:v>8.1050822446301334E-3</c:v>
                </c:pt>
                <c:pt idx="6">
                  <c:v>8.0551153150498229E-3</c:v>
                </c:pt>
                <c:pt idx="7">
                  <c:v>8.0021724213605629E-3</c:v>
                </c:pt>
                <c:pt idx="8">
                  <c:v>7.9469113253792835E-3</c:v>
                </c:pt>
                <c:pt idx="9">
                  <c:v>7.8898602219103463E-3</c:v>
                </c:pt>
                <c:pt idx="10">
                  <c:v>7.8314649795629496E-3</c:v>
                </c:pt>
                <c:pt idx="11">
                  <c:v>7.7721191198274666E-3</c:v>
                </c:pt>
                <c:pt idx="12">
                  <c:v>7.712184257594166E-3</c:v>
                </c:pt>
                <c:pt idx="13">
                  <c:v>7.6520050277188575E-3</c:v>
                </c:pt>
                <c:pt idx="14">
                  <c:v>7.5919207573816594E-3</c:v>
                </c:pt>
                <c:pt idx="15">
                  <c:v>7.5322752381379249E-3</c:v>
                </c:pt>
                <c:pt idx="16">
                  <c:v>7.4734254582503384E-3</c:v>
                </c:pt>
                <c:pt idx="17">
                  <c:v>7.4157498722188433E-3</c:v>
                </c:pt>
                <c:pt idx="18">
                  <c:v>7.359656610262685E-3</c:v>
                </c:pt>
                <c:pt idx="19">
                  <c:v>7.305591911605425E-3</c:v>
                </c:pt>
                <c:pt idx="20">
                  <c:v>7.2540489682468142E-3</c:v>
                </c:pt>
                <c:pt idx="21">
                  <c:v>7.2055772654704732E-3</c:v>
                </c:pt>
                <c:pt idx="22">
                  <c:v>7.1607923785950598E-3</c:v>
                </c:pt>
                <c:pt idx="23">
                  <c:v>7.1203860076581686E-3</c:v>
                </c:pt>
                <c:pt idx="24">
                  <c:v>7.0851357748030787E-3</c:v>
                </c:pt>
                <c:pt idx="25">
                  <c:v>7.0559139432999378E-3</c:v>
                </c:pt>
                <c:pt idx="26">
                  <c:v>7.0336937174627565E-3</c:v>
                </c:pt>
                <c:pt idx="27">
                  <c:v>7.019551144956504E-3</c:v>
                </c:pt>
                <c:pt idx="28">
                  <c:v>7.0146599127967543E-3</c:v>
                </c:pt>
                <c:pt idx="29">
                  <c:v>7.0202756461819936E-3</c:v>
                </c:pt>
                <c:pt idx="30">
                  <c:v>7.0377059723626964E-3</c:v>
                </c:pt>
                <c:pt idx="31">
                  <c:v>7.0682630609594692E-3</c:v>
                </c:pt>
                <c:pt idx="32">
                  <c:v>7.1131971670254377E-3</c:v>
                </c:pt>
                <c:pt idx="33">
                  <c:v>7.1736133172655208E-3</c:v>
                </c:pt>
                <c:pt idx="34">
                  <c:v>7.250378537686601E-3</c:v>
                </c:pt>
                <c:pt idx="35">
                  <c:v>7.3440326915107136E-3</c:v>
                </c:pt>
                <c:pt idx="36">
                  <c:v>7.4547197160734482E-3</c:v>
                </c:pt>
                <c:pt idx="37">
                  <c:v>7.5821551994925806E-3</c:v>
                </c:pt>
                <c:pt idx="38">
                  <c:v>7.7256396618916512E-3</c:v>
                </c:pt>
                <c:pt idx="39">
                  <c:v>7.8841162883966157E-3</c:v>
                </c:pt>
                <c:pt idx="40">
                  <c:v>8.0562613323584258E-3</c:v>
                </c:pt>
                <c:pt idx="41">
                  <c:v>8.2405892034911055E-3</c:v>
                </c:pt>
                <c:pt idx="42">
                  <c:v>8.4355542069760037E-3</c:v>
                </c:pt>
                <c:pt idx="43">
                  <c:v>8.6396357491949714E-3</c:v>
                </c:pt>
                <c:pt idx="44">
                  <c:v>8.8514006055090966E-3</c:v>
                </c:pt>
                <c:pt idx="45">
                  <c:v>9.0695418338376087E-3</c:v>
                </c:pt>
                <c:pt idx="46">
                  <c:v>9.2928977399207701E-3</c:v>
                </c:pt>
                <c:pt idx="47">
                  <c:v>9.5204558915924584E-3</c:v>
                </c:pt>
                <c:pt idx="48">
                  <c:v>9.7513471777354154E-3</c:v>
                </c:pt>
                <c:pt idx="49">
                  <c:v>9.9848340727914341E-3</c:v>
                </c:pt>
                <c:pt idx="50">
                  <c:v>1.0220296177173977E-2</c:v>
                </c:pt>
                <c:pt idx="51">
                  <c:v>1.0457215087412272E-2</c:v>
                </c:pt>
                <c:pt idx="52">
                  <c:v>1.0695159842646958E-2</c:v>
                </c:pt>
                <c:pt idx="53">
                  <c:v>1.0933773616054986E-2</c:v>
                </c:pt>
                <c:pt idx="54">
                  <c:v>1.1172761937819374E-2</c:v>
                </c:pt>
                <c:pt idx="55">
                  <c:v>1.1411882502105637E-2</c:v>
                </c:pt>
                <c:pt idx="56">
                  <c:v>1.1650936478846838E-2</c:v>
                </c:pt>
                <c:pt idx="57">
                  <c:v>1.1889761186128832E-2</c:v>
                </c:pt>
                <c:pt idx="58">
                  <c:v>1.2128223954806103E-2</c:v>
                </c:pt>
                <c:pt idx="59">
                  <c:v>1.2366217016283619E-2</c:v>
                </c:pt>
                <c:pt idx="60">
                  <c:v>1.2603653256044425E-2</c:v>
                </c:pt>
                <c:pt idx="61">
                  <c:v>1.2840462692676795E-2</c:v>
                </c:pt>
                <c:pt idx="62">
                  <c:v>1.3076589560912793E-2</c:v>
                </c:pt>
                <c:pt idx="63">
                  <c:v>1.3311989895377057E-2</c:v>
                </c:pt>
                <c:pt idx="64">
                  <c:v>1.3546629528307973E-2</c:v>
                </c:pt>
                <c:pt idx="65">
                  <c:v>1.3780482429044139E-2</c:v>
                </c:pt>
                <c:pt idx="66">
                  <c:v>1.4013529325508756E-2</c:v>
                </c:pt>
                <c:pt idx="67">
                  <c:v>1.4245756558407813E-2</c:v>
                </c:pt>
                <c:pt idx="68">
                  <c:v>1.4477155127593682E-2</c:v>
                </c:pt>
                <c:pt idx="69">
                  <c:v>1.4707719897270719E-2</c:v>
                </c:pt>
                <c:pt idx="70">
                  <c:v>1.4937448932669298E-2</c:v>
                </c:pt>
                <c:pt idx="71">
                  <c:v>1.5166342945692047E-2</c:v>
                </c:pt>
                <c:pt idx="72">
                  <c:v>1.5394404831033357E-2</c:v>
                </c:pt>
                <c:pt idx="73">
                  <c:v>1.5621639277542098E-2</c:v>
                </c:pt>
                <c:pt idx="74">
                  <c:v>1.5848052442271103E-2</c:v>
                </c:pt>
                <c:pt idx="75">
                  <c:v>1.607365167684598E-2</c:v>
                </c:pt>
                <c:pt idx="76">
                  <c:v>1.6298445297577541E-2</c:v>
                </c:pt>
                <c:pt idx="77">
                  <c:v>1.6522442392210998E-2</c:v>
                </c:pt>
                <c:pt idx="78">
                  <c:v>1.6745652657413877E-2</c:v>
                </c:pt>
                <c:pt idx="79">
                  <c:v>1.6968086262093441E-2</c:v>
                </c:pt>
                <c:pt idx="80">
                  <c:v>1.7189753732455786E-2</c:v>
                </c:pt>
                <c:pt idx="81">
                  <c:v>1.741066585538955E-2</c:v>
                </c:pt>
                <c:pt idx="82">
                  <c:v>1.7630833597319703E-2</c:v>
                </c:pt>
                <c:pt idx="83">
                  <c:v>1.7850268036133755E-2</c:v>
                </c:pt>
                <c:pt idx="84">
                  <c:v>1.8068980304171652E-2</c:v>
                </c:pt>
                <c:pt idx="85">
                  <c:v>1.8286981540586826E-2</c:v>
                </c:pt>
                <c:pt idx="86">
                  <c:v>1.8504282851652357E-2</c:v>
                </c:pt>
                <c:pt idx="87">
                  <c:v>1.8720895277809343E-2</c:v>
                </c:pt>
                <c:pt idx="88">
                  <c:v>1.8936829766440243E-2</c:v>
                </c:pt>
                <c:pt idx="89">
                  <c:v>1.9152097149504964E-2</c:v>
                </c:pt>
                <c:pt idx="90">
                  <c:v>1.936670812530928E-2</c:v>
                </c:pt>
                <c:pt idx="91">
                  <c:v>1.9580673243785297E-2</c:v>
                </c:pt>
                <c:pt idx="92">
                  <c:v>1.979400289475659E-2</c:v>
                </c:pt>
                <c:pt idx="93">
                  <c:v>2.0006707298738002E-2</c:v>
                </c:pt>
                <c:pt idx="94">
                  <c:v>2.0218796499887785E-2</c:v>
                </c:pt>
                <c:pt idx="95">
                  <c:v>2.0430280360785886E-2</c:v>
                </c:pt>
                <c:pt idx="96">
                  <c:v>2.0641168558758746E-2</c:v>
                </c:pt>
                <c:pt idx="97">
                  <c:v>2.0851470583512065E-2</c:v>
                </c:pt>
                <c:pt idx="98">
                  <c:v>2.1061195735868621E-2</c:v>
                </c:pt>
                <c:pt idx="99">
                  <c:v>2.127035312743495E-2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248-45B5-B67B-4FA0025CF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64256"/>
        <c:axId val="171266432"/>
      </c:scatterChart>
      <c:valAx>
        <c:axId val="171264256"/>
        <c:scaling>
          <c:orientation val="minMax"/>
          <c:max val="0.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Strike K (Forward S(t)=5%)</a:t>
                </a:r>
              </a:p>
            </c:rich>
          </c:tx>
          <c:layout>
            <c:manualLayout>
              <c:xMode val="edge"/>
              <c:yMode val="edge"/>
              <c:x val="0.31964829396325461"/>
              <c:y val="0.917592443801667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71266432"/>
        <c:crosses val="autoZero"/>
        <c:crossBetween val="midCat"/>
        <c:majorUnit val="1.0000000000000002E-2"/>
      </c:valAx>
      <c:valAx>
        <c:axId val="171266432"/>
        <c:scaling>
          <c:orientation val="minMax"/>
          <c:max val="2.0000000000000004E-2"/>
        </c:scaling>
        <c:delete val="0"/>
        <c:axPos val="l"/>
        <c:majorGridlines>
          <c:spPr>
            <a:ln w="0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Implied Normal Volatility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71264256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SABR!$M$11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SABR!$M$12:$M$111</c:f>
              <c:numCache>
                <c:formatCode>0.00</c:formatCode>
                <c:ptCount val="100"/>
                <c:pt idx="1">
                  <c:v>1.7599883564908825</c:v>
                </c:pt>
                <c:pt idx="2">
                  <c:v>1.9528976940227927</c:v>
                </c:pt>
                <c:pt idx="3">
                  <c:v>2.1469384154371163</c:v>
                </c:pt>
                <c:pt idx="4">
                  <c:v>2.3528159639046864</c:v>
                </c:pt>
                <c:pt idx="5">
                  <c:v>2.5724645183189399</c:v>
                </c:pt>
                <c:pt idx="6">
                  <c:v>2.8066742825197388</c:v>
                </c:pt>
                <c:pt idx="7">
                  <c:v>3.0559360517240535</c:v>
                </c:pt>
                <c:pt idx="8">
                  <c:v>3.3206045519096339</c:v>
                </c:pt>
                <c:pt idx="9">
                  <c:v>3.6009373936829459</c:v>
                </c:pt>
                <c:pt idx="10">
                  <c:v>3.8971028020681753</c:v>
                </c:pt>
                <c:pt idx="11">
                  <c:v>4.2091778389777295</c:v>
                </c:pt>
                <c:pt idx="12">
                  <c:v>4.5371433611759997</c:v>
                </c:pt>
                <c:pt idx="13">
                  <c:v>4.8808779888123714</c:v>
                </c:pt>
                <c:pt idx="14">
                  <c:v>5.2401518989206313</c:v>
                </c:pt>
                <c:pt idx="15">
                  <c:v>5.6146209059734673</c:v>
                </c:pt>
                <c:pt idx="16">
                  <c:v>6.0038211521923452</c:v>
                </c:pt>
                <c:pt idx="17">
                  <c:v>6.4071645485205941</c:v>
                </c:pt>
                <c:pt idx="18">
                  <c:v>6.823935039312877</c:v>
                </c:pt>
                <c:pt idx="19">
                  <c:v>7.2532861058876996</c:v>
                </c:pt>
                <c:pt idx="20">
                  <c:v>7.6942391529118268</c:v>
                </c:pt>
                <c:pt idx="21">
                  <c:v>8.1456834138127352</c:v>
                </c:pt>
                <c:pt idx="22">
                  <c:v>8.6063770256897101</c:v>
                </c:pt>
                <c:pt idx="23">
                  <c:v>9.0749495268681137</c:v>
                </c:pt>
                <c:pt idx="24">
                  <c:v>9.5499059686067636</c:v>
                </c:pt>
                <c:pt idx="25">
                  <c:v>10.029632295089508</c:v>
                </c:pt>
                <c:pt idx="26">
                  <c:v>10.512402426162534</c:v>
                </c:pt>
                <c:pt idx="27">
                  <c:v>10.99638673613538</c:v>
                </c:pt>
                <c:pt idx="28">
                  <c:v>11.479662057854743</c:v>
                </c:pt>
                <c:pt idx="29">
                  <c:v>11.960223134592516</c:v>
                </c:pt>
                <c:pt idx="30">
                  <c:v>12.435995260948161</c:v>
                </c:pt>
                <c:pt idx="31">
                  <c:v>12.904848526753391</c:v>
                </c:pt>
                <c:pt idx="32">
                  <c:v>13.364612695347642</c:v>
                </c:pt>
                <c:pt idx="33">
                  <c:v>13.813093613049251</c:v>
                </c:pt>
                <c:pt idx="34">
                  <c:v>14.248090041101076</c:v>
                </c:pt>
                <c:pt idx="35">
                  <c:v>14.667411333706212</c:v>
                </c:pt>
                <c:pt idx="36">
                  <c:v>15.068895523342979</c:v>
                </c:pt>
                <c:pt idx="37">
                  <c:v>15.450427915262409</c:v>
                </c:pt>
                <c:pt idx="38">
                  <c:v>15.809958969846519</c:v>
                </c:pt>
                <c:pt idx="39">
                  <c:v>16.145523268047313</c:v>
                </c:pt>
                <c:pt idx="40">
                  <c:v>16.455256603065443</c:v>
                </c:pt>
                <c:pt idx="41">
                  <c:v>16.737413905638324</c:v>
                </c:pt>
                <c:pt idx="42">
                  <c:v>16.990384878415398</c:v>
                </c:pt>
                <c:pt idx="43">
                  <c:v>17.2127098745176</c:v>
                </c:pt>
                <c:pt idx="44">
                  <c:v>17.403093597224593</c:v>
                </c:pt>
                <c:pt idx="45">
                  <c:v>17.560417762657565</c:v>
                </c:pt>
                <c:pt idx="46">
                  <c:v>17.683752173525797</c:v>
                </c:pt>
                <c:pt idx="47">
                  <c:v>17.772363316362306</c:v>
                </c:pt>
                <c:pt idx="48">
                  <c:v>17.825722175830347</c:v>
                </c:pt>
                <c:pt idx="49">
                  <c:v>17.843510410918508</c:v>
                </c:pt>
                <c:pt idx="50">
                  <c:v>17.825620804207571</c:v>
                </c:pt>
                <c:pt idx="51">
                  <c:v>17.772160427502079</c:v>
                </c:pt>
                <c:pt idx="52">
                  <c:v>17.683450456556681</c:v>
                </c:pt>
                <c:pt idx="53">
                  <c:v>17.560019973637093</c:v>
                </c:pt>
                <c:pt idx="54">
                  <c:v>17.402603408585779</c:v>
                </c:pt>
                <c:pt idx="55">
                  <c:v>17.21213190642581</c:v>
                </c:pt>
                <c:pt idx="56">
                  <c:v>16.98972444287482</c:v>
                </c:pt>
                <c:pt idx="57">
                  <c:v>16.736677084785729</c:v>
                </c:pt>
                <c:pt idx="58">
                  <c:v>16.454450161300628</c:v>
                </c:pt>
                <c:pt idx="59">
                  <c:v>16.144654333992396</c:v>
                </c:pt>
                <c:pt idx="60">
                  <c:v>15.809035353148639</c:v>
                </c:pt>
                <c:pt idx="61">
                  <c:v>15.449457582089224</c:v>
                </c:pt>
                <c:pt idx="62">
                  <c:v>15.067886946761352</c:v>
                </c:pt>
                <c:pt idx="63">
                  <c:v>14.666372855872003</c:v>
                </c:pt>
                <c:pt idx="64">
                  <c:v>14.247030294716145</c:v>
                </c:pt>
                <c:pt idx="65">
                  <c:v>13.812021134867468</c:v>
                </c:pt>
                <c:pt idx="66">
                  <c:v>13.363535862856411</c:v>
                </c:pt>
                <c:pt idx="67">
                  <c:v>12.903775515435573</c:v>
                </c:pt>
                <c:pt idx="68">
                  <c:v>12.434934001587823</c:v>
                </c:pt>
                <c:pt idx="69">
                  <c:v>11.959181107385932</c:v>
                </c:pt>
                <c:pt idx="70">
                  <c:v>11.478646378333471</c:v>
                </c:pt>
                <c:pt idx="71">
                  <c:v>10.995403958082864</c:v>
                </c:pt>
                <c:pt idx="72">
                  <c:v>10.51145859889229</c:v>
                </c:pt>
                <c:pt idx="73">
                  <c:v>10.028732857947086</c:v>
                </c:pt>
                <c:pt idx="74">
                  <c:v>9.549055770962239</c:v>
                </c:pt>
                <c:pt idx="75">
                  <c:v>9.0741527739310506</c:v>
                </c:pt>
                <c:pt idx="76">
                  <c:v>8.6056372799779748</c:v>
                </c:pt>
                <c:pt idx="77">
                  <c:v>8.1450036411439957</c:v>
                </c:pt>
                <c:pt idx="78">
                  <c:v>7.6936216969170452</c:v>
                </c:pt>
                <c:pt idx="79">
                  <c:v>7.2527327329208919</c:v>
                </c:pt>
                <c:pt idx="80">
                  <c:v>6.8234470169655168</c:v>
                </c:pt>
                <c:pt idx="81">
                  <c:v>6.4067426605454951</c:v>
                </c:pt>
                <c:pt idx="82">
                  <c:v>6.0034658689164342</c:v>
                </c:pt>
                <c:pt idx="83">
                  <c:v>5.6143324155817353</c:v>
                </c:pt>
                <c:pt idx="84">
                  <c:v>5.2399303493631315</c:v>
                </c:pt>
                <c:pt idx="85">
                  <c:v>4.880723694533688</c:v>
                </c:pt>
                <c:pt idx="86">
                  <c:v>4.5370571486221847</c:v>
                </c:pt>
                <c:pt idx="87">
                  <c:v>4.2091615833185756</c:v>
                </c:pt>
                <c:pt idx="88">
                  <c:v>3.8971603064574394</c:v>
                </c:pt>
                <c:pt idx="89">
                  <c:v>3.601075848551603</c:v>
                </c:pt>
                <c:pt idx="90">
                  <c:v>3.3208372817539216</c:v>
                </c:pt>
                <c:pt idx="91">
                  <c:v>3.0562878454516573</c:v>
                </c:pt>
                <c:pt idx="92">
                  <c:v>2.8071928240645057</c:v>
                </c:pt>
                <c:pt idx="93">
                  <c:v>2.5732475722492265</c:v>
                </c:pt>
                <c:pt idx="94">
                  <c:v>2.3540855167708368</c:v>
                </c:pt>
                <c:pt idx="95">
                  <c:v>2.1492861453086252</c:v>
                </c:pt>
                <c:pt idx="96">
                  <c:v>1.9583827939209442</c:v>
                </c:pt>
                <c:pt idx="97">
                  <c:v>1.780870231179269</c:v>
                </c:pt>
                <c:pt idx="98">
                  <c:v>1.6162119372094981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2B-48CF-8963-D8E3AB068C3E}"/>
            </c:ext>
          </c:extLst>
        </c:ser>
        <c:ser>
          <c:idx val="1"/>
          <c:order val="1"/>
          <c:tx>
            <c:strRef>
              <c:f>SABR!$N$11</c:f>
              <c:strCache>
                <c:ptCount val="1"/>
                <c:pt idx="0">
                  <c:v>CEV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SABR!$N$12:$N$111</c:f>
              <c:numCache>
                <c:formatCode>0.00</c:formatCode>
                <c:ptCount val="100"/>
                <c:pt idx="1">
                  <c:v>0.32030901488122598</c:v>
                </c:pt>
                <c:pt idx="2">
                  <c:v>0.48225090083786615</c:v>
                </c:pt>
                <c:pt idx="3">
                  <c:v>0.68330488699891445</c:v>
                </c:pt>
                <c:pt idx="4">
                  <c:v>0.9253139821169265</c:v>
                </c:pt>
                <c:pt idx="5">
                  <c:v>1.2097127159091392</c:v>
                </c:pt>
                <c:pt idx="6">
                  <c:v>1.5373124945747274</c:v>
                </c:pt>
                <c:pt idx="7">
                  <c:v>1.9082640166298588</c:v>
                </c:pt>
                <c:pt idx="8">
                  <c:v>2.3220574759674761</c:v>
                </c:pt>
                <c:pt idx="9">
                  <c:v>2.7775412526770404</c:v>
                </c:pt>
                <c:pt idx="10">
                  <c:v>3.2729537836478917</c:v>
                </c:pt>
                <c:pt idx="11">
                  <c:v>3.8059659292558057</c:v>
                </c:pt>
                <c:pt idx="12">
                  <c:v>4.3737317580033741</c:v>
                </c:pt>
                <c:pt idx="13">
                  <c:v>4.9729459223185613</c:v>
                </c:pt>
                <c:pt idx="14">
                  <c:v>5.5999058615335828</c:v>
                </c:pt>
                <c:pt idx="15">
                  <c:v>6.2505772214713087</c:v>
                </c:pt>
                <c:pt idx="16">
                  <c:v>6.9206609818115004</c:v>
                </c:pt>
                <c:pt idx="17">
                  <c:v>7.6056608693045442</c:v>
                </c:pt>
                <c:pt idx="18">
                  <c:v>8.3009498697897275</c:v>
                </c:pt>
                <c:pt idx="19">
                  <c:v>9.0018346866199526</c:v>
                </c:pt>
                <c:pt idx="20">
                  <c:v>9.7036172735827542</c:v>
                </c:pt>
                <c:pt idx="21">
                  <c:v>10.401652566847959</c:v>
                </c:pt>
                <c:pt idx="22">
                  <c:v>11.091401887618181</c:v>
                </c:pt>
                <c:pt idx="23">
                  <c:v>11.768481411610749</c:v>
                </c:pt>
                <c:pt idx="24">
                  <c:v>12.428705436592935</c:v>
                </c:pt>
                <c:pt idx="25">
                  <c:v>13.068124245885931</c:v>
                </c:pt>
                <c:pt idx="26">
                  <c:v>13.683056224796072</c:v>
                </c:pt>
                <c:pt idx="27">
                  <c:v>14.270114670780044</c:v>
                </c:pt>
                <c:pt idx="28">
                  <c:v>14.826228841569753</c:v>
                </c:pt>
                <c:pt idx="29">
                  <c:v>15.34865989471712</c:v>
                </c:pt>
                <c:pt idx="30">
                  <c:v>15.835011563877064</c:v>
                </c:pt>
                <c:pt idx="31">
                  <c:v>16.283236210647114</c:v>
                </c:pt>
                <c:pt idx="32">
                  <c:v>16.691636232336851</c:v>
                </c:pt>
                <c:pt idx="33">
                  <c:v>17.058861459640053</c:v>
                </c:pt>
                <c:pt idx="34">
                  <c:v>17.383902947996997</c:v>
                </c:pt>
                <c:pt idx="35">
                  <c:v>17.666083056703481</c:v>
                </c:pt>
                <c:pt idx="36">
                  <c:v>17.90504329032477</c:v>
                </c:pt>
                <c:pt idx="37">
                  <c:v>18.10072906338608</c:v>
                </c:pt>
                <c:pt idx="38">
                  <c:v>18.253372420860803</c:v>
                </c:pt>
                <c:pt idx="39">
                  <c:v>18.363473780851731</c:v>
                </c:pt>
                <c:pt idx="40">
                  <c:v>18.431781197428936</c:v>
                </c:pt>
                <c:pt idx="41">
                  <c:v>18.459269616192497</c:v>
                </c:pt>
                <c:pt idx="42">
                  <c:v>18.447119265820834</c:v>
                </c:pt>
                <c:pt idx="43">
                  <c:v>18.396693138586809</c:v>
                </c:pt>
                <c:pt idx="44">
                  <c:v>18.309515414583583</c:v>
                </c:pt>
                <c:pt idx="45">
                  <c:v>18.187248907243109</c:v>
                </c:pt>
                <c:pt idx="46">
                  <c:v>18.031674435221127</c:v>
                </c:pt>
                <c:pt idx="47">
                  <c:v>17.844668790496407</c:v>
                </c:pt>
                <c:pt idx="48">
                  <c:v>17.628186238726233</c:v>
                </c:pt>
                <c:pt idx="49">
                  <c:v>17.384236422883593</c:v>
                </c:pt>
                <c:pt idx="50">
                  <c:v>17.114870391049617</c:v>
                </c:pt>
                <c:pt idx="51">
                  <c:v>16.822159204298689</c:v>
                </c:pt>
                <c:pt idx="52">
                  <c:v>16.50818084983349</c:v>
                </c:pt>
                <c:pt idx="53">
                  <c:v>16.175005285695679</c:v>
                </c:pt>
                <c:pt idx="54">
                  <c:v>15.824679166161001</c:v>
                </c:pt>
                <c:pt idx="55">
                  <c:v>15.459216661378699</c:v>
                </c:pt>
                <c:pt idx="56">
                  <c:v>15.080585780925254</c:v>
                </c:pt>
                <c:pt idx="57">
                  <c:v>14.690700995386308</c:v>
                </c:pt>
                <c:pt idx="58">
                  <c:v>14.291413545114501</c:v>
                </c:pt>
                <c:pt idx="59">
                  <c:v>13.884504951536753</c:v>
                </c:pt>
                <c:pt idx="60">
                  <c:v>13.471680735486327</c:v>
                </c:pt>
                <c:pt idx="61">
                  <c:v>13.054565502609316</c:v>
                </c:pt>
                <c:pt idx="62">
                  <c:v>12.634699242188516</c:v>
                </c:pt>
                <c:pt idx="63">
                  <c:v>12.213534170137422</c:v>
                </c:pt>
                <c:pt idx="64">
                  <c:v>11.79243282648909</c:v>
                </c:pt>
                <c:pt idx="65">
                  <c:v>11.372666873713293</c:v>
                </c:pt>
                <c:pt idx="66">
                  <c:v>10.955416590715021</c:v>
                </c:pt>
                <c:pt idx="67">
                  <c:v>10.541771222566888</c:v>
                </c:pt>
                <c:pt idx="68">
                  <c:v>10.132729764855666</c:v>
                </c:pt>
                <c:pt idx="69">
                  <c:v>9.7292024323366242</c:v>
                </c:pt>
                <c:pt idx="70">
                  <c:v>9.3320125975116053</c:v>
                </c:pt>
                <c:pt idx="71">
                  <c:v>8.9418990887150773</c:v>
                </c:pt>
                <c:pt idx="72">
                  <c:v>8.5595189333459292</c:v>
                </c:pt>
                <c:pt idx="73">
                  <c:v>8.1854503685852542</c:v>
                </c:pt>
                <c:pt idx="74">
                  <c:v>7.8201960487266797</c:v>
                </c:pt>
                <c:pt idx="75">
                  <c:v>7.4641866763609821</c:v>
                </c:pt>
                <c:pt idx="76">
                  <c:v>7.1177843776019802</c:v>
                </c:pt>
                <c:pt idx="77">
                  <c:v>6.7812867405193114</c:v>
                </c:pt>
                <c:pt idx="78">
                  <c:v>6.4549303405211109</c:v>
                </c:pt>
                <c:pt idx="79">
                  <c:v>6.1388948537814914</c:v>
                </c:pt>
                <c:pt idx="80">
                  <c:v>5.8333066728886891</c:v>
                </c:pt>
                <c:pt idx="81">
                  <c:v>5.5382429176181125</c:v>
                </c:pt>
                <c:pt idx="82">
                  <c:v>5.2537351551478872</c:v>
                </c:pt>
                <c:pt idx="83">
                  <c:v>4.9797730648543173</c:v>
                </c:pt>
                <c:pt idx="84">
                  <c:v>4.7163081057823595</c:v>
                </c:pt>
                <c:pt idx="85">
                  <c:v>4.4632570462234593</c:v>
                </c:pt>
                <c:pt idx="86">
                  <c:v>4.2205052898950788</c:v>
                </c:pt>
                <c:pt idx="87">
                  <c:v>3.987910150540865</c:v>
                </c:pt>
                <c:pt idx="88">
                  <c:v>3.765303997184815</c:v>
                </c:pt>
                <c:pt idx="89">
                  <c:v>3.5524971738645532</c:v>
                </c:pt>
                <c:pt idx="90">
                  <c:v>3.3492808260504887</c:v>
                </c:pt>
                <c:pt idx="91">
                  <c:v>3.1554295295836812</c:v>
                </c:pt>
                <c:pt idx="92">
                  <c:v>2.9707038277340789</c:v>
                </c:pt>
                <c:pt idx="93">
                  <c:v>2.7948524912143076</c:v>
                </c:pt>
                <c:pt idx="94">
                  <c:v>2.6276147653725559</c:v>
                </c:pt>
                <c:pt idx="95">
                  <c:v>2.4687223131754581</c:v>
                </c:pt>
                <c:pt idx="96">
                  <c:v>2.3179011401635141</c:v>
                </c:pt>
                <c:pt idx="97">
                  <c:v>2.1748732670788402</c:v>
                </c:pt>
                <c:pt idx="98">
                  <c:v>2.0393583033400229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2B-48CF-8963-D8E3AB068C3E}"/>
            </c:ext>
          </c:extLst>
        </c:ser>
        <c:ser>
          <c:idx val="2"/>
          <c:order val="2"/>
          <c:tx>
            <c:strRef>
              <c:f>SABR!$O$11</c:f>
              <c:strCache>
                <c:ptCount val="1"/>
                <c:pt idx="0">
                  <c:v>CEV+SV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SABR!$O$12:$O$111</c:f>
              <c:numCache>
                <c:formatCode>0.00</c:formatCode>
                <c:ptCount val="100"/>
                <c:pt idx="1">
                  <c:v>-13.084218917429336</c:v>
                </c:pt>
                <c:pt idx="2">
                  <c:v>-4.5111279105211626</c:v>
                </c:pt>
                <c:pt idx="3">
                  <c:v>-1.7683253968683865</c:v>
                </c:pt>
                <c:pt idx="4">
                  <c:v>-0.47486112814132397</c:v>
                </c:pt>
                <c:pt idx="5">
                  <c:v>0.27777654026256426</c:v>
                </c:pt>
                <c:pt idx="6">
                  <c:v>0.78300849509077564</c:v>
                </c:pt>
                <c:pt idx="7">
                  <c:v>1.1608739310317595</c:v>
                </c:pt>
                <c:pt idx="8">
                  <c:v>1.4686557775894782</c:v>
                </c:pt>
                <c:pt idx="9">
                  <c:v>1.736943539450142</c:v>
                </c:pt>
                <c:pt idx="10">
                  <c:v>1.9836097764278082</c:v>
                </c:pt>
                <c:pt idx="11">
                  <c:v>2.2199447465079403</c:v>
                </c:pt>
                <c:pt idx="12">
                  <c:v>2.4536174572029057</c:v>
                </c:pt>
                <c:pt idx="13">
                  <c:v>2.6902176192070137</c:v>
                </c:pt>
                <c:pt idx="14">
                  <c:v>2.9341109400032872</c:v>
                </c:pt>
                <c:pt idx="15">
                  <c:v>3.1889401351931022</c:v>
                </c:pt>
                <c:pt idx="16">
                  <c:v>3.4579330690093286</c:v>
                </c:pt>
                <c:pt idx="17">
                  <c:v>3.7441008762934058</c:v>
                </c:pt>
                <c:pt idx="18">
                  <c:v>4.0503705203281877</c:v>
                </c:pt>
                <c:pt idx="19">
                  <c:v>4.3796764038345124</c:v>
                </c:pt>
                <c:pt idx="20">
                  <c:v>4.7350248425087695</c:v>
                </c:pt>
                <c:pt idx="21">
                  <c:v>5.1195389711433759</c:v>
                </c:pt>
                <c:pt idx="22">
                  <c:v>5.5364877850801086</c:v>
                </c:pt>
                <c:pt idx="23">
                  <c:v>5.9893003936557667</c:v>
                </c:pt>
                <c:pt idx="24">
                  <c:v>6.481564563912146</c:v>
                </c:pt>
                <c:pt idx="25">
                  <c:v>7.0170069262562427</c:v>
                </c:pt>
                <c:pt idx="26">
                  <c:v>7.5994506148896326</c:v>
                </c:pt>
                <c:pt idx="27">
                  <c:v>8.23274454326768</c:v>
                </c:pt>
                <c:pt idx="28">
                  <c:v>8.9206569818221944</c:v>
                </c:pt>
                <c:pt idx="29">
                  <c:v>9.6667247149288986</c:v>
                </c:pt>
                <c:pt idx="30">
                  <c:v>10.474048042535108</c:v>
                </c:pt>
                <c:pt idx="31">
                  <c:v>11.345021646472199</c:v>
                </c:pt>
                <c:pt idx="32">
                  <c:v>12.280992451742222</c:v>
                </c:pt>
                <c:pt idx="33">
                  <c:v>13.281838880635474</c:v>
                </c:pt>
                <c:pt idx="34">
                  <c:v>14.345472316719473</c:v>
                </c:pt>
                <c:pt idx="35">
                  <c:v>15.467272231208053</c:v>
                </c:pt>
                <c:pt idx="36">
                  <c:v>16.639482138480734</c:v>
                </c:pt>
                <c:pt idx="37">
                  <c:v>17.850614529930191</c:v>
                </c:pt>
                <c:pt idx="38">
                  <c:v>19.084938000450656</c:v>
                </c:pt>
                <c:pt idx="39">
                  <c:v>20.322145556760752</c:v>
                </c:pt>
                <c:pt idx="40">
                  <c:v>21.537323371109654</c:v>
                </c:pt>
                <c:pt idx="41">
                  <c:v>22.701344993110556</c:v>
                </c:pt>
                <c:pt idx="42">
                  <c:v>23.78179681222446</c:v>
                </c:pt>
                <c:pt idx="43">
                  <c:v>24.744487725551028</c:v>
                </c:pt>
                <c:pt idx="44">
                  <c:v>25.555507540469694</c:v>
                </c:pt>
                <c:pt idx="45">
                  <c:v>26.183684315643102</c:v>
                </c:pt>
                <c:pt idx="46">
                  <c:v>26.603174235703982</c:v>
                </c:pt>
                <c:pt idx="47">
                  <c:v>26.795832769044242</c:v>
                </c:pt>
                <c:pt idx="48">
                  <c:v>26.752996788429204</c:v>
                </c:pt>
                <c:pt idx="49">
                  <c:v>26.476373520280049</c:v>
                </c:pt>
                <c:pt idx="50">
                  <c:v>25.977876801161269</c:v>
                </c:pt>
                <c:pt idx="51">
                  <c:v>25.278439363941121</c:v>
                </c:pt>
                <c:pt idx="52">
                  <c:v>24.406010303859535</c:v>
                </c:pt>
                <c:pt idx="53">
                  <c:v>23.393071038828445</c:v>
                </c:pt>
                <c:pt idx="54">
                  <c:v>22.27404365481938</c:v>
                </c:pt>
                <c:pt idx="55">
                  <c:v>21.082924053374104</c:v>
                </c:pt>
                <c:pt idx="56">
                  <c:v>19.851374037517484</c:v>
                </c:pt>
                <c:pt idx="57">
                  <c:v>18.607386899618685</c:v>
                </c:pt>
                <c:pt idx="58">
                  <c:v>17.374532122004222</c:v>
                </c:pt>
                <c:pt idx="59">
                  <c:v>16.171706138870157</c:v>
                </c:pt>
                <c:pt idx="60">
                  <c:v>15.013273642595019</c:v>
                </c:pt>
                <c:pt idx="61">
                  <c:v>13.909473142406622</c:v>
                </c:pt>
                <c:pt idx="62">
                  <c:v>12.866971733282623</c:v>
                </c:pt>
                <c:pt idx="63">
                  <c:v>11.889476964923434</c:v>
                </c:pt>
                <c:pt idx="64">
                  <c:v>10.978340001622351</c:v>
                </c:pt>
                <c:pt idx="65">
                  <c:v>10.133108556629656</c:v>
                </c:pt>
                <c:pt idx="66">
                  <c:v>9.3520077101508754</c:v>
                </c:pt>
                <c:pt idx="67">
                  <c:v>8.6323409793633896</c:v>
                </c:pt>
                <c:pt idx="68">
                  <c:v>7.9708133610802347</c:v>
                </c:pt>
                <c:pt idx="69">
                  <c:v>7.3637834875152208</c:v>
                </c:pt>
                <c:pt idx="70">
                  <c:v>6.8074545995865225</c:v>
                </c:pt>
                <c:pt idx="71">
                  <c:v>6.2980147140434077</c:v>
                </c:pt>
                <c:pt idx="72">
                  <c:v>5.8317358851726437</c:v>
                </c:pt>
                <c:pt idx="73">
                  <c:v>5.4050413922134242</c:v>
                </c:pt>
                <c:pt idx="74">
                  <c:v>5.014548366475716</c:v>
                </c:pt>
                <c:pt idx="75">
                  <c:v>4.6570920417552104</c:v>
                </c:pt>
                <c:pt idx="76">
                  <c:v>4.3297365767821629</c:v>
                </c:pt>
                <c:pt idx="77">
                  <c:v>4.0297763263868598</c:v>
                </c:pt>
                <c:pt idx="78">
                  <c:v>3.7547305377317737</c:v>
                </c:pt>
                <c:pt idx="79">
                  <c:v>3.5023337167294364</c:v>
                </c:pt>
                <c:pt idx="80">
                  <c:v>3.2705233286179438</c:v>
                </c:pt>
                <c:pt idx="81">
                  <c:v>3.0574260429464619</c:v>
                </c:pt>
                <c:pt idx="82">
                  <c:v>2.8613433851742922</c:v>
                </c:pt>
                <c:pt idx="83">
                  <c:v>2.6807373942148249</c:v>
                </c:pt>
                <c:pt idx="84">
                  <c:v>2.5142166878806784</c:v>
                </c:pt>
                <c:pt idx="85">
                  <c:v>2.36052319434451</c:v>
                </c:pt>
                <c:pt idx="86">
                  <c:v>2.2185197026342336</c:v>
                </c:pt>
                <c:pt idx="87">
                  <c:v>2.0871783094995493</c:v>
                </c:pt>
                <c:pt idx="88">
                  <c:v>1.9655697895259274</c:v>
                </c:pt>
                <c:pt idx="89">
                  <c:v>1.8528538775226082</c:v>
                </c:pt>
                <c:pt idx="90">
                  <c:v>1.7482704309625434</c:v>
                </c:pt>
                <c:pt idx="91">
                  <c:v>1.6511314239473256</c:v>
                </c:pt>
                <c:pt idx="92">
                  <c:v>1.5608137176265398</c:v>
                </c:pt>
                <c:pt idx="93">
                  <c:v>1.4767525468367306</c:v>
                </c:pt>
                <c:pt idx="94">
                  <c:v>1.3984356629853967</c:v>
                </c:pt>
                <c:pt idx="95">
                  <c:v>1.3253980743442559</c:v>
                </c:pt>
                <c:pt idx="96">
                  <c:v>1.2572173273299088</c:v>
                </c:pt>
                <c:pt idx="97">
                  <c:v>1.1935092759651744</c:v>
                </c:pt>
                <c:pt idx="98">
                  <c:v>1.1339242908751219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2B-48CF-8963-D8E3AB068C3E}"/>
            </c:ext>
          </c:extLst>
        </c:ser>
        <c:ser>
          <c:idx val="3"/>
          <c:order val="3"/>
          <c:tx>
            <c:strRef>
              <c:f>SABR!$P$11</c:f>
              <c:strCache>
                <c:ptCount val="1"/>
                <c:pt idx="0">
                  <c:v>CEV+SV+Corr</c:v>
                </c:pt>
              </c:strCache>
            </c:strRef>
          </c:tx>
          <c:marker>
            <c:symbol val="none"/>
          </c:marker>
          <c:xVal>
            <c:numRef>
              <c:f>SABR!$B$12:$B$111</c:f>
              <c:numCache>
                <c:formatCode>0.00%</c:formatCode>
                <c:ptCount val="1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</c:numCache>
            </c:numRef>
          </c:xVal>
          <c:yVal>
            <c:numRef>
              <c:f>SABR!$P$12:$P$111</c:f>
              <c:numCache>
                <c:formatCode>0.00</c:formatCode>
                <c:ptCount val="100"/>
                <c:pt idx="1">
                  <c:v>1.8968742923619608E-2</c:v>
                </c:pt>
                <c:pt idx="2">
                  <c:v>0.21838009555547044</c:v>
                </c:pt>
                <c:pt idx="3">
                  <c:v>0.31219304804513959</c:v>
                </c:pt>
                <c:pt idx="4">
                  <c:v>0.38401378400776398</c:v>
                </c:pt>
                <c:pt idx="5">
                  <c:v>0.45132959566873687</c:v>
                </c:pt>
                <c:pt idx="6">
                  <c:v>0.52077192770616509</c:v>
                </c:pt>
                <c:pt idx="7">
                  <c:v>0.59600793814867992</c:v>
                </c:pt>
                <c:pt idx="8">
                  <c:v>0.67976025330124257</c:v>
                </c:pt>
                <c:pt idx="9">
                  <c:v>0.77452529283206228</c:v>
                </c:pt>
                <c:pt idx="10">
                  <c:v>0.88290792902429027</c:v>
                </c:pt>
                <c:pt idx="11">
                  <c:v>1.0078268078070329</c:v>
                </c:pt>
                <c:pt idx="12">
                  <c:v>1.152678434541976</c:v>
                </c:pt>
                <c:pt idx="13">
                  <c:v>1.3214971278929788</c:v>
                </c:pt>
                <c:pt idx="14">
                  <c:v>1.5191300641662075</c:v>
                </c:pt>
                <c:pt idx="15">
                  <c:v>1.7514397492590617</c:v>
                </c:pt>
                <c:pt idx="16">
                  <c:v>2.0255432061008807</c:v>
                </c:pt>
                <c:pt idx="17">
                  <c:v>2.3500950576613207</c:v>
                </c:pt>
                <c:pt idx="18">
                  <c:v>2.7356188155996892</c:v>
                </c:pt>
                <c:pt idx="19">
                  <c:v>3.1948854053026552</c:v>
                </c:pt>
                <c:pt idx="20">
                  <c:v>3.7433281240700844</c:v>
                </c:pt>
                <c:pt idx="21">
                  <c:v>4.3994657650536864</c:v>
                </c:pt>
                <c:pt idx="22">
                  <c:v>5.1852762621741499</c:v>
                </c:pt>
                <c:pt idx="23">
                  <c:v>6.1264164491377109</c:v>
                </c:pt>
                <c:pt idx="24">
                  <c:v>7.252113632193204</c:v>
                </c:pt>
                <c:pt idx="25">
                  <c:v>8.5944584823222243</c:v>
                </c:pt>
                <c:pt idx="26">
                  <c:v>10.186712207538287</c:v>
                </c:pt>
                <c:pt idx="27">
                  <c:v>12.060131296637971</c:v>
                </c:pt>
                <c:pt idx="28">
                  <c:v>14.238776847527054</c:v>
                </c:pt>
                <c:pt idx="29">
                  <c:v>16.731935623823968</c:v>
                </c:pt>
                <c:pt idx="30">
                  <c:v>19.524310514783917</c:v>
                </c:pt>
                <c:pt idx="31">
                  <c:v>22.565192955140102</c:v>
                </c:pt>
                <c:pt idx="32">
                  <c:v>25.759361868372224</c:v>
                </c:pt>
                <c:pt idx="33">
                  <c:v>28.963951543572954</c:v>
                </c:pt>
                <c:pt idx="34">
                  <c:v>31.995892495959186</c:v>
                </c:pt>
                <c:pt idx="35">
                  <c:v>34.652474638442911</c:v>
                </c:pt>
                <c:pt idx="36">
                  <c:v>36.742793396694829</c:v>
                </c:pt>
                <c:pt idx="37">
                  <c:v>38.122119299576902</c:v>
                </c:pt>
                <c:pt idx="38">
                  <c:v>38.718129276370874</c:v>
                </c:pt>
                <c:pt idx="39">
                  <c:v>38.540197533454901</c:v>
                </c:pt>
                <c:pt idx="40">
                  <c:v>37.669783987358194</c:v>
                </c:pt>
                <c:pt idx="41">
                  <c:v>36.237280369243358</c:v>
                </c:pt>
                <c:pt idx="42">
                  <c:v>34.394378690933046</c:v>
                </c:pt>
                <c:pt idx="43">
                  <c:v>32.290040587414367</c:v>
                </c:pt>
                <c:pt idx="44">
                  <c:v>30.054392368111749</c:v>
                </c:pt>
                <c:pt idx="45">
                  <c:v>27.791033804871276</c:v>
                </c:pt>
                <c:pt idx="46">
                  <c:v>25.575903164763318</c:v>
                </c:pt>
                <c:pt idx="47">
                  <c:v>23.460140140620741</c:v>
                </c:pt>
                <c:pt idx="48">
                  <c:v>21.474731051379607</c:v>
                </c:pt>
                <c:pt idx="49">
                  <c:v>19.635442833268904</c:v>
                </c:pt>
                <c:pt idx="50">
                  <c:v>17.947238229116142</c:v>
                </c:pt>
                <c:pt idx="51">
                  <c:v>16.407854500986833</c:v>
                </c:pt>
                <c:pt idx="52">
                  <c:v>15.0105154705579</c:v>
                </c:pt>
                <c:pt idx="53">
                  <c:v>13.745884026252252</c:v>
                </c:pt>
                <c:pt idx="54">
                  <c:v>12.603407631588103</c:v>
                </c:pt>
                <c:pt idx="55">
                  <c:v>11.572206926642091</c:v>
                </c:pt>
                <c:pt idx="56">
                  <c:v>10.641635004260563</c:v>
                </c:pt>
                <c:pt idx="57">
                  <c:v>9.8016073885338706</c:v>
                </c:pt>
                <c:pt idx="58">
                  <c:v>9.0427771953184699</c:v>
                </c:pt>
                <c:pt idx="59">
                  <c:v>8.3566089494873363</c:v>
                </c:pt>
                <c:pt idx="60">
                  <c:v>7.7353883821979492</c:v>
                </c:pt>
                <c:pt idx="61">
                  <c:v>7.1721936601501364</c:v>
                </c:pt>
                <c:pt idx="62">
                  <c:v>6.6608450176213143</c:v>
                </c:pt>
                <c:pt idx="63">
                  <c:v>6.1958438504518147</c:v>
                </c:pt>
                <c:pt idx="64">
                  <c:v>5.7723082846402347</c:v>
                </c:pt>
                <c:pt idx="65">
                  <c:v>5.3859095027917574</c:v>
                </c:pt>
                <c:pt idx="66">
                  <c:v>5.032811309146024</c:v>
                </c:pt>
                <c:pt idx="67">
                  <c:v>4.7096142366210687</c:v>
                </c:pt>
                <c:pt idx="68">
                  <c:v>4.4133047508720855</c:v>
                </c:pt>
                <c:pt idx="69">
                  <c:v>4.141209647270121</c:v>
                </c:pt>
                <c:pt idx="70">
                  <c:v>3.89095545725361</c:v>
                </c:pt>
                <c:pt idx="71">
                  <c:v>3.6604325356461298</c:v>
                </c:pt>
                <c:pt idx="72">
                  <c:v>3.4477634238286599</c:v>
                </c:pt>
                <c:pt idx="73">
                  <c:v>3.2512750620392339</c:v>
                </c:pt>
                <c:pt idx="74">
                  <c:v>3.0694744305196795</c:v>
                </c:pt>
                <c:pt idx="75">
                  <c:v>2.9010272213757879</c:v>
                </c:pt>
                <c:pt idx="76">
                  <c:v>2.7447391747472838</c:v>
                </c:pt>
                <c:pt idx="77">
                  <c:v>2.5995397506866795</c:v>
                </c:pt>
                <c:pt idx="78">
                  <c:v>2.464467837774357</c:v>
                </c:pt>
                <c:pt idx="79">
                  <c:v>2.3386592422564325</c:v>
                </c:pt>
                <c:pt idx="80">
                  <c:v>2.2213357235966553</c:v>
                </c:pt>
                <c:pt idx="81">
                  <c:v>2.1117953812608032</c:v>
                </c:pt>
                <c:pt idx="82">
                  <c:v>2.0094042119797209</c:v>
                </c:pt>
                <c:pt idx="83">
                  <c:v>1.9135886920327061</c:v>
                </c:pt>
                <c:pt idx="84">
                  <c:v>1.8238292480580189</c:v>
                </c:pt>
                <c:pt idx="85">
                  <c:v>1.7396545038380342</c:v>
                </c:pt>
                <c:pt idx="86">
                  <c:v>1.6606362047179271</c:v>
                </c:pt>
                <c:pt idx="87">
                  <c:v>1.5863847328875078</c:v>
                </c:pt>
                <c:pt idx="88">
                  <c:v>1.5165451388533437</c:v>
                </c:pt>
                <c:pt idx="89">
                  <c:v>1.4507936257519811</c:v>
                </c:pt>
                <c:pt idx="90">
                  <c:v>1.3888344297992963</c:v>
                </c:pt>
                <c:pt idx="91">
                  <c:v>1.3303970484643244</c:v>
                </c:pt>
                <c:pt idx="92">
                  <c:v>1.2752337735510964</c:v>
                </c:pt>
                <c:pt idx="93">
                  <c:v>1.2231174935277747</c:v>
                </c:pt>
                <c:pt idx="94">
                  <c:v>1.1738397328025347</c:v>
                </c:pt>
                <c:pt idx="95">
                  <c:v>1.1272088987698805</c:v>
                </c:pt>
                <c:pt idx="96">
                  <c:v>1.0830487138704221</c:v>
                </c:pt>
                <c:pt idx="97">
                  <c:v>1.0411968111899756</c:v>
                </c:pt>
                <c:pt idx="98">
                  <c:v>1.001503473159469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B2B-48CF-8963-D8E3AB06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293312"/>
        <c:axId val="171295488"/>
      </c:scatterChart>
      <c:valAx>
        <c:axId val="171293312"/>
        <c:scaling>
          <c:orientation val="minMax"/>
          <c:max val="0.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Rate S(T) (Forward S(t)=5%)</a:t>
                </a:r>
              </a:p>
            </c:rich>
          </c:tx>
          <c:layout>
            <c:manualLayout>
              <c:xMode val="edge"/>
              <c:yMode val="edge"/>
              <c:x val="0.31964829396325461"/>
              <c:y val="0.917592443801667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71295488"/>
        <c:crosses val="autoZero"/>
        <c:crossBetween val="midCat"/>
        <c:majorUnit val="1.0000000000000002E-2"/>
      </c:valAx>
      <c:valAx>
        <c:axId val="171295488"/>
        <c:scaling>
          <c:orientation val="minMax"/>
          <c:max val="40"/>
          <c:min val="-10"/>
        </c:scaling>
        <c:delete val="0"/>
        <c:axPos val="l"/>
        <c:majorGridlines>
          <c:spPr>
            <a:ln w="0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Implied Density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1293312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2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'Projection Curve'!$D$9</c:f>
              <c:strCache>
                <c:ptCount val="1"/>
                <c:pt idx="0">
                  <c:v>Discoun Curve</c:v>
                </c:pt>
              </c:strCache>
            </c:strRef>
          </c:tx>
          <c:marker>
            <c:symbol val="none"/>
          </c:marker>
          <c:xVal>
            <c:numRef>
              <c:f>'Projection Curve'!$C$10:$C$369</c:f>
              <c:numCache>
                <c:formatCode>0.00</c:formatCode>
                <c:ptCount val="360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</c:numCache>
            </c:numRef>
          </c:xVal>
          <c:yVal>
            <c:numRef>
              <c:f>'Projection Curve'!$D$10:$D$369</c:f>
              <c:numCache>
                <c:formatCode>0.00%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2.7000000001030824E-2</c:v>
                </c:pt>
                <c:pt idx="14">
                  <c:v>2.7000000001030824E-2</c:v>
                </c:pt>
                <c:pt idx="15">
                  <c:v>2.6999999998810389E-2</c:v>
                </c:pt>
                <c:pt idx="16">
                  <c:v>2.6999999998810389E-2</c:v>
                </c:pt>
                <c:pt idx="17">
                  <c:v>2.7000000001030824E-2</c:v>
                </c:pt>
                <c:pt idx="18">
                  <c:v>2.7000000001030824E-2</c:v>
                </c:pt>
                <c:pt idx="19">
                  <c:v>2.7000000001030824E-2</c:v>
                </c:pt>
                <c:pt idx="20">
                  <c:v>2.6999999998810389E-2</c:v>
                </c:pt>
                <c:pt idx="21">
                  <c:v>2.6999999998810389E-2</c:v>
                </c:pt>
                <c:pt idx="22">
                  <c:v>2.7000000001030824E-2</c:v>
                </c:pt>
                <c:pt idx="23">
                  <c:v>2.6999999998810389E-2</c:v>
                </c:pt>
                <c:pt idx="24">
                  <c:v>2.7000000001030824E-2</c:v>
                </c:pt>
                <c:pt idx="25">
                  <c:v>2.7000006249349139E-2</c:v>
                </c:pt>
                <c:pt idx="26">
                  <c:v>2.7042465752661879E-2</c:v>
                </c:pt>
                <c:pt idx="27">
                  <c:v>2.708356164360071E-2</c:v>
                </c:pt>
                <c:pt idx="28">
                  <c:v>2.7126027397097355E-2</c:v>
                </c:pt>
                <c:pt idx="29">
                  <c:v>2.7168493150413663E-2</c:v>
                </c:pt>
                <c:pt idx="30">
                  <c:v>2.7206849315403885E-2</c:v>
                </c:pt>
                <c:pt idx="31">
                  <c:v>2.7249315068376977E-2</c:v>
                </c:pt>
                <c:pt idx="32">
                  <c:v>2.7290410958465742E-2</c:v>
                </c:pt>
                <c:pt idx="33">
                  <c:v>2.7332876713304421E-2</c:v>
                </c:pt>
                <c:pt idx="34">
                  <c:v>2.7373972603049787E-2</c:v>
                </c:pt>
                <c:pt idx="35">
                  <c:v>2.7416438355313179E-2</c:v>
                </c:pt>
                <c:pt idx="36">
                  <c:v>2.7458904109616673E-2</c:v>
                </c:pt>
                <c:pt idx="37">
                  <c:v>2.7500000001064555E-2</c:v>
                </c:pt>
                <c:pt idx="38">
                  <c:v>2.7542465752792764E-2</c:v>
                </c:pt>
                <c:pt idx="39">
                  <c:v>2.7583561643897241E-2</c:v>
                </c:pt>
                <c:pt idx="40">
                  <c:v>2.7626027397491034E-2</c:v>
                </c:pt>
                <c:pt idx="41">
                  <c:v>2.7668493150904493E-2</c:v>
                </c:pt>
                <c:pt idx="42">
                  <c:v>2.7706849316197345E-2</c:v>
                </c:pt>
                <c:pt idx="43">
                  <c:v>2.7749315069267588E-2</c:v>
                </c:pt>
                <c:pt idx="44">
                  <c:v>2.7790410959522005E-2</c:v>
                </c:pt>
                <c:pt idx="45">
                  <c:v>2.7832876712237397E-2</c:v>
                </c:pt>
                <c:pt idx="46">
                  <c:v>2.7873972602148404E-2</c:v>
                </c:pt>
                <c:pt idx="47">
                  <c:v>2.7916438356729387E-2</c:v>
                </c:pt>
                <c:pt idx="48">
                  <c:v>2.7958904108909593E-2</c:v>
                </c:pt>
                <c:pt idx="49">
                  <c:v>2.8000018878702574E-2</c:v>
                </c:pt>
                <c:pt idx="50">
                  <c:v>2.8170735448623849E-2</c:v>
                </c:pt>
                <c:pt idx="51">
                  <c:v>2.8335963301714107E-2</c:v>
                </c:pt>
                <c:pt idx="52">
                  <c:v>2.8506698750740064E-2</c:v>
                </c:pt>
                <c:pt idx="53">
                  <c:v>2.8677434196850964E-2</c:v>
                </c:pt>
                <c:pt idx="54">
                  <c:v>2.8831646862368259E-2</c:v>
                </c:pt>
                <c:pt idx="55">
                  <c:v>2.9002382309592459E-2</c:v>
                </c:pt>
                <c:pt idx="56">
                  <c:v>2.9167610162264233E-2</c:v>
                </c:pt>
                <c:pt idx="57">
                  <c:v>2.9338345610413673E-2</c:v>
                </c:pt>
                <c:pt idx="58">
                  <c:v>2.9503573464195715E-2</c:v>
                </c:pt>
                <c:pt idx="59">
                  <c:v>2.9674308913270386E-2</c:v>
                </c:pt>
                <c:pt idx="60">
                  <c:v>2.9845044359430001E-2</c:v>
                </c:pt>
                <c:pt idx="61">
                  <c:v>3.0010291327263957E-2</c:v>
                </c:pt>
                <c:pt idx="62">
                  <c:v>3.0310880828786951E-2</c:v>
                </c:pt>
                <c:pt idx="63">
                  <c:v>3.0601792390240381E-2</c:v>
                </c:pt>
                <c:pt idx="64">
                  <c:v>3.0902401005287516E-2</c:v>
                </c:pt>
                <c:pt idx="65">
                  <c:v>3.1203009617959413E-2</c:v>
                </c:pt>
                <c:pt idx="66">
                  <c:v>3.1484224127503749E-2</c:v>
                </c:pt>
                <c:pt idx="67">
                  <c:v>3.1784832742669494E-2</c:v>
                </c:pt>
                <c:pt idx="68">
                  <c:v>3.2075744303432296E-2</c:v>
                </c:pt>
                <c:pt idx="69">
                  <c:v>3.2376352918579952E-2</c:v>
                </c:pt>
                <c:pt idx="70">
                  <c:v>3.2667264479898261E-2</c:v>
                </c:pt>
                <c:pt idx="71">
                  <c:v>3.2967873095027814E-2</c:v>
                </c:pt>
                <c:pt idx="72">
                  <c:v>3.3268481707782134E-2</c:v>
                </c:pt>
                <c:pt idx="73">
                  <c:v>3.3559389024314053E-2</c:v>
                </c:pt>
                <c:pt idx="74">
                  <c:v>3.383115085202381E-2</c:v>
                </c:pt>
                <c:pt idx="75">
                  <c:v>3.4094142062484643E-2</c:v>
                </c:pt>
                <c:pt idx="76">
                  <c:v>3.4365899643506233E-2</c:v>
                </c:pt>
                <c:pt idx="77">
                  <c:v>3.4637657226024347E-2</c:v>
                </c:pt>
                <c:pt idx="78">
                  <c:v>3.4883115685675113E-2</c:v>
                </c:pt>
                <c:pt idx="79">
                  <c:v>3.5154873267460127E-2</c:v>
                </c:pt>
                <c:pt idx="80">
                  <c:v>3.5417864476414804E-2</c:v>
                </c:pt>
                <c:pt idx="81">
                  <c:v>3.5689622059210675E-2</c:v>
                </c:pt>
                <c:pt idx="82">
                  <c:v>3.5952613267424563E-2</c:v>
                </c:pt>
                <c:pt idx="83">
                  <c:v>3.622437084901086E-2</c:v>
                </c:pt>
                <c:pt idx="84">
                  <c:v>3.6496128429873258E-2</c:v>
                </c:pt>
                <c:pt idx="85">
                  <c:v>3.6759116426107491E-2</c:v>
                </c:pt>
                <c:pt idx="86">
                  <c:v>3.7009045867336096E-2</c:v>
                </c:pt>
                <c:pt idx="87">
                  <c:v>3.725090995955161E-2</c:v>
                </c:pt>
                <c:pt idx="88">
                  <c:v>3.7500836186617648E-2</c:v>
                </c:pt>
                <c:pt idx="89">
                  <c:v>3.7750762411878247E-2</c:v>
                </c:pt>
                <c:pt idx="90">
                  <c:v>3.7976502229964904E-2</c:v>
                </c:pt>
                <c:pt idx="91">
                  <c:v>3.8226428458880427E-2</c:v>
                </c:pt>
                <c:pt idx="92">
                  <c:v>3.8468292548297083E-2</c:v>
                </c:pt>
                <c:pt idx="93">
                  <c:v>3.87182187782441E-2</c:v>
                </c:pt>
                <c:pt idx="94">
                  <c:v>3.8960082869088732E-2</c:v>
                </c:pt>
                <c:pt idx="95">
                  <c:v>3.9210009095626372E-2</c:v>
                </c:pt>
                <c:pt idx="96">
                  <c:v>3.9459935322579014E-2</c:v>
                </c:pt>
                <c:pt idx="97">
                  <c:v>3.970179686862662E-2</c:v>
                </c:pt>
                <c:pt idx="98">
                  <c:v>3.9934438241049253E-2</c:v>
                </c:pt>
                <c:pt idx="99">
                  <c:v>4.0159572587673692E-2</c:v>
                </c:pt>
                <c:pt idx="100">
                  <c:v>4.0392211413707427E-2</c:v>
                </c:pt>
                <c:pt idx="101">
                  <c:v>4.0624850238769952E-2</c:v>
                </c:pt>
                <c:pt idx="102">
                  <c:v>4.083497562822181E-2</c:v>
                </c:pt>
                <c:pt idx="103">
                  <c:v>4.1067614454086111E-2</c:v>
                </c:pt>
                <c:pt idx="104">
                  <c:v>4.1292748804064534E-2</c:v>
                </c:pt>
                <c:pt idx="105">
                  <c:v>4.1525387628160992E-2</c:v>
                </c:pt>
                <c:pt idx="106">
                  <c:v>4.1750521976715117E-2</c:v>
                </c:pt>
                <c:pt idx="107">
                  <c:v>4.1983160801264185E-2</c:v>
                </c:pt>
                <c:pt idx="108">
                  <c:v>4.2215799627062484E-2</c:v>
                </c:pt>
                <c:pt idx="109">
                  <c:v>4.2440931892846569E-2</c:v>
                </c:pt>
                <c:pt idx="110">
                  <c:v>4.2659425472302621E-2</c:v>
                </c:pt>
                <c:pt idx="111">
                  <c:v>4.2870868854584153E-2</c:v>
                </c:pt>
                <c:pt idx="112">
                  <c:v>4.3089360352979132E-2</c:v>
                </c:pt>
                <c:pt idx="113">
                  <c:v>4.3307851846600257E-2</c:v>
                </c:pt>
                <c:pt idx="114">
                  <c:v>4.3512247119314777E-2</c:v>
                </c:pt>
                <c:pt idx="115">
                  <c:v>4.3730738617018802E-2</c:v>
                </c:pt>
                <c:pt idx="116">
                  <c:v>4.3942181998852491E-2</c:v>
                </c:pt>
                <c:pt idx="117">
                  <c:v>4.4160673493824111E-2</c:v>
                </c:pt>
                <c:pt idx="118">
                  <c:v>4.4372116879889727E-2</c:v>
                </c:pt>
                <c:pt idx="119">
                  <c:v>4.4590608374349389E-2</c:v>
                </c:pt>
                <c:pt idx="120">
                  <c:v>4.4809099872916931E-2</c:v>
                </c:pt>
                <c:pt idx="121">
                  <c:v>4.5020541513331874E-2</c:v>
                </c:pt>
                <c:pt idx="122">
                  <c:v>4.5227191048696026E-2</c:v>
                </c:pt>
                <c:pt idx="123">
                  <c:v>4.5427172788231725E-2</c:v>
                </c:pt>
                <c:pt idx="124">
                  <c:v>4.563382058325284E-2</c:v>
                </c:pt>
                <c:pt idx="125">
                  <c:v>4.5840468378444493E-2</c:v>
                </c:pt>
                <c:pt idx="126">
                  <c:v>4.6027118000606722E-2</c:v>
                </c:pt>
                <c:pt idx="127">
                  <c:v>4.6233765796552716E-2</c:v>
                </c:pt>
                <c:pt idx="128">
                  <c:v>4.6433747531501819E-2</c:v>
                </c:pt>
                <c:pt idx="129">
                  <c:v>4.6640395325706199E-2</c:v>
                </c:pt>
                <c:pt idx="130">
                  <c:v>4.6840377063625635E-2</c:v>
                </c:pt>
                <c:pt idx="131">
                  <c:v>4.7047024858308854E-2</c:v>
                </c:pt>
                <c:pt idx="132">
                  <c:v>4.7253672653162611E-2</c:v>
                </c:pt>
                <c:pt idx="133">
                  <c:v>4.745362426749164E-2</c:v>
                </c:pt>
                <c:pt idx="134">
                  <c:v>4.7455622492919985E-2</c:v>
                </c:pt>
                <c:pt idx="135">
                  <c:v>4.7457527107007201E-2</c:v>
                </c:pt>
                <c:pt idx="136">
                  <c:v>4.7459495205565749E-2</c:v>
                </c:pt>
                <c:pt idx="137">
                  <c:v>4.746146330856478E-2</c:v>
                </c:pt>
                <c:pt idx="138">
                  <c:v>4.7463240949266669E-2</c:v>
                </c:pt>
                <c:pt idx="139">
                  <c:v>4.7465209050044525E-2</c:v>
                </c:pt>
                <c:pt idx="140">
                  <c:v>4.7467113664129916E-2</c:v>
                </c:pt>
                <c:pt idx="141">
                  <c:v>4.7469081764907016E-2</c:v>
                </c:pt>
                <c:pt idx="142">
                  <c:v>4.7470986378991664E-2</c:v>
                </c:pt>
                <c:pt idx="143">
                  <c:v>4.7472954479768001E-2</c:v>
                </c:pt>
                <c:pt idx="144">
                  <c:v>4.7474922582764388E-2</c:v>
                </c:pt>
                <c:pt idx="145">
                  <c:v>4.7476827194627494E-2</c:v>
                </c:pt>
                <c:pt idx="146">
                  <c:v>4.7478795297623111E-2</c:v>
                </c:pt>
                <c:pt idx="147">
                  <c:v>4.7480699911705906E-2</c:v>
                </c:pt>
                <c:pt idx="148">
                  <c:v>4.7482668010259903E-2</c:v>
                </c:pt>
                <c:pt idx="149">
                  <c:v>4.7484636113254375E-2</c:v>
                </c:pt>
                <c:pt idx="150">
                  <c:v>4.7486413751731703E-2</c:v>
                </c:pt>
                <c:pt idx="151">
                  <c:v>4.7488381856945872E-2</c:v>
                </c:pt>
                <c:pt idx="152">
                  <c:v>4.749028646880641E-2</c:v>
                </c:pt>
                <c:pt idx="153">
                  <c:v>4.7492254569578951E-2</c:v>
                </c:pt>
                <c:pt idx="154">
                  <c:v>4.7494159183659179E-2</c:v>
                </c:pt>
                <c:pt idx="155">
                  <c:v>4.7496127284430964E-2</c:v>
                </c:pt>
                <c:pt idx="156">
                  <c:v>4.7498095387422785E-2</c:v>
                </c:pt>
                <c:pt idx="157">
                  <c:v>4.7499997627856352E-2</c:v>
                </c:pt>
                <c:pt idx="158">
                  <c:v>4.7485857665863766E-2</c:v>
                </c:pt>
                <c:pt idx="159">
                  <c:v>4.7472171534223874E-2</c:v>
                </c:pt>
                <c:pt idx="160">
                  <c:v>4.745802919632594E-2</c:v>
                </c:pt>
                <c:pt idx="161">
                  <c:v>4.7443886860628441E-2</c:v>
                </c:pt>
                <c:pt idx="162">
                  <c:v>4.7430656932951239E-2</c:v>
                </c:pt>
                <c:pt idx="163">
                  <c:v>4.7416514597215034E-2</c:v>
                </c:pt>
                <c:pt idx="164">
                  <c:v>4.7402828467700671E-2</c:v>
                </c:pt>
                <c:pt idx="165">
                  <c:v>4.7388686129704663E-2</c:v>
                </c:pt>
                <c:pt idx="166">
                  <c:v>4.7375000000152219E-2</c:v>
                </c:pt>
                <c:pt idx="167">
                  <c:v>4.7360857664337293E-2</c:v>
                </c:pt>
                <c:pt idx="168">
                  <c:v>4.7346715328502376E-2</c:v>
                </c:pt>
                <c:pt idx="169">
                  <c:v>4.7333029198892485E-2</c:v>
                </c:pt>
                <c:pt idx="170">
                  <c:v>4.7318886860797771E-2</c:v>
                </c:pt>
                <c:pt idx="171">
                  <c:v>4.7305200731149785E-2</c:v>
                </c:pt>
                <c:pt idx="172">
                  <c:v>4.7291058393015721E-2</c:v>
                </c:pt>
                <c:pt idx="173">
                  <c:v>4.7276916059302516E-2</c:v>
                </c:pt>
                <c:pt idx="174">
                  <c:v>4.7264142335432163E-2</c:v>
                </c:pt>
                <c:pt idx="175">
                  <c:v>4.724999999946046E-2</c:v>
                </c:pt>
                <c:pt idx="176">
                  <c:v>4.7236313867497763E-2</c:v>
                </c:pt>
                <c:pt idx="177">
                  <c:v>4.7222171533707141E-2</c:v>
                </c:pt>
                <c:pt idx="178">
                  <c:v>4.7208485401706364E-2</c:v>
                </c:pt>
                <c:pt idx="179">
                  <c:v>4.7194343065655946E-2</c:v>
                </c:pt>
                <c:pt idx="180">
                  <c:v>4.7180200729585536E-2</c:v>
                </c:pt>
                <c:pt idx="181">
                  <c:v>4.7166514597527312E-2</c:v>
                </c:pt>
                <c:pt idx="182">
                  <c:v>4.7152372263637984E-2</c:v>
                </c:pt>
                <c:pt idx="183">
                  <c:v>4.7138686131541679E-2</c:v>
                </c:pt>
                <c:pt idx="184">
                  <c:v>4.7124543793172109E-2</c:v>
                </c:pt>
                <c:pt idx="185">
                  <c:v>4.7110401461443858E-2</c:v>
                </c:pt>
                <c:pt idx="186">
                  <c:v>4.7097627739581233E-2</c:v>
                </c:pt>
                <c:pt idx="187">
                  <c:v>4.7083485398933166E-2</c:v>
                </c:pt>
                <c:pt idx="188">
                  <c:v>4.7069799268963014E-2</c:v>
                </c:pt>
                <c:pt idx="189">
                  <c:v>4.7055656932716468E-2</c:v>
                </c:pt>
                <c:pt idx="190">
                  <c:v>4.7041970804928661E-2</c:v>
                </c:pt>
                <c:pt idx="191">
                  <c:v>4.7027828466422325E-2</c:v>
                </c:pt>
                <c:pt idx="192">
                  <c:v>4.7013686132336863E-2</c:v>
                </c:pt>
                <c:pt idx="193">
                  <c:v>4.6999997082398347E-2</c:v>
                </c:pt>
                <c:pt idx="194">
                  <c:v>4.6966046000093235E-2</c:v>
                </c:pt>
                <c:pt idx="195">
                  <c:v>4.693318729206622E-2</c:v>
                </c:pt>
                <c:pt idx="196">
                  <c:v>4.6899233296322729E-2</c:v>
                </c:pt>
                <c:pt idx="197">
                  <c:v>4.6865279298243509E-2</c:v>
                </c:pt>
                <c:pt idx="198">
                  <c:v>4.6834611171778201E-2</c:v>
                </c:pt>
                <c:pt idx="199">
                  <c:v>4.6800657173479573E-2</c:v>
                </c:pt>
                <c:pt idx="200">
                  <c:v>4.6767798464909104E-2</c:v>
                </c:pt>
                <c:pt idx="201">
                  <c:v>4.6733844468604055E-2</c:v>
                </c:pt>
                <c:pt idx="202">
                  <c:v>4.6700985762034478E-2</c:v>
                </c:pt>
                <c:pt idx="203">
                  <c:v>4.6667031765502569E-2</c:v>
                </c:pt>
                <c:pt idx="204">
                  <c:v>4.6633077766634938E-2</c:v>
                </c:pt>
                <c:pt idx="205">
                  <c:v>4.6600219057513825E-2</c:v>
                </c:pt>
                <c:pt idx="206">
                  <c:v>4.6566265062860206E-2</c:v>
                </c:pt>
                <c:pt idx="207">
                  <c:v>4.6533406351299121E-2</c:v>
                </c:pt>
                <c:pt idx="208">
                  <c:v>4.6499452354198216E-2</c:v>
                </c:pt>
                <c:pt idx="209">
                  <c:v>4.6465498356982014E-2</c:v>
                </c:pt>
                <c:pt idx="210">
                  <c:v>4.6433734939410741E-2</c:v>
                </c:pt>
                <c:pt idx="211">
                  <c:v>4.6399780939750973E-2</c:v>
                </c:pt>
                <c:pt idx="212">
                  <c:v>4.6366922236524583E-2</c:v>
                </c:pt>
                <c:pt idx="213">
                  <c:v>4.6332968236637961E-2</c:v>
                </c:pt>
                <c:pt idx="214">
                  <c:v>4.630010952875116E-2</c:v>
                </c:pt>
                <c:pt idx="215">
                  <c:v>4.6266155530858118E-2</c:v>
                </c:pt>
                <c:pt idx="216">
                  <c:v>4.623220153062934E-2</c:v>
                </c:pt>
                <c:pt idx="217">
                  <c:v>4.6199342824631881E-2</c:v>
                </c:pt>
                <c:pt idx="218">
                  <c:v>4.6165388826396689E-2</c:v>
                </c:pt>
                <c:pt idx="219">
                  <c:v>4.6132530122400123E-2</c:v>
                </c:pt>
                <c:pt idx="220">
                  <c:v>4.609857612393807E-2</c:v>
                </c:pt>
                <c:pt idx="221">
                  <c:v>4.6064622125360735E-2</c:v>
                </c:pt>
                <c:pt idx="222">
                  <c:v>4.6033953996439982E-2</c:v>
                </c:pt>
                <c:pt idx="223">
                  <c:v>4.5999999997643232E-2</c:v>
                </c:pt>
                <c:pt idx="224">
                  <c:v>4.5967141293103218E-2</c:v>
                </c:pt>
                <c:pt idx="225">
                  <c:v>4.5933187294079608E-2</c:v>
                </c:pt>
                <c:pt idx="226">
                  <c:v>4.5900328584879184E-2</c:v>
                </c:pt>
                <c:pt idx="227">
                  <c:v>4.5866374590069592E-2</c:v>
                </c:pt>
                <c:pt idx="228">
                  <c:v>4.5832420592924278E-2</c:v>
                </c:pt>
                <c:pt idx="229">
                  <c:v>4.5799561881172311E-2</c:v>
                </c:pt>
                <c:pt idx="230">
                  <c:v>4.5765607886020569E-2</c:v>
                </c:pt>
                <c:pt idx="231">
                  <c:v>4.5732749178489941E-2</c:v>
                </c:pt>
                <c:pt idx="232">
                  <c:v>4.5698795180890921E-2</c:v>
                </c:pt>
                <c:pt idx="233">
                  <c:v>4.5664841183176604E-2</c:v>
                </c:pt>
                <c:pt idx="234">
                  <c:v>4.5634173055250221E-2</c:v>
                </c:pt>
                <c:pt idx="235">
                  <c:v>4.5600219059536928E-2</c:v>
                </c:pt>
                <c:pt idx="236">
                  <c:v>4.5567360351462853E-2</c:v>
                </c:pt>
                <c:pt idx="237">
                  <c:v>4.5533406351081829E-2</c:v>
                </c:pt>
                <c:pt idx="238">
                  <c:v>4.5500547645008646E-2</c:v>
                </c:pt>
                <c:pt idx="239">
                  <c:v>4.546659364884164E-2</c:v>
                </c:pt>
                <c:pt idx="240">
                  <c:v>4.5432639648118472E-2</c:v>
                </c:pt>
                <c:pt idx="241">
                  <c:v>4.539978094171418E-2</c:v>
                </c:pt>
                <c:pt idx="242">
                  <c:v>4.5365826942984598E-2</c:v>
                </c:pt>
                <c:pt idx="243">
                  <c:v>4.5332968236360772E-2</c:v>
                </c:pt>
                <c:pt idx="244">
                  <c:v>4.529901423962477E-2</c:v>
                </c:pt>
                <c:pt idx="245">
                  <c:v>4.5265060242773478E-2</c:v>
                </c:pt>
                <c:pt idx="246">
                  <c:v>4.5234392113621034E-2</c:v>
                </c:pt>
                <c:pt idx="247">
                  <c:v>4.5200438116550327E-2</c:v>
                </c:pt>
                <c:pt idx="248">
                  <c:v>4.5167579407162615E-2</c:v>
                </c:pt>
                <c:pt idx="249">
                  <c:v>4.5133625409865048E-2</c:v>
                </c:pt>
                <c:pt idx="250">
                  <c:v>4.5100766702478243E-2</c:v>
                </c:pt>
                <c:pt idx="251">
                  <c:v>4.5066812704953822E-2</c:v>
                </c:pt>
                <c:pt idx="252">
                  <c:v>4.5032858707314112E-2</c:v>
                </c:pt>
                <c:pt idx="253">
                  <c:v>4.5000000001816629E-2</c:v>
                </c:pt>
                <c:pt idx="254">
                  <c:v>4.4966064586779493E-2</c:v>
                </c:pt>
                <c:pt idx="255">
                  <c:v>4.4933223866594721E-2</c:v>
                </c:pt>
                <c:pt idx="256">
                  <c:v>4.4899288449110529E-2</c:v>
                </c:pt>
                <c:pt idx="257">
                  <c:v>4.4865353035952064E-2</c:v>
                </c:pt>
                <c:pt idx="258">
                  <c:v>4.4833607005974108E-2</c:v>
                </c:pt>
                <c:pt idx="259">
                  <c:v>4.4799671592592745E-2</c:v>
                </c:pt>
                <c:pt idx="260">
                  <c:v>4.4766830869641082E-2</c:v>
                </c:pt>
                <c:pt idx="261">
                  <c:v>4.4732895456033116E-2</c:v>
                </c:pt>
                <c:pt idx="262">
                  <c:v>4.4700054732862156E-2</c:v>
                </c:pt>
                <c:pt idx="263">
                  <c:v>4.4666119321248011E-2</c:v>
                </c:pt>
                <c:pt idx="264">
                  <c:v>4.463218390729827E-2</c:v>
                </c:pt>
                <c:pt idx="265">
                  <c:v>4.4599343186017014E-2</c:v>
                </c:pt>
                <c:pt idx="266">
                  <c:v>4.4565407771840662E-2</c:v>
                </c:pt>
                <c:pt idx="267">
                  <c:v>4.4532567048119663E-2</c:v>
                </c:pt>
                <c:pt idx="268">
                  <c:v>4.4498631635937147E-2</c:v>
                </c:pt>
                <c:pt idx="269">
                  <c:v>4.4464696223639466E-2</c:v>
                </c:pt>
                <c:pt idx="270">
                  <c:v>4.4434044882970883E-2</c:v>
                </c:pt>
                <c:pt idx="271">
                  <c:v>4.4400109468233584E-2</c:v>
                </c:pt>
                <c:pt idx="272">
                  <c:v>4.4367268746190174E-2</c:v>
                </c:pt>
                <c:pt idx="273">
                  <c:v>4.4333333333446703E-2</c:v>
                </c:pt>
                <c:pt idx="274">
                  <c:v>4.4300492611183996E-2</c:v>
                </c:pt>
                <c:pt idx="275">
                  <c:v>4.426655719599349E-2</c:v>
                </c:pt>
                <c:pt idx="276">
                  <c:v>4.4232621785128684E-2</c:v>
                </c:pt>
                <c:pt idx="277">
                  <c:v>4.4199781060314795E-2</c:v>
                </c:pt>
                <c:pt idx="278">
                  <c:v>4.416584564700296E-2</c:v>
                </c:pt>
                <c:pt idx="279">
                  <c:v>4.4133004926410639E-2</c:v>
                </c:pt>
                <c:pt idx="280">
                  <c:v>4.4099069512872187E-2</c:v>
                </c:pt>
                <c:pt idx="281">
                  <c:v>4.4065134099218577E-2</c:v>
                </c:pt>
                <c:pt idx="282">
                  <c:v>4.4034482757325286E-2</c:v>
                </c:pt>
                <c:pt idx="283">
                  <c:v>4.4000547345672922E-2</c:v>
                </c:pt>
                <c:pt idx="284">
                  <c:v>4.3967706622317325E-2</c:v>
                </c:pt>
                <c:pt idx="285">
                  <c:v>4.3933771208217932E-2</c:v>
                </c:pt>
                <c:pt idx="286">
                  <c:v>4.3900930489083903E-2</c:v>
                </c:pt>
                <c:pt idx="287">
                  <c:v>4.3866995076978339E-2</c:v>
                </c:pt>
                <c:pt idx="288">
                  <c:v>4.3833059660316726E-2</c:v>
                </c:pt>
                <c:pt idx="289">
                  <c:v>4.3800218938631529E-2</c:v>
                </c:pt>
                <c:pt idx="290">
                  <c:v>4.376628352396375E-2</c:v>
                </c:pt>
                <c:pt idx="291">
                  <c:v>4.3733442802059243E-2</c:v>
                </c:pt>
                <c:pt idx="292">
                  <c:v>4.3699507389385293E-2</c:v>
                </c:pt>
                <c:pt idx="293">
                  <c:v>4.3665571974375754E-2</c:v>
                </c:pt>
                <c:pt idx="294">
                  <c:v>4.363492063347818E-2</c:v>
                </c:pt>
                <c:pt idx="295">
                  <c:v>4.3600985220469901E-2</c:v>
                </c:pt>
                <c:pt idx="296">
                  <c:v>4.3568144500242975E-2</c:v>
                </c:pt>
                <c:pt idx="297">
                  <c:v>4.3534209087008092E-2</c:v>
                </c:pt>
                <c:pt idx="298">
                  <c:v>4.3501368359900559E-2</c:v>
                </c:pt>
                <c:pt idx="299">
                  <c:v>4.3467432948659492E-2</c:v>
                </c:pt>
                <c:pt idx="300">
                  <c:v>4.343349753730328E-2</c:v>
                </c:pt>
                <c:pt idx="301">
                  <c:v>4.3400656814305875E-2</c:v>
                </c:pt>
                <c:pt idx="302">
                  <c:v>4.3366721398282168E-2</c:v>
                </c:pt>
                <c:pt idx="303">
                  <c:v>4.3333880677285913E-2</c:v>
                </c:pt>
                <c:pt idx="304">
                  <c:v>4.3299945263256034E-2</c:v>
                </c:pt>
                <c:pt idx="305">
                  <c:v>4.3266009851331437E-2</c:v>
                </c:pt>
                <c:pt idx="306">
                  <c:v>4.3234263820717073E-2</c:v>
                </c:pt>
                <c:pt idx="307">
                  <c:v>4.3200328408569584E-2</c:v>
                </c:pt>
                <c:pt idx="308">
                  <c:v>4.3167487684806438E-2</c:v>
                </c:pt>
                <c:pt idx="309">
                  <c:v>4.3133552272432332E-2</c:v>
                </c:pt>
                <c:pt idx="310">
                  <c:v>4.3100711548449896E-2</c:v>
                </c:pt>
                <c:pt idx="311">
                  <c:v>4.3066776135849187E-2</c:v>
                </c:pt>
                <c:pt idx="312">
                  <c:v>4.3032840723133313E-2</c:v>
                </c:pt>
                <c:pt idx="313">
                  <c:v>4.3000004994802263E-2</c:v>
                </c:pt>
                <c:pt idx="314">
                  <c:v>4.2999999998820135E-2</c:v>
                </c:pt>
                <c:pt idx="315">
                  <c:v>4.2999999998820135E-2</c:v>
                </c:pt>
                <c:pt idx="316">
                  <c:v>4.3000000001040574E-2</c:v>
                </c:pt>
                <c:pt idx="317">
                  <c:v>4.2999999998820135E-2</c:v>
                </c:pt>
                <c:pt idx="318">
                  <c:v>4.3000000001040574E-2</c:v>
                </c:pt>
                <c:pt idx="319">
                  <c:v>4.3000000001040574E-2</c:v>
                </c:pt>
                <c:pt idx="320">
                  <c:v>4.3000000001040574E-2</c:v>
                </c:pt>
                <c:pt idx="321">
                  <c:v>4.3000000001040574E-2</c:v>
                </c:pt>
                <c:pt idx="322">
                  <c:v>4.3000000001040574E-2</c:v>
                </c:pt>
                <c:pt idx="323">
                  <c:v>4.2999999996599696E-2</c:v>
                </c:pt>
                <c:pt idx="324">
                  <c:v>4.3000000001040574E-2</c:v>
                </c:pt>
                <c:pt idx="325">
                  <c:v>4.3000000001040574E-2</c:v>
                </c:pt>
                <c:pt idx="326">
                  <c:v>4.3000000001040574E-2</c:v>
                </c:pt>
                <c:pt idx="327">
                  <c:v>4.3000000001040574E-2</c:v>
                </c:pt>
                <c:pt idx="328">
                  <c:v>4.3000000001040574E-2</c:v>
                </c:pt>
                <c:pt idx="329">
                  <c:v>4.2999999998820135E-2</c:v>
                </c:pt>
                <c:pt idx="330">
                  <c:v>4.2999999998820135E-2</c:v>
                </c:pt>
                <c:pt idx="331">
                  <c:v>4.2999999998820135E-2</c:v>
                </c:pt>
                <c:pt idx="332">
                  <c:v>4.2999999998820135E-2</c:v>
                </c:pt>
                <c:pt idx="333">
                  <c:v>4.3000000001040574E-2</c:v>
                </c:pt>
                <c:pt idx="334">
                  <c:v>4.2999999996599696E-2</c:v>
                </c:pt>
                <c:pt idx="335">
                  <c:v>4.3000000001040574E-2</c:v>
                </c:pt>
                <c:pt idx="336">
                  <c:v>4.3000000001040574E-2</c:v>
                </c:pt>
                <c:pt idx="337">
                  <c:v>4.3000000001040574E-2</c:v>
                </c:pt>
                <c:pt idx="338">
                  <c:v>4.3000000001040574E-2</c:v>
                </c:pt>
                <c:pt idx="339">
                  <c:v>4.3000000001040574E-2</c:v>
                </c:pt>
                <c:pt idx="340">
                  <c:v>4.2999999998820135E-2</c:v>
                </c:pt>
                <c:pt idx="341">
                  <c:v>4.3000000001040574E-2</c:v>
                </c:pt>
                <c:pt idx="342">
                  <c:v>4.2999999998820135E-2</c:v>
                </c:pt>
                <c:pt idx="343">
                  <c:v>4.2999999998820135E-2</c:v>
                </c:pt>
                <c:pt idx="344">
                  <c:v>4.3000000001040574E-2</c:v>
                </c:pt>
                <c:pt idx="345">
                  <c:v>4.3000000001040574E-2</c:v>
                </c:pt>
                <c:pt idx="346">
                  <c:v>4.2999999998820135E-2</c:v>
                </c:pt>
                <c:pt idx="347">
                  <c:v>4.2999999998820135E-2</c:v>
                </c:pt>
                <c:pt idx="348">
                  <c:v>4.3000000001040574E-2</c:v>
                </c:pt>
                <c:pt idx="349">
                  <c:v>4.2999999998820135E-2</c:v>
                </c:pt>
                <c:pt idx="350">
                  <c:v>4.2999999998820135E-2</c:v>
                </c:pt>
                <c:pt idx="351">
                  <c:v>4.2999999998820135E-2</c:v>
                </c:pt>
                <c:pt idx="352">
                  <c:v>4.3000000001040574E-2</c:v>
                </c:pt>
                <c:pt idx="353">
                  <c:v>4.3000000001040574E-2</c:v>
                </c:pt>
                <c:pt idx="354">
                  <c:v>4.3000000001040574E-2</c:v>
                </c:pt>
                <c:pt idx="355">
                  <c:v>4.3000000001040574E-2</c:v>
                </c:pt>
                <c:pt idx="356">
                  <c:v>4.3000000001040574E-2</c:v>
                </c:pt>
                <c:pt idx="357">
                  <c:v>4.3000000001040574E-2</c:v>
                </c:pt>
                <c:pt idx="358">
                  <c:v>4.2999999998820135E-2</c:v>
                </c:pt>
                <c:pt idx="359">
                  <c:v>4.3000000001040574E-2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2C-4036-92F0-15792693E46D}"/>
            </c:ext>
          </c:extLst>
        </c:ser>
        <c:ser>
          <c:idx val="1"/>
          <c:order val="1"/>
          <c:tx>
            <c:strRef>
              <c:f>'Projection Curve'!$E$9</c:f>
              <c:strCache>
                <c:ptCount val="1"/>
                <c:pt idx="0">
                  <c:v>Spread Curve</c:v>
                </c:pt>
              </c:strCache>
            </c:strRef>
          </c:tx>
          <c:marker>
            <c:symbol val="none"/>
          </c:marker>
          <c:xVal>
            <c:numRef>
              <c:f>'Projection Curve'!$C$10:$C$369</c:f>
              <c:numCache>
                <c:formatCode>0.00</c:formatCode>
                <c:ptCount val="360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</c:numCache>
            </c:numRef>
          </c:xVal>
          <c:yVal>
            <c:numRef>
              <c:f>'Projection Curve'!$E$10:$E$369</c:f>
              <c:numCache>
                <c:formatCode>0.00%</c:formatCode>
                <c:ptCount val="360"/>
                <c:pt idx="0" formatCode="General">
                  <c:v>2.9999999980612128E-3</c:v>
                </c:pt>
                <c:pt idx="1">
                  <c:v>2.9999999980612128E-3</c:v>
                </c:pt>
                <c:pt idx="2">
                  <c:v>3.0000000002816584E-3</c:v>
                </c:pt>
                <c:pt idx="3">
                  <c:v>3.0000000002816584E-3</c:v>
                </c:pt>
                <c:pt idx="4">
                  <c:v>2.9999999980612128E-3</c:v>
                </c:pt>
                <c:pt idx="5">
                  <c:v>3.0000000002816584E-3</c:v>
                </c:pt>
                <c:pt idx="6">
                  <c:v>3.0000000025021036E-3</c:v>
                </c:pt>
                <c:pt idx="7">
                  <c:v>3.0000000002816584E-3</c:v>
                </c:pt>
                <c:pt idx="8">
                  <c:v>3.0000000002816584E-3</c:v>
                </c:pt>
                <c:pt idx="9">
                  <c:v>2.9999999980612128E-3</c:v>
                </c:pt>
                <c:pt idx="10">
                  <c:v>2.9999999980612128E-3</c:v>
                </c:pt>
                <c:pt idx="11">
                  <c:v>2.9999999980612128E-3</c:v>
                </c:pt>
                <c:pt idx="12">
                  <c:v>3.0000000002816584E-3</c:v>
                </c:pt>
                <c:pt idx="13">
                  <c:v>2.9999999980612128E-3</c:v>
                </c:pt>
                <c:pt idx="14">
                  <c:v>3.0000000002816584E-3</c:v>
                </c:pt>
                <c:pt idx="15">
                  <c:v>3.0000000002816584E-3</c:v>
                </c:pt>
                <c:pt idx="16">
                  <c:v>3.0000000002816584E-3</c:v>
                </c:pt>
                <c:pt idx="17">
                  <c:v>3.0000000002816584E-3</c:v>
                </c:pt>
                <c:pt idx="18">
                  <c:v>3.0000000002816584E-3</c:v>
                </c:pt>
                <c:pt idx="19">
                  <c:v>3.0000000002816584E-3</c:v>
                </c:pt>
                <c:pt idx="20">
                  <c:v>2.9999999980612128E-3</c:v>
                </c:pt>
                <c:pt idx="21">
                  <c:v>2.9999999980612128E-3</c:v>
                </c:pt>
                <c:pt idx="22">
                  <c:v>3.0000000002816584E-3</c:v>
                </c:pt>
                <c:pt idx="23">
                  <c:v>3.0000000002816584E-3</c:v>
                </c:pt>
                <c:pt idx="24">
                  <c:v>3.0000000002816584E-3</c:v>
                </c:pt>
                <c:pt idx="25">
                  <c:v>3.0000000002816584E-3</c:v>
                </c:pt>
                <c:pt idx="26">
                  <c:v>3.0000000002816584E-3</c:v>
                </c:pt>
                <c:pt idx="27">
                  <c:v>3.0000000025021036E-3</c:v>
                </c:pt>
                <c:pt idx="28">
                  <c:v>3.0000000002816584E-3</c:v>
                </c:pt>
                <c:pt idx="29">
                  <c:v>3.0000000002816584E-3</c:v>
                </c:pt>
                <c:pt idx="30">
                  <c:v>3.0000000002816584E-3</c:v>
                </c:pt>
                <c:pt idx="31">
                  <c:v>2.9999999980612128E-3</c:v>
                </c:pt>
                <c:pt idx="32">
                  <c:v>2.9999999980612128E-3</c:v>
                </c:pt>
                <c:pt idx="33">
                  <c:v>3.0000000002816584E-3</c:v>
                </c:pt>
                <c:pt idx="34">
                  <c:v>3.0000000002816584E-3</c:v>
                </c:pt>
                <c:pt idx="35">
                  <c:v>3.0000000002816584E-3</c:v>
                </c:pt>
                <c:pt idx="36">
                  <c:v>2.9999999980612128E-3</c:v>
                </c:pt>
                <c:pt idx="37">
                  <c:v>3.0000000002816584E-3</c:v>
                </c:pt>
                <c:pt idx="38">
                  <c:v>3.0000000002816584E-3</c:v>
                </c:pt>
                <c:pt idx="39">
                  <c:v>2.9999999980612128E-3</c:v>
                </c:pt>
                <c:pt idx="40">
                  <c:v>2.9999999980612128E-3</c:v>
                </c:pt>
                <c:pt idx="41">
                  <c:v>3.0000000002816584E-3</c:v>
                </c:pt>
                <c:pt idx="42">
                  <c:v>2.9999999980612128E-3</c:v>
                </c:pt>
                <c:pt idx="43">
                  <c:v>3.0000000002816584E-3</c:v>
                </c:pt>
                <c:pt idx="44">
                  <c:v>3.0000000002816584E-3</c:v>
                </c:pt>
                <c:pt idx="45">
                  <c:v>3.0000000002816584E-3</c:v>
                </c:pt>
                <c:pt idx="46">
                  <c:v>3.0000000002816584E-3</c:v>
                </c:pt>
                <c:pt idx="47">
                  <c:v>3.0000000002816584E-3</c:v>
                </c:pt>
                <c:pt idx="48">
                  <c:v>3.0000000002816584E-3</c:v>
                </c:pt>
                <c:pt idx="49">
                  <c:v>3.0000000002816584E-3</c:v>
                </c:pt>
                <c:pt idx="50">
                  <c:v>3.0000000002816584E-3</c:v>
                </c:pt>
                <c:pt idx="51">
                  <c:v>3.0000000002816584E-3</c:v>
                </c:pt>
                <c:pt idx="52">
                  <c:v>2.9999999980612128E-3</c:v>
                </c:pt>
                <c:pt idx="53">
                  <c:v>3.0000000002816584E-3</c:v>
                </c:pt>
                <c:pt idx="54">
                  <c:v>2.9999999980612128E-3</c:v>
                </c:pt>
                <c:pt idx="55">
                  <c:v>3.0000000002816584E-3</c:v>
                </c:pt>
                <c:pt idx="56">
                  <c:v>3.0000000002816584E-3</c:v>
                </c:pt>
                <c:pt idx="57">
                  <c:v>3.0000000025021036E-3</c:v>
                </c:pt>
                <c:pt idx="58">
                  <c:v>3.0000000002816584E-3</c:v>
                </c:pt>
                <c:pt idx="59">
                  <c:v>3.0000000025021036E-3</c:v>
                </c:pt>
                <c:pt idx="60">
                  <c:v>3.0000000002816584E-3</c:v>
                </c:pt>
                <c:pt idx="61">
                  <c:v>3.0000000002816584E-3</c:v>
                </c:pt>
                <c:pt idx="62">
                  <c:v>3.0000000002816584E-3</c:v>
                </c:pt>
                <c:pt idx="63">
                  <c:v>3.0000000002816584E-3</c:v>
                </c:pt>
                <c:pt idx="64">
                  <c:v>3.0000000025021036E-3</c:v>
                </c:pt>
                <c:pt idx="65">
                  <c:v>3.0000000002816584E-3</c:v>
                </c:pt>
                <c:pt idx="66">
                  <c:v>2.9999999980612128E-3</c:v>
                </c:pt>
                <c:pt idx="67">
                  <c:v>3.0000000002816584E-3</c:v>
                </c:pt>
                <c:pt idx="68">
                  <c:v>2.9999999980612128E-3</c:v>
                </c:pt>
                <c:pt idx="69">
                  <c:v>3.0000000002816584E-3</c:v>
                </c:pt>
                <c:pt idx="70">
                  <c:v>3.0000000002816584E-3</c:v>
                </c:pt>
                <c:pt idx="71">
                  <c:v>2.9999999980612128E-3</c:v>
                </c:pt>
                <c:pt idx="72">
                  <c:v>3.0000000002816584E-3</c:v>
                </c:pt>
                <c:pt idx="73">
                  <c:v>3.0000000002816584E-3</c:v>
                </c:pt>
                <c:pt idx="74">
                  <c:v>3.0000000025021036E-3</c:v>
                </c:pt>
                <c:pt idx="75">
                  <c:v>3.0000000002816584E-3</c:v>
                </c:pt>
                <c:pt idx="76">
                  <c:v>2.9999999980612128E-3</c:v>
                </c:pt>
                <c:pt idx="77">
                  <c:v>3.0000000002816584E-3</c:v>
                </c:pt>
                <c:pt idx="78">
                  <c:v>3.0000000002816584E-3</c:v>
                </c:pt>
                <c:pt idx="79">
                  <c:v>3.0000000002816584E-3</c:v>
                </c:pt>
                <c:pt idx="80">
                  <c:v>3.0000000002816584E-3</c:v>
                </c:pt>
                <c:pt idx="81">
                  <c:v>3.0000000002816584E-3</c:v>
                </c:pt>
                <c:pt idx="82">
                  <c:v>3.0000000002816584E-3</c:v>
                </c:pt>
                <c:pt idx="83">
                  <c:v>2.9999999980612128E-3</c:v>
                </c:pt>
                <c:pt idx="84">
                  <c:v>3.0000000002816584E-3</c:v>
                </c:pt>
                <c:pt idx="85">
                  <c:v>2.9999999980612128E-3</c:v>
                </c:pt>
                <c:pt idx="86">
                  <c:v>2.9999999980612128E-3</c:v>
                </c:pt>
                <c:pt idx="87">
                  <c:v>3.0000000025021036E-3</c:v>
                </c:pt>
                <c:pt idx="88">
                  <c:v>3.0000000002816584E-3</c:v>
                </c:pt>
                <c:pt idx="89">
                  <c:v>3.0000000002816584E-3</c:v>
                </c:pt>
                <c:pt idx="90">
                  <c:v>2.9999999980612128E-3</c:v>
                </c:pt>
                <c:pt idx="91">
                  <c:v>3.0000000002816584E-3</c:v>
                </c:pt>
                <c:pt idx="92">
                  <c:v>3.0000000002816584E-3</c:v>
                </c:pt>
                <c:pt idx="93">
                  <c:v>3.0000000002816584E-3</c:v>
                </c:pt>
                <c:pt idx="94">
                  <c:v>3.0000000002816584E-3</c:v>
                </c:pt>
                <c:pt idx="95">
                  <c:v>3.0000000002816584E-3</c:v>
                </c:pt>
                <c:pt idx="96">
                  <c:v>2.9999999980612128E-3</c:v>
                </c:pt>
                <c:pt idx="97">
                  <c:v>3.0000000025021036E-3</c:v>
                </c:pt>
                <c:pt idx="98">
                  <c:v>3.0000000002816584E-3</c:v>
                </c:pt>
                <c:pt idx="99">
                  <c:v>3.0000000002816584E-3</c:v>
                </c:pt>
                <c:pt idx="100">
                  <c:v>3.0000000002816584E-3</c:v>
                </c:pt>
                <c:pt idx="101">
                  <c:v>3.0000000002816584E-3</c:v>
                </c:pt>
                <c:pt idx="102">
                  <c:v>3.0000000002816584E-3</c:v>
                </c:pt>
                <c:pt idx="103">
                  <c:v>3.0000000002816584E-3</c:v>
                </c:pt>
                <c:pt idx="104">
                  <c:v>3.0000000002816584E-3</c:v>
                </c:pt>
                <c:pt idx="105">
                  <c:v>3.0000000025021036E-3</c:v>
                </c:pt>
                <c:pt idx="106">
                  <c:v>3.0000000002816584E-3</c:v>
                </c:pt>
                <c:pt idx="107">
                  <c:v>3.0000000002816584E-3</c:v>
                </c:pt>
                <c:pt idx="108">
                  <c:v>2.9999999980612128E-3</c:v>
                </c:pt>
                <c:pt idx="109">
                  <c:v>3.0000000002816584E-3</c:v>
                </c:pt>
                <c:pt idx="110">
                  <c:v>3.0000000002816584E-3</c:v>
                </c:pt>
                <c:pt idx="111">
                  <c:v>3.0000000002816584E-3</c:v>
                </c:pt>
                <c:pt idx="112">
                  <c:v>3.0000000025021036E-3</c:v>
                </c:pt>
                <c:pt idx="113">
                  <c:v>3.0000000002816584E-3</c:v>
                </c:pt>
                <c:pt idx="114">
                  <c:v>3.0000000025021036E-3</c:v>
                </c:pt>
                <c:pt idx="115">
                  <c:v>3.0000000002816584E-3</c:v>
                </c:pt>
                <c:pt idx="116">
                  <c:v>2.9999999980612128E-3</c:v>
                </c:pt>
                <c:pt idx="117">
                  <c:v>3.0000000002816584E-3</c:v>
                </c:pt>
                <c:pt idx="118">
                  <c:v>2.9999999980612128E-3</c:v>
                </c:pt>
                <c:pt idx="119">
                  <c:v>3.0000000002816584E-3</c:v>
                </c:pt>
                <c:pt idx="120">
                  <c:v>2.9999999980612128E-3</c:v>
                </c:pt>
                <c:pt idx="121">
                  <c:v>3.0000000002816584E-3</c:v>
                </c:pt>
                <c:pt idx="122">
                  <c:v>3.0000000002816584E-3</c:v>
                </c:pt>
                <c:pt idx="123">
                  <c:v>3.0000000002816584E-3</c:v>
                </c:pt>
                <c:pt idx="124">
                  <c:v>3.0000000002816584E-3</c:v>
                </c:pt>
                <c:pt idx="125">
                  <c:v>2.9999999980612128E-3</c:v>
                </c:pt>
                <c:pt idx="126">
                  <c:v>3.0000000002816584E-3</c:v>
                </c:pt>
                <c:pt idx="127">
                  <c:v>3.0000000002816584E-3</c:v>
                </c:pt>
                <c:pt idx="128">
                  <c:v>3.0000000002816584E-3</c:v>
                </c:pt>
                <c:pt idx="129">
                  <c:v>3.0000000002816584E-3</c:v>
                </c:pt>
                <c:pt idx="130">
                  <c:v>3.0000000002816584E-3</c:v>
                </c:pt>
                <c:pt idx="131">
                  <c:v>3.0000000002816584E-3</c:v>
                </c:pt>
                <c:pt idx="132">
                  <c:v>3.0000000025021036E-3</c:v>
                </c:pt>
                <c:pt idx="133">
                  <c:v>3.0000000002816584E-3</c:v>
                </c:pt>
                <c:pt idx="134">
                  <c:v>3.0000000002816584E-3</c:v>
                </c:pt>
                <c:pt idx="135">
                  <c:v>2.9999999980612128E-3</c:v>
                </c:pt>
                <c:pt idx="136">
                  <c:v>3.0000000002816584E-3</c:v>
                </c:pt>
                <c:pt idx="137">
                  <c:v>3.0000000002816584E-3</c:v>
                </c:pt>
                <c:pt idx="138">
                  <c:v>3.0000000002816584E-3</c:v>
                </c:pt>
                <c:pt idx="139">
                  <c:v>3.0000000002816584E-3</c:v>
                </c:pt>
                <c:pt idx="140">
                  <c:v>3.0000000002816584E-3</c:v>
                </c:pt>
                <c:pt idx="141">
                  <c:v>3.0000000002816584E-3</c:v>
                </c:pt>
                <c:pt idx="142">
                  <c:v>3.0000000002816584E-3</c:v>
                </c:pt>
                <c:pt idx="143">
                  <c:v>3.0000000002816584E-3</c:v>
                </c:pt>
                <c:pt idx="144">
                  <c:v>3.0000000002816584E-3</c:v>
                </c:pt>
                <c:pt idx="145">
                  <c:v>3.0000000002816584E-3</c:v>
                </c:pt>
                <c:pt idx="146">
                  <c:v>3.0000000002816584E-3</c:v>
                </c:pt>
                <c:pt idx="147">
                  <c:v>3.0000000002816584E-3</c:v>
                </c:pt>
                <c:pt idx="148">
                  <c:v>3.0000000002816584E-3</c:v>
                </c:pt>
                <c:pt idx="149">
                  <c:v>3.0000000002816584E-3</c:v>
                </c:pt>
                <c:pt idx="150">
                  <c:v>3.0000000002816584E-3</c:v>
                </c:pt>
                <c:pt idx="151">
                  <c:v>3.0000000002816584E-3</c:v>
                </c:pt>
                <c:pt idx="152">
                  <c:v>3.0000000025021036E-3</c:v>
                </c:pt>
                <c:pt idx="153">
                  <c:v>3.0000000025021036E-3</c:v>
                </c:pt>
                <c:pt idx="154">
                  <c:v>3.0000000002816584E-3</c:v>
                </c:pt>
                <c:pt idx="155">
                  <c:v>2.9999999980612128E-3</c:v>
                </c:pt>
                <c:pt idx="156">
                  <c:v>3.0000000025021036E-3</c:v>
                </c:pt>
                <c:pt idx="157">
                  <c:v>3.0000000002816584E-3</c:v>
                </c:pt>
                <c:pt idx="158">
                  <c:v>3.0000000002816584E-3</c:v>
                </c:pt>
                <c:pt idx="159">
                  <c:v>3.0000000025021036E-3</c:v>
                </c:pt>
                <c:pt idx="160">
                  <c:v>3.0000000002816584E-3</c:v>
                </c:pt>
                <c:pt idx="161">
                  <c:v>3.0000000002816584E-3</c:v>
                </c:pt>
                <c:pt idx="162">
                  <c:v>3.0000000002816584E-3</c:v>
                </c:pt>
                <c:pt idx="163">
                  <c:v>3.0000000025021036E-3</c:v>
                </c:pt>
                <c:pt idx="164">
                  <c:v>3.0000000025021036E-3</c:v>
                </c:pt>
                <c:pt idx="165">
                  <c:v>3.0000000002816584E-3</c:v>
                </c:pt>
                <c:pt idx="166">
                  <c:v>3.0000000002816584E-3</c:v>
                </c:pt>
                <c:pt idx="167">
                  <c:v>3.0000000002816584E-3</c:v>
                </c:pt>
                <c:pt idx="168">
                  <c:v>3.0000000002816584E-3</c:v>
                </c:pt>
                <c:pt idx="169">
                  <c:v>3.0000000002816584E-3</c:v>
                </c:pt>
                <c:pt idx="170">
                  <c:v>3.0000000002816584E-3</c:v>
                </c:pt>
                <c:pt idx="171">
                  <c:v>3.0000000002816584E-3</c:v>
                </c:pt>
                <c:pt idx="172">
                  <c:v>2.9999999980612128E-3</c:v>
                </c:pt>
                <c:pt idx="173">
                  <c:v>3.0000000002816584E-3</c:v>
                </c:pt>
                <c:pt idx="174">
                  <c:v>3.0000000002816584E-3</c:v>
                </c:pt>
                <c:pt idx="175">
                  <c:v>3.0000000002816584E-3</c:v>
                </c:pt>
                <c:pt idx="176">
                  <c:v>2.9999999980612128E-3</c:v>
                </c:pt>
                <c:pt idx="177">
                  <c:v>3.0000000002816584E-3</c:v>
                </c:pt>
                <c:pt idx="178">
                  <c:v>3.0000000002816584E-3</c:v>
                </c:pt>
                <c:pt idx="179">
                  <c:v>3.0000000002816584E-3</c:v>
                </c:pt>
                <c:pt idx="180">
                  <c:v>3.0000000002816584E-3</c:v>
                </c:pt>
                <c:pt idx="181">
                  <c:v>3.0000000002816584E-3</c:v>
                </c:pt>
                <c:pt idx="182">
                  <c:v>3.0000000002816584E-3</c:v>
                </c:pt>
                <c:pt idx="183">
                  <c:v>3.0000000002816584E-3</c:v>
                </c:pt>
                <c:pt idx="184">
                  <c:v>3.0000000002816584E-3</c:v>
                </c:pt>
                <c:pt idx="185">
                  <c:v>3.0000000002816584E-3</c:v>
                </c:pt>
                <c:pt idx="186">
                  <c:v>3.0000000002816584E-3</c:v>
                </c:pt>
                <c:pt idx="187">
                  <c:v>3.0000000002816584E-3</c:v>
                </c:pt>
                <c:pt idx="188">
                  <c:v>3.0000000002816584E-3</c:v>
                </c:pt>
                <c:pt idx="189">
                  <c:v>3.0000000002816584E-3</c:v>
                </c:pt>
                <c:pt idx="190">
                  <c:v>3.0000000025021036E-3</c:v>
                </c:pt>
                <c:pt idx="191">
                  <c:v>3.0000000002816584E-3</c:v>
                </c:pt>
                <c:pt idx="192">
                  <c:v>3.0000000002816584E-3</c:v>
                </c:pt>
                <c:pt idx="193">
                  <c:v>2.9999999980612128E-3</c:v>
                </c:pt>
                <c:pt idx="194">
                  <c:v>3.0000000002816584E-3</c:v>
                </c:pt>
                <c:pt idx="195">
                  <c:v>3.0000000002816584E-3</c:v>
                </c:pt>
                <c:pt idx="196">
                  <c:v>2.9999999980612128E-3</c:v>
                </c:pt>
                <c:pt idx="197">
                  <c:v>3.0000000002816584E-3</c:v>
                </c:pt>
                <c:pt idx="198">
                  <c:v>2.9999999980612128E-3</c:v>
                </c:pt>
                <c:pt idx="199">
                  <c:v>3.0000000002816584E-3</c:v>
                </c:pt>
                <c:pt idx="200">
                  <c:v>3.0000000002816584E-3</c:v>
                </c:pt>
                <c:pt idx="201">
                  <c:v>3.0000000002816584E-3</c:v>
                </c:pt>
                <c:pt idx="202">
                  <c:v>3.0000000002816584E-3</c:v>
                </c:pt>
                <c:pt idx="203">
                  <c:v>3.0000000002816584E-3</c:v>
                </c:pt>
                <c:pt idx="204">
                  <c:v>3.0000000002816584E-3</c:v>
                </c:pt>
                <c:pt idx="205">
                  <c:v>3.0000000002816584E-3</c:v>
                </c:pt>
                <c:pt idx="206">
                  <c:v>3.0000000002816584E-3</c:v>
                </c:pt>
                <c:pt idx="207">
                  <c:v>3.0000000002816584E-3</c:v>
                </c:pt>
                <c:pt idx="208">
                  <c:v>2.9999999980612128E-3</c:v>
                </c:pt>
                <c:pt idx="209">
                  <c:v>2.9999999980612128E-3</c:v>
                </c:pt>
                <c:pt idx="210">
                  <c:v>2.9999999980612128E-3</c:v>
                </c:pt>
                <c:pt idx="211">
                  <c:v>3.0000000002816584E-3</c:v>
                </c:pt>
                <c:pt idx="212">
                  <c:v>2.9999999980612128E-3</c:v>
                </c:pt>
                <c:pt idx="213">
                  <c:v>3.0000000002816584E-3</c:v>
                </c:pt>
                <c:pt idx="214">
                  <c:v>3.0000000002816584E-3</c:v>
                </c:pt>
                <c:pt idx="215">
                  <c:v>3.0000000002816584E-3</c:v>
                </c:pt>
                <c:pt idx="216">
                  <c:v>2.9999999980612128E-3</c:v>
                </c:pt>
                <c:pt idx="217">
                  <c:v>3.0000000002816584E-3</c:v>
                </c:pt>
                <c:pt idx="218">
                  <c:v>3.0000000002816584E-3</c:v>
                </c:pt>
                <c:pt idx="219">
                  <c:v>3.0000000002816584E-3</c:v>
                </c:pt>
                <c:pt idx="220">
                  <c:v>3.0000000002816584E-3</c:v>
                </c:pt>
                <c:pt idx="221">
                  <c:v>3.0000000002816584E-3</c:v>
                </c:pt>
                <c:pt idx="222">
                  <c:v>2.9999999980612128E-3</c:v>
                </c:pt>
                <c:pt idx="223">
                  <c:v>3.0000000002816584E-3</c:v>
                </c:pt>
                <c:pt idx="224">
                  <c:v>3.0000000002816584E-3</c:v>
                </c:pt>
                <c:pt idx="225">
                  <c:v>3.0000000025021036E-3</c:v>
                </c:pt>
                <c:pt idx="226">
                  <c:v>3.0000000002816584E-3</c:v>
                </c:pt>
                <c:pt idx="227">
                  <c:v>3.0000000002816584E-3</c:v>
                </c:pt>
                <c:pt idx="228">
                  <c:v>2.9999999980612128E-3</c:v>
                </c:pt>
                <c:pt idx="229">
                  <c:v>3.0000000002816584E-3</c:v>
                </c:pt>
                <c:pt idx="230">
                  <c:v>3.0000000002816584E-3</c:v>
                </c:pt>
                <c:pt idx="231">
                  <c:v>3.0000000002816584E-3</c:v>
                </c:pt>
                <c:pt idx="232">
                  <c:v>3.0000000002816584E-3</c:v>
                </c:pt>
                <c:pt idx="233">
                  <c:v>3.0000000025021036E-3</c:v>
                </c:pt>
                <c:pt idx="234">
                  <c:v>3.0000000002816584E-3</c:v>
                </c:pt>
                <c:pt idx="235">
                  <c:v>3.0000000002816584E-3</c:v>
                </c:pt>
                <c:pt idx="236">
                  <c:v>2.9999999980612128E-3</c:v>
                </c:pt>
                <c:pt idx="237">
                  <c:v>3.0000000002816584E-3</c:v>
                </c:pt>
                <c:pt idx="238">
                  <c:v>3.0000000002816584E-3</c:v>
                </c:pt>
                <c:pt idx="239">
                  <c:v>3.0000000002816584E-3</c:v>
                </c:pt>
                <c:pt idx="240">
                  <c:v>2.9999999980612128E-3</c:v>
                </c:pt>
                <c:pt idx="241">
                  <c:v>3.0000000002816584E-3</c:v>
                </c:pt>
                <c:pt idx="242">
                  <c:v>3.0000000002816584E-3</c:v>
                </c:pt>
                <c:pt idx="243">
                  <c:v>3.0000000002816584E-3</c:v>
                </c:pt>
                <c:pt idx="244">
                  <c:v>3.0000000002816584E-3</c:v>
                </c:pt>
                <c:pt idx="245">
                  <c:v>3.0000000002816584E-3</c:v>
                </c:pt>
                <c:pt idx="246">
                  <c:v>3.0000000002816584E-3</c:v>
                </c:pt>
                <c:pt idx="247">
                  <c:v>3.0000000002816584E-3</c:v>
                </c:pt>
                <c:pt idx="248">
                  <c:v>2.9999999980612128E-3</c:v>
                </c:pt>
                <c:pt idx="249">
                  <c:v>3.0000000002816584E-3</c:v>
                </c:pt>
                <c:pt idx="250">
                  <c:v>3.0000000002816584E-3</c:v>
                </c:pt>
                <c:pt idx="251">
                  <c:v>3.0000000002816584E-3</c:v>
                </c:pt>
                <c:pt idx="252">
                  <c:v>3.0000000002816584E-3</c:v>
                </c:pt>
                <c:pt idx="253">
                  <c:v>3.0000000002816584E-3</c:v>
                </c:pt>
                <c:pt idx="254">
                  <c:v>3.0000000002816584E-3</c:v>
                </c:pt>
                <c:pt idx="255">
                  <c:v>3.0000000002816584E-3</c:v>
                </c:pt>
                <c:pt idx="256">
                  <c:v>3.0000000002816584E-3</c:v>
                </c:pt>
                <c:pt idx="257">
                  <c:v>3.0000000002816584E-3</c:v>
                </c:pt>
                <c:pt idx="258">
                  <c:v>2.9999999980612128E-3</c:v>
                </c:pt>
                <c:pt idx="259">
                  <c:v>3.0000000002816584E-3</c:v>
                </c:pt>
                <c:pt idx="260">
                  <c:v>2.9999999980612128E-3</c:v>
                </c:pt>
                <c:pt idx="261">
                  <c:v>3.0000000002816584E-3</c:v>
                </c:pt>
                <c:pt idx="262">
                  <c:v>3.0000000002816584E-3</c:v>
                </c:pt>
                <c:pt idx="263">
                  <c:v>3.0000000002816584E-3</c:v>
                </c:pt>
                <c:pt idx="264">
                  <c:v>3.0000000002816584E-3</c:v>
                </c:pt>
                <c:pt idx="265">
                  <c:v>3.0000000002816584E-3</c:v>
                </c:pt>
                <c:pt idx="266">
                  <c:v>3.0000000002816584E-3</c:v>
                </c:pt>
                <c:pt idx="267">
                  <c:v>2.9999999980612128E-3</c:v>
                </c:pt>
                <c:pt idx="268">
                  <c:v>3.0000000002816584E-3</c:v>
                </c:pt>
                <c:pt idx="269">
                  <c:v>3.0000000002816584E-3</c:v>
                </c:pt>
                <c:pt idx="270">
                  <c:v>3.0000000002816584E-3</c:v>
                </c:pt>
                <c:pt idx="271">
                  <c:v>2.9999999980612128E-3</c:v>
                </c:pt>
                <c:pt idx="272">
                  <c:v>2.9999999980612128E-3</c:v>
                </c:pt>
                <c:pt idx="273">
                  <c:v>3.0000000002816584E-3</c:v>
                </c:pt>
                <c:pt idx="274">
                  <c:v>3.0000000002816584E-3</c:v>
                </c:pt>
                <c:pt idx="275">
                  <c:v>3.0000000002816584E-3</c:v>
                </c:pt>
                <c:pt idx="276">
                  <c:v>3.0000000002816584E-3</c:v>
                </c:pt>
                <c:pt idx="277">
                  <c:v>3.0000000002816584E-3</c:v>
                </c:pt>
                <c:pt idx="278">
                  <c:v>2.9999999980612128E-3</c:v>
                </c:pt>
                <c:pt idx="279">
                  <c:v>2.9999999980612128E-3</c:v>
                </c:pt>
                <c:pt idx="280">
                  <c:v>3.0000000002816584E-3</c:v>
                </c:pt>
                <c:pt idx="281">
                  <c:v>3.0000000002816584E-3</c:v>
                </c:pt>
                <c:pt idx="282">
                  <c:v>3.0000000002816584E-3</c:v>
                </c:pt>
                <c:pt idx="283">
                  <c:v>3.0000000002816584E-3</c:v>
                </c:pt>
                <c:pt idx="284">
                  <c:v>2.9999999980612128E-3</c:v>
                </c:pt>
                <c:pt idx="285">
                  <c:v>2.9999999980612128E-3</c:v>
                </c:pt>
                <c:pt idx="286">
                  <c:v>3.0000000002816584E-3</c:v>
                </c:pt>
                <c:pt idx="287">
                  <c:v>3.0000000002816584E-3</c:v>
                </c:pt>
                <c:pt idx="288">
                  <c:v>3.0000000002816584E-3</c:v>
                </c:pt>
                <c:pt idx="289">
                  <c:v>3.0000000002816584E-3</c:v>
                </c:pt>
                <c:pt idx="290">
                  <c:v>3.0000000002816584E-3</c:v>
                </c:pt>
                <c:pt idx="291">
                  <c:v>3.0000000025021036E-3</c:v>
                </c:pt>
                <c:pt idx="292">
                  <c:v>3.0000000002816584E-3</c:v>
                </c:pt>
                <c:pt idx="293">
                  <c:v>3.0000000002816584E-3</c:v>
                </c:pt>
                <c:pt idx="294">
                  <c:v>3.0000000002816584E-3</c:v>
                </c:pt>
                <c:pt idx="295">
                  <c:v>2.9999999980612128E-3</c:v>
                </c:pt>
                <c:pt idx="296">
                  <c:v>3.0000000002816584E-3</c:v>
                </c:pt>
                <c:pt idx="297">
                  <c:v>3.0000000002816584E-3</c:v>
                </c:pt>
                <c:pt idx="298">
                  <c:v>3.0000000002816584E-3</c:v>
                </c:pt>
                <c:pt idx="299">
                  <c:v>3.0000000002816584E-3</c:v>
                </c:pt>
                <c:pt idx="300">
                  <c:v>3.0000000002816584E-3</c:v>
                </c:pt>
                <c:pt idx="301">
                  <c:v>3.0000000025021036E-3</c:v>
                </c:pt>
                <c:pt idx="302">
                  <c:v>3.0000000002816584E-3</c:v>
                </c:pt>
                <c:pt idx="303">
                  <c:v>3.0000000002816584E-3</c:v>
                </c:pt>
                <c:pt idx="304">
                  <c:v>3.0000000002816584E-3</c:v>
                </c:pt>
                <c:pt idx="305">
                  <c:v>3.0000000002816584E-3</c:v>
                </c:pt>
                <c:pt idx="306">
                  <c:v>3.0000000002816584E-3</c:v>
                </c:pt>
                <c:pt idx="307">
                  <c:v>2.9999999980612128E-3</c:v>
                </c:pt>
                <c:pt idx="308">
                  <c:v>3.0000000002816584E-3</c:v>
                </c:pt>
                <c:pt idx="309">
                  <c:v>3.0000000002816584E-3</c:v>
                </c:pt>
                <c:pt idx="310">
                  <c:v>3.0000000002816584E-3</c:v>
                </c:pt>
                <c:pt idx="311">
                  <c:v>2.9999999980612128E-3</c:v>
                </c:pt>
                <c:pt idx="312">
                  <c:v>3.0000000002816584E-3</c:v>
                </c:pt>
                <c:pt idx="313">
                  <c:v>3.0000000002816584E-3</c:v>
                </c:pt>
                <c:pt idx="314">
                  <c:v>3.0000000002816584E-3</c:v>
                </c:pt>
                <c:pt idx="315">
                  <c:v>3.0000000002816584E-3</c:v>
                </c:pt>
                <c:pt idx="316">
                  <c:v>3.0000000002816584E-3</c:v>
                </c:pt>
                <c:pt idx="317">
                  <c:v>3.0000000002816584E-3</c:v>
                </c:pt>
                <c:pt idx="318">
                  <c:v>3.0000000002816584E-3</c:v>
                </c:pt>
                <c:pt idx="319">
                  <c:v>3.0000000002816584E-3</c:v>
                </c:pt>
                <c:pt idx="320">
                  <c:v>3.0000000002816584E-3</c:v>
                </c:pt>
                <c:pt idx="321">
                  <c:v>3.0000000002816584E-3</c:v>
                </c:pt>
                <c:pt idx="322">
                  <c:v>3.0000000002816584E-3</c:v>
                </c:pt>
                <c:pt idx="323">
                  <c:v>3.0000000002816584E-3</c:v>
                </c:pt>
                <c:pt idx="324">
                  <c:v>3.0000000025021036E-3</c:v>
                </c:pt>
                <c:pt idx="325">
                  <c:v>3.0000000002816584E-3</c:v>
                </c:pt>
                <c:pt idx="326">
                  <c:v>3.0000000002816584E-3</c:v>
                </c:pt>
                <c:pt idx="327">
                  <c:v>3.0000000002816584E-3</c:v>
                </c:pt>
                <c:pt idx="328">
                  <c:v>3.0000000002816584E-3</c:v>
                </c:pt>
                <c:pt idx="329">
                  <c:v>3.0000000002816584E-3</c:v>
                </c:pt>
                <c:pt idx="330">
                  <c:v>3.0000000002816584E-3</c:v>
                </c:pt>
                <c:pt idx="331">
                  <c:v>3.0000000002816584E-3</c:v>
                </c:pt>
                <c:pt idx="332">
                  <c:v>3.0000000002816584E-3</c:v>
                </c:pt>
                <c:pt idx="333">
                  <c:v>3.0000000002816584E-3</c:v>
                </c:pt>
                <c:pt idx="334">
                  <c:v>3.0000000002816584E-3</c:v>
                </c:pt>
                <c:pt idx="335">
                  <c:v>2.9999999980612128E-3</c:v>
                </c:pt>
                <c:pt idx="336">
                  <c:v>3.0000000025021036E-3</c:v>
                </c:pt>
                <c:pt idx="337">
                  <c:v>3.0000000002816584E-3</c:v>
                </c:pt>
                <c:pt idx="338">
                  <c:v>3.0000000002816584E-3</c:v>
                </c:pt>
                <c:pt idx="339">
                  <c:v>3.0000000002816584E-3</c:v>
                </c:pt>
                <c:pt idx="340">
                  <c:v>3.0000000002816584E-3</c:v>
                </c:pt>
                <c:pt idx="341">
                  <c:v>3.0000000002816584E-3</c:v>
                </c:pt>
                <c:pt idx="342">
                  <c:v>3.0000000025021036E-3</c:v>
                </c:pt>
                <c:pt idx="343">
                  <c:v>3.0000000002816584E-3</c:v>
                </c:pt>
                <c:pt idx="344">
                  <c:v>3.0000000002816584E-3</c:v>
                </c:pt>
                <c:pt idx="345">
                  <c:v>3.0000000002816584E-3</c:v>
                </c:pt>
                <c:pt idx="346">
                  <c:v>3.0000000002816584E-3</c:v>
                </c:pt>
                <c:pt idx="347">
                  <c:v>3.0000000002816584E-3</c:v>
                </c:pt>
                <c:pt idx="348">
                  <c:v>3.0000000002816584E-3</c:v>
                </c:pt>
                <c:pt idx="349">
                  <c:v>2.9999999980612128E-3</c:v>
                </c:pt>
                <c:pt idx="350">
                  <c:v>3.0000000025021036E-3</c:v>
                </c:pt>
                <c:pt idx="351">
                  <c:v>3.0000000002816584E-3</c:v>
                </c:pt>
                <c:pt idx="352">
                  <c:v>3.0000000002816584E-3</c:v>
                </c:pt>
                <c:pt idx="353">
                  <c:v>3.0000000002816584E-3</c:v>
                </c:pt>
                <c:pt idx="354">
                  <c:v>3.0000000025021036E-3</c:v>
                </c:pt>
                <c:pt idx="355">
                  <c:v>3.0000000002816584E-3</c:v>
                </c:pt>
                <c:pt idx="356">
                  <c:v>3.0000000002816584E-3</c:v>
                </c:pt>
                <c:pt idx="357">
                  <c:v>3.0000000002816584E-3</c:v>
                </c:pt>
                <c:pt idx="358">
                  <c:v>2.9999999980612128E-3</c:v>
                </c:pt>
                <c:pt idx="359">
                  <c:v>3.0000000002816584E-3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2C-4036-92F0-15792693E46D}"/>
            </c:ext>
          </c:extLst>
        </c:ser>
        <c:ser>
          <c:idx val="2"/>
          <c:order val="2"/>
          <c:tx>
            <c:strRef>
              <c:f>'Projection Curve'!$F$9</c:f>
              <c:strCache>
                <c:ptCount val="1"/>
                <c:pt idx="0">
                  <c:v>Projection Curve</c:v>
                </c:pt>
              </c:strCache>
            </c:strRef>
          </c:tx>
          <c:marker>
            <c:symbol val="none"/>
          </c:marker>
          <c:xVal>
            <c:numRef>
              <c:f>'Projection Curve'!$C$10:$C$369</c:f>
              <c:numCache>
                <c:formatCode>0.00</c:formatCode>
                <c:ptCount val="360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</c:numCache>
            </c:numRef>
          </c:xVal>
          <c:yVal>
            <c:numRef>
              <c:f>'Projection Curve'!$F$10:$F$369</c:f>
              <c:numCache>
                <c:formatCode>0.00%</c:formatCode>
                <c:ptCount val="3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2.9999999999267082E-2</c:v>
                </c:pt>
                <c:pt idx="14">
                  <c:v>2.9999999999267082E-2</c:v>
                </c:pt>
                <c:pt idx="15">
                  <c:v>2.9999999999267082E-2</c:v>
                </c:pt>
                <c:pt idx="16">
                  <c:v>2.9999999999267082E-2</c:v>
                </c:pt>
                <c:pt idx="17">
                  <c:v>2.9999999999267082E-2</c:v>
                </c:pt>
                <c:pt idx="18">
                  <c:v>2.9999999999267082E-2</c:v>
                </c:pt>
                <c:pt idx="19">
                  <c:v>3.0000000001487521E-2</c:v>
                </c:pt>
                <c:pt idx="20">
                  <c:v>2.9999999999267082E-2</c:v>
                </c:pt>
                <c:pt idx="21">
                  <c:v>2.9999999999267082E-2</c:v>
                </c:pt>
                <c:pt idx="22">
                  <c:v>3.0000000001487521E-2</c:v>
                </c:pt>
                <c:pt idx="23">
                  <c:v>2.9999999997046643E-2</c:v>
                </c:pt>
                <c:pt idx="24">
                  <c:v>3.0000000001487521E-2</c:v>
                </c:pt>
                <c:pt idx="25">
                  <c:v>3.0000006249803958E-2</c:v>
                </c:pt>
                <c:pt idx="26">
                  <c:v>3.0042465753701487E-2</c:v>
                </c:pt>
                <c:pt idx="27">
                  <c:v>3.0083561643413751E-2</c:v>
                </c:pt>
                <c:pt idx="28">
                  <c:v>3.0126027395272863E-2</c:v>
                </c:pt>
                <c:pt idx="29">
                  <c:v>3.0168493149172085E-2</c:v>
                </c:pt>
                <c:pt idx="30">
                  <c:v>3.0206849315978095E-2</c:v>
                </c:pt>
                <c:pt idx="31">
                  <c:v>3.024931506731366E-2</c:v>
                </c:pt>
                <c:pt idx="32">
                  <c:v>3.02904109583963E-2</c:v>
                </c:pt>
                <c:pt idx="33">
                  <c:v>3.0332876711597453E-2</c:v>
                </c:pt>
                <c:pt idx="34">
                  <c:v>3.0373972602336683E-2</c:v>
                </c:pt>
                <c:pt idx="35">
                  <c:v>3.0416438357403427E-2</c:v>
                </c:pt>
                <c:pt idx="36">
                  <c:v>3.0458904107848954E-2</c:v>
                </c:pt>
                <c:pt idx="37">
                  <c:v>3.0500000000290708E-2</c:v>
                </c:pt>
                <c:pt idx="38">
                  <c:v>3.0542465754822262E-2</c:v>
                </c:pt>
                <c:pt idx="39">
                  <c:v>3.0583561642479735E-2</c:v>
                </c:pt>
                <c:pt idx="40">
                  <c:v>3.062602739665644E-2</c:v>
                </c:pt>
                <c:pt idx="41">
                  <c:v>3.066849315287325E-2</c:v>
                </c:pt>
                <c:pt idx="42">
                  <c:v>3.0706849315541015E-2</c:v>
                </c:pt>
                <c:pt idx="43">
                  <c:v>3.0749315069194171E-2</c:v>
                </c:pt>
                <c:pt idx="44">
                  <c:v>3.0790410960442452E-2</c:v>
                </c:pt>
                <c:pt idx="45">
                  <c:v>3.0832876709299874E-2</c:v>
                </c:pt>
                <c:pt idx="46">
                  <c:v>3.0873972604645632E-2</c:v>
                </c:pt>
                <c:pt idx="47">
                  <c:v>3.0916438357589088E-2</c:v>
                </c:pt>
                <c:pt idx="48">
                  <c:v>3.0958904110352205E-2</c:v>
                </c:pt>
                <c:pt idx="49">
                  <c:v>3.100001887891295E-2</c:v>
                </c:pt>
                <c:pt idx="50">
                  <c:v>3.1170735448689361E-2</c:v>
                </c:pt>
                <c:pt idx="51">
                  <c:v>3.1335963303281374E-2</c:v>
                </c:pt>
                <c:pt idx="52">
                  <c:v>3.1506698749936363E-2</c:v>
                </c:pt>
                <c:pt idx="53">
                  <c:v>3.1677434198117173E-2</c:v>
                </c:pt>
                <c:pt idx="54">
                  <c:v>3.1831646863999898E-2</c:v>
                </c:pt>
                <c:pt idx="55">
                  <c:v>3.2002382311073566E-2</c:v>
                </c:pt>
                <c:pt idx="56">
                  <c:v>3.2167610163026647E-2</c:v>
                </c:pt>
                <c:pt idx="57">
                  <c:v>3.2338345611025554E-2</c:v>
                </c:pt>
                <c:pt idx="58">
                  <c:v>3.2503573464088907E-2</c:v>
                </c:pt>
                <c:pt idx="59">
                  <c:v>3.2674308913013039E-2</c:v>
                </c:pt>
                <c:pt idx="60">
                  <c:v>3.2845044361242554E-2</c:v>
                </c:pt>
                <c:pt idx="61">
                  <c:v>3.3010291328352086E-2</c:v>
                </c:pt>
                <c:pt idx="62">
                  <c:v>3.3310880826295353E-2</c:v>
                </c:pt>
                <c:pt idx="63">
                  <c:v>3.3601792391513306E-2</c:v>
                </c:pt>
                <c:pt idx="64">
                  <c:v>3.3902401005195412E-2</c:v>
                </c:pt>
                <c:pt idx="65">
                  <c:v>3.4203009618722718E-2</c:v>
                </c:pt>
                <c:pt idx="66">
                  <c:v>3.4484224126058935E-2</c:v>
                </c:pt>
                <c:pt idx="67">
                  <c:v>3.4784832744300519E-2</c:v>
                </c:pt>
                <c:pt idx="68">
                  <c:v>3.5075744302166527E-2</c:v>
                </c:pt>
                <c:pt idx="69">
                  <c:v>3.5376352918169575E-2</c:v>
                </c:pt>
                <c:pt idx="70">
                  <c:v>3.5667264481031954E-2</c:v>
                </c:pt>
                <c:pt idx="71">
                  <c:v>3.596787309479646E-2</c:v>
                </c:pt>
                <c:pt idx="72">
                  <c:v>3.6268481708406172E-2</c:v>
                </c:pt>
                <c:pt idx="73">
                  <c:v>3.6559389024262985E-2</c:v>
                </c:pt>
                <c:pt idx="74">
                  <c:v>3.6831150854820846E-2</c:v>
                </c:pt>
                <c:pt idx="75">
                  <c:v>3.7094142061879221E-2</c:v>
                </c:pt>
                <c:pt idx="76">
                  <c:v>3.7365899641309305E-2</c:v>
                </c:pt>
                <c:pt idx="77">
                  <c:v>3.7637657224456354E-2</c:v>
                </c:pt>
                <c:pt idx="78">
                  <c:v>3.7883115685964475E-2</c:v>
                </c:pt>
                <c:pt idx="79">
                  <c:v>3.8154873266157976E-2</c:v>
                </c:pt>
                <c:pt idx="80">
                  <c:v>3.841786447393062E-2</c:v>
                </c:pt>
                <c:pt idx="81">
                  <c:v>3.8689622059575858E-2</c:v>
                </c:pt>
                <c:pt idx="82">
                  <c:v>3.8952613266607698E-2</c:v>
                </c:pt>
                <c:pt idx="83">
                  <c:v>3.9224370848822916E-2</c:v>
                </c:pt>
                <c:pt idx="84">
                  <c:v>3.9496128432534673E-2</c:v>
                </c:pt>
                <c:pt idx="85">
                  <c:v>3.9759116427587823E-2</c:v>
                </c:pt>
                <c:pt idx="86">
                  <c:v>4.0009045867112028E-2</c:v>
                </c:pt>
                <c:pt idx="87">
                  <c:v>4.0250909957822316E-2</c:v>
                </c:pt>
                <c:pt idx="88">
                  <c:v>4.0500836185405356E-2</c:v>
                </c:pt>
                <c:pt idx="89">
                  <c:v>4.0750762413403398E-2</c:v>
                </c:pt>
                <c:pt idx="90">
                  <c:v>4.0976502230381226E-2</c:v>
                </c:pt>
                <c:pt idx="91">
                  <c:v>4.1226428459813752E-2</c:v>
                </c:pt>
                <c:pt idx="92">
                  <c:v>4.1468292547725161E-2</c:v>
                </c:pt>
                <c:pt idx="93">
                  <c:v>4.1718218778189181E-2</c:v>
                </c:pt>
                <c:pt idx="94">
                  <c:v>4.1960082867528579E-2</c:v>
                </c:pt>
                <c:pt idx="95">
                  <c:v>4.2210009094583209E-2</c:v>
                </c:pt>
                <c:pt idx="96">
                  <c:v>4.2459935324273272E-2</c:v>
                </c:pt>
                <c:pt idx="97">
                  <c:v>4.2701796868816394E-2</c:v>
                </c:pt>
                <c:pt idx="98">
                  <c:v>4.2934438240280162E-2</c:v>
                </c:pt>
                <c:pt idx="99">
                  <c:v>4.3159572588197831E-2</c:v>
                </c:pt>
                <c:pt idx="100">
                  <c:v>4.3392211413273464E-2</c:v>
                </c:pt>
                <c:pt idx="101">
                  <c:v>4.362485023959832E-2</c:v>
                </c:pt>
                <c:pt idx="102">
                  <c:v>4.3834975630405219E-2</c:v>
                </c:pt>
                <c:pt idx="103">
                  <c:v>4.4067614453090972E-2</c:v>
                </c:pt>
                <c:pt idx="104">
                  <c:v>4.4292748802142186E-2</c:v>
                </c:pt>
                <c:pt idx="105">
                  <c:v>4.4525387629721414E-2</c:v>
                </c:pt>
                <c:pt idx="106">
                  <c:v>4.4750521977348322E-2</c:v>
                </c:pt>
                <c:pt idx="107">
                  <c:v>4.4983160800939267E-2</c:v>
                </c:pt>
                <c:pt idx="108">
                  <c:v>4.521579962577945E-2</c:v>
                </c:pt>
                <c:pt idx="109">
                  <c:v>4.5440931892857368E-2</c:v>
                </c:pt>
                <c:pt idx="110">
                  <c:v>4.5659425473378451E-2</c:v>
                </c:pt>
                <c:pt idx="111">
                  <c:v>4.5870868856619604E-2</c:v>
                </c:pt>
                <c:pt idx="112">
                  <c:v>4.6089360351639352E-2</c:v>
                </c:pt>
                <c:pt idx="113">
                  <c:v>4.6307851848546543E-2</c:v>
                </c:pt>
                <c:pt idx="114">
                  <c:v>4.6512247119894268E-2</c:v>
                </c:pt>
                <c:pt idx="115">
                  <c:v>4.6730738616443487E-2</c:v>
                </c:pt>
                <c:pt idx="116">
                  <c:v>4.6942181999236804E-2</c:v>
                </c:pt>
                <c:pt idx="117">
                  <c:v>4.7160673495274051E-2</c:v>
                </c:pt>
                <c:pt idx="118">
                  <c:v>4.7372116880078856E-2</c:v>
                </c:pt>
                <c:pt idx="119">
                  <c:v>4.7590608377824577E-2</c:v>
                </c:pt>
                <c:pt idx="120">
                  <c:v>4.7809099873016875E-2</c:v>
                </c:pt>
                <c:pt idx="121">
                  <c:v>4.8020541512171534E-2</c:v>
                </c:pt>
                <c:pt idx="122">
                  <c:v>4.8227191047713017E-2</c:v>
                </c:pt>
                <c:pt idx="123">
                  <c:v>4.8427172787205958E-2</c:v>
                </c:pt>
                <c:pt idx="124">
                  <c:v>4.8633820582404931E-2</c:v>
                </c:pt>
                <c:pt idx="125">
                  <c:v>4.8840468377774435E-2</c:v>
                </c:pt>
                <c:pt idx="126">
                  <c:v>4.9027117999452668E-2</c:v>
                </c:pt>
                <c:pt idx="127">
                  <c:v>4.9233765795576513E-2</c:v>
                </c:pt>
                <c:pt idx="128">
                  <c:v>4.9433747530482852E-2</c:v>
                </c:pt>
                <c:pt idx="129">
                  <c:v>4.964039532486509E-2</c:v>
                </c:pt>
                <c:pt idx="130">
                  <c:v>4.9840377062741761E-2</c:v>
                </c:pt>
                <c:pt idx="131">
                  <c:v>5.0047024859823271E-2</c:v>
                </c:pt>
                <c:pt idx="132">
                  <c:v>5.0253672654854871E-2</c:v>
                </c:pt>
                <c:pt idx="133">
                  <c:v>5.0453624266929731E-2</c:v>
                </c:pt>
                <c:pt idx="134">
                  <c:v>5.0455622491758612E-2</c:v>
                </c:pt>
                <c:pt idx="135">
                  <c:v>5.0457527105274437E-2</c:v>
                </c:pt>
                <c:pt idx="136">
                  <c:v>5.0459495205462994E-2</c:v>
                </c:pt>
                <c:pt idx="137">
                  <c:v>5.0461463307871594E-2</c:v>
                </c:pt>
                <c:pt idx="138">
                  <c:v>5.0463240945819748E-2</c:v>
                </c:pt>
                <c:pt idx="139">
                  <c:v>5.0465209052668492E-2</c:v>
                </c:pt>
                <c:pt idx="140">
                  <c:v>5.0467113663962053E-2</c:v>
                </c:pt>
                <c:pt idx="141">
                  <c:v>5.0469081766369162E-2</c:v>
                </c:pt>
                <c:pt idx="142">
                  <c:v>5.0470986379882427E-2</c:v>
                </c:pt>
                <c:pt idx="143">
                  <c:v>5.0472954482288772E-2</c:v>
                </c:pt>
                <c:pt idx="144">
                  <c:v>5.0474922584694722E-2</c:v>
                </c:pt>
                <c:pt idx="145">
                  <c:v>5.0476827193766005E-2</c:v>
                </c:pt>
                <c:pt idx="146">
                  <c:v>5.0478795296171192E-2</c:v>
                </c:pt>
                <c:pt idx="147">
                  <c:v>5.0480699911903043E-2</c:v>
                </c:pt>
                <c:pt idx="148">
                  <c:v>5.0482668009866602E-2</c:v>
                </c:pt>
                <c:pt idx="149">
                  <c:v>5.0484636112270651E-2</c:v>
                </c:pt>
                <c:pt idx="150">
                  <c:v>5.0486413752435115E-2</c:v>
                </c:pt>
                <c:pt idx="151">
                  <c:v>5.048838185705886E-2</c:v>
                </c:pt>
                <c:pt idx="152">
                  <c:v>5.0490286470568448E-2</c:v>
                </c:pt>
                <c:pt idx="153">
                  <c:v>5.0492254566309687E-2</c:v>
                </c:pt>
                <c:pt idx="154">
                  <c:v>5.0494159182038971E-2</c:v>
                </c:pt>
                <c:pt idx="155">
                  <c:v>5.0496127284440757E-2</c:v>
                </c:pt>
                <c:pt idx="156">
                  <c:v>5.0498095389062587E-2</c:v>
                </c:pt>
                <c:pt idx="157">
                  <c:v>5.0499997626705047E-2</c:v>
                </c:pt>
                <c:pt idx="158">
                  <c:v>5.0485857666734017E-2</c:v>
                </c:pt>
                <c:pt idx="159">
                  <c:v>5.0472171532538655E-2</c:v>
                </c:pt>
                <c:pt idx="160">
                  <c:v>5.0458029198883418E-2</c:v>
                </c:pt>
                <c:pt idx="161">
                  <c:v>5.0443886860767319E-2</c:v>
                </c:pt>
                <c:pt idx="162">
                  <c:v>5.0430656934838662E-2</c:v>
                </c:pt>
                <c:pt idx="163">
                  <c:v>5.0416514596683844E-2</c:v>
                </c:pt>
                <c:pt idx="164">
                  <c:v>5.040282846683445E-2</c:v>
                </c:pt>
                <c:pt idx="165">
                  <c:v>5.0388686130860713E-2</c:v>
                </c:pt>
                <c:pt idx="166">
                  <c:v>5.0374999998752799E-2</c:v>
                </c:pt>
                <c:pt idx="167">
                  <c:v>5.0360857662739712E-2</c:v>
                </c:pt>
                <c:pt idx="168">
                  <c:v>5.034671532670662E-2</c:v>
                </c:pt>
                <c:pt idx="169">
                  <c:v>5.0333029198982131E-2</c:v>
                </c:pt>
                <c:pt idx="170">
                  <c:v>5.0318886860689242E-2</c:v>
                </c:pt>
                <c:pt idx="171">
                  <c:v>5.0305200730706233E-2</c:v>
                </c:pt>
                <c:pt idx="172">
                  <c:v>5.0291058394594426E-2</c:v>
                </c:pt>
                <c:pt idx="173">
                  <c:v>5.0276916060683061E-2</c:v>
                </c:pt>
                <c:pt idx="174">
                  <c:v>5.0264142336203944E-2</c:v>
                </c:pt>
                <c:pt idx="175">
                  <c:v>5.0250000000034073E-2</c:v>
                </c:pt>
                <c:pt idx="176">
                  <c:v>5.0236313867736353E-2</c:v>
                </c:pt>
                <c:pt idx="177">
                  <c:v>5.0222171531527131E-2</c:v>
                </c:pt>
                <c:pt idx="178">
                  <c:v>5.0208485399191316E-2</c:v>
                </c:pt>
                <c:pt idx="179">
                  <c:v>5.0194343067383601E-2</c:v>
                </c:pt>
                <c:pt idx="180">
                  <c:v>5.0180200726674153E-2</c:v>
                </c:pt>
                <c:pt idx="181">
                  <c:v>5.016651459650133E-2</c:v>
                </c:pt>
                <c:pt idx="182">
                  <c:v>5.0152372262413827E-2</c:v>
                </c:pt>
                <c:pt idx="183">
                  <c:v>5.0138686129982492E-2</c:v>
                </c:pt>
                <c:pt idx="184">
                  <c:v>5.01245437936352E-2</c:v>
                </c:pt>
                <c:pt idx="185">
                  <c:v>5.0110401461708774E-2</c:v>
                </c:pt>
                <c:pt idx="186">
                  <c:v>5.0097627739237385E-2</c:v>
                </c:pt>
                <c:pt idx="187">
                  <c:v>5.008348540061159E-2</c:v>
                </c:pt>
                <c:pt idx="188">
                  <c:v>5.0069799268085975E-2</c:v>
                </c:pt>
                <c:pt idx="189">
                  <c:v>5.0055656933861693E-2</c:v>
                </c:pt>
                <c:pt idx="190">
                  <c:v>5.0041970805738856E-2</c:v>
                </c:pt>
                <c:pt idx="191">
                  <c:v>5.0027828469254784E-2</c:v>
                </c:pt>
                <c:pt idx="192">
                  <c:v>5.0013686130530276E-2</c:v>
                </c:pt>
                <c:pt idx="193">
                  <c:v>4.9999997084698482E-2</c:v>
                </c:pt>
                <c:pt idx="194">
                  <c:v>4.9966046001476513E-2</c:v>
                </c:pt>
                <c:pt idx="195">
                  <c:v>4.993318729442537E-2</c:v>
                </c:pt>
                <c:pt idx="196">
                  <c:v>4.9899233297765896E-2</c:v>
                </c:pt>
                <c:pt idx="197">
                  <c:v>4.9865279298770701E-2</c:v>
                </c:pt>
                <c:pt idx="198">
                  <c:v>4.9834611170403657E-2</c:v>
                </c:pt>
                <c:pt idx="199">
                  <c:v>4.9800657173409493E-2</c:v>
                </c:pt>
                <c:pt idx="200">
                  <c:v>4.9767798465814889E-2</c:v>
                </c:pt>
                <c:pt idx="201">
                  <c:v>4.9733844468593857E-2</c:v>
                </c:pt>
                <c:pt idx="202">
                  <c:v>4.9700985760779727E-2</c:v>
                </c:pt>
                <c:pt idx="203">
                  <c:v>4.9667031763331836E-2</c:v>
                </c:pt>
                <c:pt idx="204">
                  <c:v>4.9633077767989101E-2</c:v>
                </c:pt>
                <c:pt idx="205">
                  <c:v>4.9600219057623421E-2</c:v>
                </c:pt>
                <c:pt idx="206">
                  <c:v>4.9566265059833386E-2</c:v>
                </c:pt>
                <c:pt idx="207">
                  <c:v>4.9533406353689045E-2</c:v>
                </c:pt>
                <c:pt idx="208">
                  <c:v>4.9499452353451719E-2</c:v>
                </c:pt>
                <c:pt idx="209">
                  <c:v>4.9465498355319548E-2</c:v>
                </c:pt>
                <c:pt idx="210">
                  <c:v>4.9433734938395556E-2</c:v>
                </c:pt>
                <c:pt idx="211">
                  <c:v>4.9399780942260683E-2</c:v>
                </c:pt>
                <c:pt idx="212">
                  <c:v>4.9366922237789726E-2</c:v>
                </c:pt>
                <c:pt idx="213">
                  <c:v>4.933296823476669E-2</c:v>
                </c:pt>
                <c:pt idx="214">
                  <c:v>4.93001095300762E-2</c:v>
                </c:pt>
                <c:pt idx="215">
                  <c:v>4.9266155529046743E-2</c:v>
                </c:pt>
                <c:pt idx="216">
                  <c:v>4.9232201532342861E-2</c:v>
                </c:pt>
                <c:pt idx="217">
                  <c:v>4.9199342825100828E-2</c:v>
                </c:pt>
                <c:pt idx="218">
                  <c:v>4.9165388825949667E-2</c:v>
                </c:pt>
                <c:pt idx="219">
                  <c:v>4.9132530120708527E-2</c:v>
                </c:pt>
                <c:pt idx="220">
                  <c:v>4.9098576123550938E-2</c:v>
                </c:pt>
                <c:pt idx="221">
                  <c:v>4.9064622124057634E-2</c:v>
                </c:pt>
                <c:pt idx="222">
                  <c:v>4.9033953997676002E-2</c:v>
                </c:pt>
                <c:pt idx="223">
                  <c:v>4.9000000000183709E-2</c:v>
                </c:pt>
                <c:pt idx="224">
                  <c:v>4.896714129217869E-2</c:v>
                </c:pt>
                <c:pt idx="225">
                  <c:v>4.8933187294459543E-2</c:v>
                </c:pt>
                <c:pt idx="226">
                  <c:v>4.8900328584014552E-2</c:v>
                </c:pt>
                <c:pt idx="227">
                  <c:v>4.8866374588288977E-2</c:v>
                </c:pt>
                <c:pt idx="228">
                  <c:v>4.8832420592448127E-2</c:v>
                </c:pt>
                <c:pt idx="229">
                  <c:v>4.8799561881672032E-2</c:v>
                </c:pt>
                <c:pt idx="230">
                  <c:v>4.8765607885604322E-2</c:v>
                </c:pt>
                <c:pt idx="231">
                  <c:v>4.8732749179049552E-2</c:v>
                </c:pt>
                <c:pt idx="232">
                  <c:v>4.8698795178314117E-2</c:v>
                </c:pt>
                <c:pt idx="233">
                  <c:v>4.8664841184124695E-2</c:v>
                </c:pt>
                <c:pt idx="234">
                  <c:v>4.8634173056517002E-2</c:v>
                </c:pt>
                <c:pt idx="235">
                  <c:v>4.8600219057667302E-2</c:v>
                </c:pt>
                <c:pt idx="236">
                  <c:v>4.8567360352789524E-2</c:v>
                </c:pt>
                <c:pt idx="237">
                  <c:v>4.8533406351492531E-2</c:v>
                </c:pt>
                <c:pt idx="238">
                  <c:v>4.8500547644174781E-2</c:v>
                </c:pt>
                <c:pt idx="239">
                  <c:v>4.8466593649312231E-2</c:v>
                </c:pt>
                <c:pt idx="240">
                  <c:v>4.843263964989352E-2</c:v>
                </c:pt>
                <c:pt idx="241">
                  <c:v>4.8399780940024228E-2</c:v>
                </c:pt>
                <c:pt idx="242">
                  <c:v>4.8365826942599097E-2</c:v>
                </c:pt>
                <c:pt idx="243">
                  <c:v>4.8332968236951136E-2</c:v>
                </c:pt>
                <c:pt idx="244">
                  <c:v>4.8299014239299158E-2</c:v>
                </c:pt>
                <c:pt idx="245">
                  <c:v>4.8265060243752322E-2</c:v>
                </c:pt>
                <c:pt idx="246">
                  <c:v>4.8234392114918583E-2</c:v>
                </c:pt>
                <c:pt idx="247">
                  <c:v>4.8200438114711461E-2</c:v>
                </c:pt>
                <c:pt idx="248">
                  <c:v>4.8167579408520053E-2</c:v>
                </c:pt>
                <c:pt idx="249">
                  <c:v>4.8133625408086078E-2</c:v>
                </c:pt>
                <c:pt idx="250">
                  <c:v>4.8100766706116002E-2</c:v>
                </c:pt>
                <c:pt idx="251">
                  <c:v>4.8066812703234735E-2</c:v>
                </c:pt>
                <c:pt idx="252">
                  <c:v>4.8032858706899481E-2</c:v>
                </c:pt>
                <c:pt idx="253">
                  <c:v>4.8000000000157431E-2</c:v>
                </c:pt>
                <c:pt idx="254">
                  <c:v>4.7966064586419173E-2</c:v>
                </c:pt>
                <c:pt idx="255">
                  <c:v>4.7933223864984442E-2</c:v>
                </c:pt>
                <c:pt idx="256">
                  <c:v>4.7899288451019574E-2</c:v>
                </c:pt>
                <c:pt idx="257">
                  <c:v>4.7865353036939541E-2</c:v>
                </c:pt>
                <c:pt idx="258">
                  <c:v>4.7833607007603654E-2</c:v>
                </c:pt>
                <c:pt idx="259">
                  <c:v>4.779967159330073E-2</c:v>
                </c:pt>
                <c:pt idx="260">
                  <c:v>4.7766830866878676E-2</c:v>
                </c:pt>
                <c:pt idx="261">
                  <c:v>4.7732895454569588E-2</c:v>
                </c:pt>
                <c:pt idx="262">
                  <c:v>4.7700054732369108E-2</c:v>
                </c:pt>
                <c:pt idx="263">
                  <c:v>4.7666119322053842E-2</c:v>
                </c:pt>
                <c:pt idx="264">
                  <c:v>4.7632183907182546E-2</c:v>
                </c:pt>
                <c:pt idx="265">
                  <c:v>4.7599343184651317E-2</c:v>
                </c:pt>
                <c:pt idx="266">
                  <c:v>4.7565407773994296E-2</c:v>
                </c:pt>
                <c:pt idx="267">
                  <c:v>4.7532567049023332E-2</c:v>
                </c:pt>
                <c:pt idx="268">
                  <c:v>4.7498631635919254E-2</c:v>
                </c:pt>
                <c:pt idx="269">
                  <c:v>4.7464696222700019E-2</c:v>
                </c:pt>
                <c:pt idx="270">
                  <c:v>4.7434044882345094E-2</c:v>
                </c:pt>
                <c:pt idx="271">
                  <c:v>4.7400109471127112E-2</c:v>
                </c:pt>
                <c:pt idx="272">
                  <c:v>4.7367268747833736E-2</c:v>
                </c:pt>
                <c:pt idx="273">
                  <c:v>4.7333333334168719E-2</c:v>
                </c:pt>
                <c:pt idx="274">
                  <c:v>4.7300492608435614E-2</c:v>
                </c:pt>
                <c:pt idx="275">
                  <c:v>4.7266557196764418E-2</c:v>
                </c:pt>
                <c:pt idx="276">
                  <c:v>4.7232621784978064E-2</c:v>
                </c:pt>
                <c:pt idx="277">
                  <c:v>4.7199781061134649E-2</c:v>
                </c:pt>
                <c:pt idx="278">
                  <c:v>4.7165845646901253E-2</c:v>
                </c:pt>
                <c:pt idx="279">
                  <c:v>4.7133004925058966E-2</c:v>
                </c:pt>
                <c:pt idx="280">
                  <c:v>4.7099069512819405E-2</c:v>
                </c:pt>
                <c:pt idx="281">
                  <c:v>4.7065134096023795E-2</c:v>
                </c:pt>
                <c:pt idx="282">
                  <c:v>4.7034482756664595E-2</c:v>
                </c:pt>
                <c:pt idx="283">
                  <c:v>4.7000547348531554E-2</c:v>
                </c:pt>
                <c:pt idx="284">
                  <c:v>4.696770662170556E-2</c:v>
                </c:pt>
                <c:pt idx="285">
                  <c:v>4.6933771208905038E-2</c:v>
                </c:pt>
                <c:pt idx="286">
                  <c:v>4.690093048852105E-2</c:v>
                </c:pt>
                <c:pt idx="287">
                  <c:v>4.6866995075493925E-2</c:v>
                </c:pt>
                <c:pt idx="288">
                  <c:v>4.683305966013121E-2</c:v>
                </c:pt>
                <c:pt idx="289">
                  <c:v>4.6800218939416466E-2</c:v>
                </c:pt>
                <c:pt idx="290">
                  <c:v>4.6766283526047572E-2</c:v>
                </c:pt>
                <c:pt idx="291">
                  <c:v>4.6733442800672674E-2</c:v>
                </c:pt>
                <c:pt idx="292">
                  <c:v>4.6699507389297609E-2</c:v>
                </c:pt>
                <c:pt idx="293">
                  <c:v>4.6665571975586941E-2</c:v>
                </c:pt>
                <c:pt idx="294">
                  <c:v>4.6634920632782594E-2</c:v>
                </c:pt>
                <c:pt idx="295">
                  <c:v>4.6600985221073192E-2</c:v>
                </c:pt>
                <c:pt idx="296">
                  <c:v>4.656814450181674E-2</c:v>
                </c:pt>
                <c:pt idx="297">
                  <c:v>4.6534209087660296E-2</c:v>
                </c:pt>
                <c:pt idx="298">
                  <c:v>4.6501368361523243E-2</c:v>
                </c:pt>
                <c:pt idx="299">
                  <c:v>4.6467432951581053E-2</c:v>
                </c:pt>
                <c:pt idx="300">
                  <c:v>4.6433497534862402E-2</c:v>
                </c:pt>
                <c:pt idx="301">
                  <c:v>4.6400656815055917E-2</c:v>
                </c:pt>
                <c:pt idx="302">
                  <c:v>4.6366721400331087E-2</c:v>
                </c:pt>
                <c:pt idx="303">
                  <c:v>4.6333880678084867E-2</c:v>
                </c:pt>
                <c:pt idx="304">
                  <c:v>4.6299945265353866E-2</c:v>
                </c:pt>
                <c:pt idx="305">
                  <c:v>4.6266009850287275E-2</c:v>
                </c:pt>
                <c:pt idx="306">
                  <c:v>4.6234263822535412E-2</c:v>
                </c:pt>
                <c:pt idx="307">
                  <c:v>4.620032840724593E-2</c:v>
                </c:pt>
                <c:pt idx="308">
                  <c:v>4.6167487684453258E-2</c:v>
                </c:pt>
                <c:pt idx="309">
                  <c:v>4.6133552273378037E-2</c:v>
                </c:pt>
                <c:pt idx="310">
                  <c:v>4.6100711548145629E-2</c:v>
                </c:pt>
                <c:pt idx="311">
                  <c:v>4.6066776134623372E-2</c:v>
                </c:pt>
                <c:pt idx="312">
                  <c:v>4.6032840725426814E-2</c:v>
                </c:pt>
                <c:pt idx="313">
                  <c:v>4.6000004995844293E-2</c:v>
                </c:pt>
                <c:pt idx="314">
                  <c:v>4.5999999997643232E-2</c:v>
                </c:pt>
                <c:pt idx="315">
                  <c:v>4.5999999997643232E-2</c:v>
                </c:pt>
                <c:pt idx="316">
                  <c:v>4.6000000002084096E-2</c:v>
                </c:pt>
                <c:pt idx="317">
                  <c:v>4.5999999999863671E-2</c:v>
                </c:pt>
                <c:pt idx="318">
                  <c:v>4.6000000002084096E-2</c:v>
                </c:pt>
                <c:pt idx="319">
                  <c:v>4.6000000002084096E-2</c:v>
                </c:pt>
                <c:pt idx="320">
                  <c:v>4.6000000002084096E-2</c:v>
                </c:pt>
                <c:pt idx="321">
                  <c:v>4.5999999999863671E-2</c:v>
                </c:pt>
                <c:pt idx="322">
                  <c:v>4.6000000002084096E-2</c:v>
                </c:pt>
                <c:pt idx="323">
                  <c:v>4.5999999997643232E-2</c:v>
                </c:pt>
                <c:pt idx="324">
                  <c:v>4.5999999999863671E-2</c:v>
                </c:pt>
                <c:pt idx="325">
                  <c:v>4.6000000002084096E-2</c:v>
                </c:pt>
                <c:pt idx="326">
                  <c:v>4.5999999997643232E-2</c:v>
                </c:pt>
                <c:pt idx="327">
                  <c:v>4.6000000002084096E-2</c:v>
                </c:pt>
                <c:pt idx="328">
                  <c:v>4.5999999999863671E-2</c:v>
                </c:pt>
                <c:pt idx="329">
                  <c:v>4.5999999999863671E-2</c:v>
                </c:pt>
                <c:pt idx="330">
                  <c:v>4.5999999999863671E-2</c:v>
                </c:pt>
                <c:pt idx="331">
                  <c:v>4.5999999997643232E-2</c:v>
                </c:pt>
                <c:pt idx="332">
                  <c:v>4.5999999997643232E-2</c:v>
                </c:pt>
                <c:pt idx="333">
                  <c:v>4.5999999999863671E-2</c:v>
                </c:pt>
                <c:pt idx="334">
                  <c:v>4.5999999997643232E-2</c:v>
                </c:pt>
                <c:pt idx="335">
                  <c:v>4.6000000002084096E-2</c:v>
                </c:pt>
                <c:pt idx="336">
                  <c:v>4.5999999999863671E-2</c:v>
                </c:pt>
                <c:pt idx="337">
                  <c:v>4.5999999999863671E-2</c:v>
                </c:pt>
                <c:pt idx="338">
                  <c:v>4.6000000002084096E-2</c:v>
                </c:pt>
                <c:pt idx="339">
                  <c:v>4.6000000002084096E-2</c:v>
                </c:pt>
                <c:pt idx="340">
                  <c:v>4.5999999995422793E-2</c:v>
                </c:pt>
                <c:pt idx="341">
                  <c:v>4.5999999999863671E-2</c:v>
                </c:pt>
                <c:pt idx="342">
                  <c:v>4.5999999999863671E-2</c:v>
                </c:pt>
                <c:pt idx="343">
                  <c:v>4.5999999997643232E-2</c:v>
                </c:pt>
                <c:pt idx="344">
                  <c:v>4.6000000004304535E-2</c:v>
                </c:pt>
                <c:pt idx="345">
                  <c:v>4.6000000002084096E-2</c:v>
                </c:pt>
                <c:pt idx="346">
                  <c:v>4.6000000002084096E-2</c:v>
                </c:pt>
                <c:pt idx="347">
                  <c:v>4.5999999997643232E-2</c:v>
                </c:pt>
                <c:pt idx="348">
                  <c:v>4.5999999999863671E-2</c:v>
                </c:pt>
                <c:pt idx="349">
                  <c:v>4.5999999999863671E-2</c:v>
                </c:pt>
                <c:pt idx="350">
                  <c:v>4.5999999997643232E-2</c:v>
                </c:pt>
                <c:pt idx="351">
                  <c:v>4.5999999999863671E-2</c:v>
                </c:pt>
                <c:pt idx="352">
                  <c:v>4.6000000002084096E-2</c:v>
                </c:pt>
                <c:pt idx="353">
                  <c:v>4.5999999999863671E-2</c:v>
                </c:pt>
                <c:pt idx="354">
                  <c:v>4.5999999999863671E-2</c:v>
                </c:pt>
                <c:pt idx="355">
                  <c:v>4.5999999999863671E-2</c:v>
                </c:pt>
                <c:pt idx="356">
                  <c:v>4.5999999999863671E-2</c:v>
                </c:pt>
                <c:pt idx="357">
                  <c:v>4.5999999999863671E-2</c:v>
                </c:pt>
                <c:pt idx="358">
                  <c:v>4.5999999997643232E-2</c:v>
                </c:pt>
                <c:pt idx="359">
                  <c:v>4.6000000002084096E-2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92C-4036-92F0-15792693E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15840"/>
        <c:axId val="93318144"/>
      </c:scatterChart>
      <c:valAx>
        <c:axId val="93315840"/>
        <c:scaling>
          <c:orientation val="minMax"/>
          <c:max val="3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93318144"/>
        <c:crosses val="autoZero"/>
        <c:crossBetween val="midCat"/>
      </c:valAx>
      <c:valAx>
        <c:axId val="93318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Forward 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9331584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Swaptions!$B$65</c:f>
              <c:strCache>
                <c:ptCount val="1"/>
                <c:pt idx="0">
                  <c:v>NPV per Notional</c:v>
                </c:pt>
              </c:strCache>
            </c:strRef>
          </c:tx>
          <c:invertIfNegative val="0"/>
          <c:cat>
            <c:strRef>
              <c:f>Swaptions!$D$10:$V$10</c:f>
              <c:strCache>
                <c:ptCount val="19"/>
                <c:pt idx="0">
                  <c:v>1y</c:v>
                </c:pt>
                <c:pt idx="1">
                  <c:v>2y</c:v>
                </c:pt>
                <c:pt idx="2">
                  <c:v>3y</c:v>
                </c:pt>
                <c:pt idx="3">
                  <c:v>4y</c:v>
                </c:pt>
                <c:pt idx="4">
                  <c:v>5y</c:v>
                </c:pt>
                <c:pt idx="5">
                  <c:v>6y</c:v>
                </c:pt>
                <c:pt idx="6">
                  <c:v>7y</c:v>
                </c:pt>
                <c:pt idx="7">
                  <c:v>8y</c:v>
                </c:pt>
                <c:pt idx="8">
                  <c:v>9y</c:v>
                </c:pt>
                <c:pt idx="9">
                  <c:v>10y</c:v>
                </c:pt>
                <c:pt idx="10">
                  <c:v>11y</c:v>
                </c:pt>
                <c:pt idx="11">
                  <c:v>12y</c:v>
                </c:pt>
                <c:pt idx="12">
                  <c:v>13y</c:v>
                </c:pt>
                <c:pt idx="13">
                  <c:v>14y</c:v>
                </c:pt>
                <c:pt idx="14">
                  <c:v>15y</c:v>
                </c:pt>
                <c:pt idx="15">
                  <c:v>16y</c:v>
                </c:pt>
                <c:pt idx="16">
                  <c:v>17y</c:v>
                </c:pt>
                <c:pt idx="17">
                  <c:v>18y</c:v>
                </c:pt>
                <c:pt idx="18">
                  <c:v>19y</c:v>
                </c:pt>
              </c:strCache>
            </c:strRef>
          </c:cat>
          <c:val>
            <c:numRef>
              <c:f>Swaptions!$D$65:$V$65</c:f>
              <c:numCache>
                <c:formatCode>0.00%</c:formatCode>
                <c:ptCount val="19"/>
                <c:pt idx="0">
                  <c:v>3.9163590590817538E-13</c:v>
                </c:pt>
                <c:pt idx="1">
                  <c:v>1.3978082622786068E-3</c:v>
                </c:pt>
                <c:pt idx="2">
                  <c:v>4.6274568330708019E-3</c:v>
                </c:pt>
                <c:pt idx="3">
                  <c:v>7.2646918294608067E-3</c:v>
                </c:pt>
                <c:pt idx="4">
                  <c:v>9.1054313473458298E-3</c:v>
                </c:pt>
                <c:pt idx="5">
                  <c:v>1.05364630039543E-2</c:v>
                </c:pt>
                <c:pt idx="6">
                  <c:v>1.1648231059229169E-2</c:v>
                </c:pt>
                <c:pt idx="7">
                  <c:v>1.2542320301889547E-2</c:v>
                </c:pt>
                <c:pt idx="8">
                  <c:v>1.3257417842716484E-2</c:v>
                </c:pt>
                <c:pt idx="9">
                  <c:v>1.3814179534792692E-2</c:v>
                </c:pt>
                <c:pt idx="10">
                  <c:v>1.4232514072755661E-2</c:v>
                </c:pt>
                <c:pt idx="11">
                  <c:v>1.435916240135055E-2</c:v>
                </c:pt>
                <c:pt idx="12">
                  <c:v>1.4040296528513281E-2</c:v>
                </c:pt>
                <c:pt idx="13">
                  <c:v>1.331847604666209E-2</c:v>
                </c:pt>
                <c:pt idx="14">
                  <c:v>1.2115736433477898E-2</c:v>
                </c:pt>
                <c:pt idx="15">
                  <c:v>1.0488915493688151E-2</c:v>
                </c:pt>
                <c:pt idx="16">
                  <c:v>8.4682030347609863E-3</c:v>
                </c:pt>
                <c:pt idx="17">
                  <c:v>6.0565970879286517E-3</c:v>
                </c:pt>
                <c:pt idx="18">
                  <c:v>3.2160102888779303E-3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3-4D91-9967-453354C29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103360"/>
        <c:axId val="171105280"/>
      </c:barChart>
      <c:catAx>
        <c:axId val="17110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Option Expiry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71105280"/>
        <c:crosses val="autoZero"/>
        <c:auto val="1"/>
        <c:lblAlgn val="ctr"/>
        <c:lblOffset val="100"/>
        <c:noMultiLvlLbl val="0"/>
      </c:catAx>
      <c:valAx>
        <c:axId val="171105280"/>
        <c:scaling>
          <c:orientation val="minMax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Option NPV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71103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'YieldCurve (2)'!$E$6</c:f>
              <c:strCache>
                <c:ptCount val="1"/>
                <c:pt idx="0">
                  <c:v>InputRate</c:v>
                </c:pt>
              </c:strCache>
            </c:strRef>
          </c:tx>
          <c:spPr>
            <a:ln>
              <a:noFill/>
            </a:ln>
          </c:spPr>
          <c:xVal>
            <c:numRef>
              <c:f>'YieldCurve (2)'!$D$7:$D$22</c:f>
              <c:numCache>
                <c:formatCode>0.00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5.0027397260273974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9.0054794520547947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25.016438356164382</c:v>
                </c:pt>
                <c:pt idx="15">
                  <c:v>30.021917808219179</c:v>
                </c:pt>
              </c:numCache>
            </c:numRef>
          </c:xVal>
          <c:yVal>
            <c:numRef>
              <c:f>'YieldCurve (2)'!$E$7:$E$22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3.3550207724486067E-2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4.5013696545744039E-2</c:v>
                </c:pt>
                <c:pt idx="10">
                  <c:v>4.7453654391084496E-2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75-4865-8D1B-CC8EABD8D726}"/>
            </c:ext>
          </c:extLst>
        </c:ser>
        <c:ser>
          <c:idx val="1"/>
          <c:order val="1"/>
          <c:tx>
            <c:strRef>
              <c:f>'YieldCurve (2)'!$D$25</c:f>
              <c:strCache>
                <c:ptCount val="1"/>
                <c:pt idx="0">
                  <c:v>f(0,T)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(2)'!$D$26:$D$386</c:f>
              <c:numCache>
                <c:formatCode>0.00%</c:formatCode>
                <c:ptCount val="361"/>
                <c:pt idx="0">
                  <c:v>2.6999992293883401E-2</c:v>
                </c:pt>
                <c:pt idx="1">
                  <c:v>2.6987416747252625E-2</c:v>
                </c:pt>
                <c:pt idx="2">
                  <c:v>2.6974959514534172E-2</c:v>
                </c:pt>
                <c:pt idx="3">
                  <c:v>2.6963959854152005E-2</c:v>
                </c:pt>
                <c:pt idx="4">
                  <c:v>2.6954235912069673E-2</c:v>
                </c:pt>
                <c:pt idx="5">
                  <c:v>2.6946741762537574E-2</c:v>
                </c:pt>
                <c:pt idx="6">
                  <c:v>2.694236068995803E-2</c:v>
                </c:pt>
                <c:pt idx="7">
                  <c:v>2.6940675669045237E-2</c:v>
                </c:pt>
                <c:pt idx="8">
                  <c:v>2.6942728454784976E-2</c:v>
                </c:pt>
                <c:pt idx="9">
                  <c:v>2.6949207348068185E-2</c:v>
                </c:pt>
                <c:pt idx="10">
                  <c:v>2.6960222222921892E-2</c:v>
                </c:pt>
                <c:pt idx="11">
                  <c:v>2.6977058856233596E-2</c:v>
                </c:pt>
                <c:pt idx="12">
                  <c:v>2.7000000001030824E-2</c:v>
                </c:pt>
                <c:pt idx="13">
                  <c:v>2.7028310562830258E-2</c:v>
                </c:pt>
                <c:pt idx="14">
                  <c:v>2.7063166366727801E-2</c:v>
                </c:pt>
                <c:pt idx="15">
                  <c:v>2.7101387731428145E-2</c:v>
                </c:pt>
                <c:pt idx="16">
                  <c:v>2.7144550234503156E-2</c:v>
                </c:pt>
                <c:pt idx="17">
                  <c:v>2.7190451490275082E-2</c:v>
                </c:pt>
                <c:pt idx="18">
                  <c:v>2.7234985654233851E-2</c:v>
                </c:pt>
                <c:pt idx="19">
                  <c:v>2.7283349191024181E-2</c:v>
                </c:pt>
                <c:pt idx="20">
                  <c:v>2.7329977757936053E-2</c:v>
                </c:pt>
                <c:pt idx="21">
                  <c:v>2.7377007407143234E-2</c:v>
                </c:pt>
                <c:pt idx="22">
                  <c:v>2.7420473054594243E-2</c:v>
                </c:pt>
                <c:pt idx="23">
                  <c:v>2.7462299897268571E-2</c:v>
                </c:pt>
                <c:pt idx="24">
                  <c:v>2.7500000001064555E-2</c:v>
                </c:pt>
                <c:pt idx="25">
                  <c:v>2.7532008659753627E-2</c:v>
                </c:pt>
                <c:pt idx="26">
                  <c:v>2.7561596790128273E-2</c:v>
                </c:pt>
                <c:pt idx="27">
                  <c:v>2.7588361073722725E-2</c:v>
                </c:pt>
                <c:pt idx="28">
                  <c:v>2.7615658673607112E-2</c:v>
                </c:pt>
                <c:pt idx="29">
                  <c:v>2.7644190220725291E-2</c:v>
                </c:pt>
                <c:pt idx="30">
                  <c:v>2.767236547153407E-2</c:v>
                </c:pt>
                <c:pt idx="31">
                  <c:v>2.7707710211831577E-2</c:v>
                </c:pt>
                <c:pt idx="32">
                  <c:v>2.7747540282767418E-2</c:v>
                </c:pt>
                <c:pt idx="33">
                  <c:v>2.779608390141422E-2</c:v>
                </c:pt>
                <c:pt idx="34">
                  <c:v>2.7851714815267704E-2</c:v>
                </c:pt>
                <c:pt idx="35">
                  <c:v>2.7919714624610115E-2</c:v>
                </c:pt>
                <c:pt idx="36">
                  <c:v>2.800000000052312E-2</c:v>
                </c:pt>
                <c:pt idx="37">
                  <c:v>2.8090683659908931E-2</c:v>
                </c:pt>
                <c:pt idx="38">
                  <c:v>2.819814784587597E-2</c:v>
                </c:pt>
                <c:pt idx="39">
                  <c:v>2.8315537147739735E-2</c:v>
                </c:pt>
                <c:pt idx="40">
                  <c:v>2.845075875531964E-2</c:v>
                </c:pt>
                <c:pt idx="41">
                  <c:v>2.8600210453010564E-2</c:v>
                </c:pt>
                <c:pt idx="42">
                  <c:v>2.8747499571239361E-2</c:v>
                </c:pt>
                <c:pt idx="43">
                  <c:v>2.8924264932349713E-2</c:v>
                </c:pt>
                <c:pt idx="44">
                  <c:v>2.9109106992782841E-2</c:v>
                </c:pt>
                <c:pt idx="45">
                  <c:v>2.9314429793501694E-2</c:v>
                </c:pt>
                <c:pt idx="46">
                  <c:v>2.9527064468391997E-2</c:v>
                </c:pt>
                <c:pt idx="47">
                  <c:v>2.976126789465609E-2</c:v>
                </c:pt>
                <c:pt idx="48">
                  <c:v>3.0010272213721725E-2</c:v>
                </c:pt>
                <c:pt idx="49">
                  <c:v>3.0265118797781924E-2</c:v>
                </c:pt>
                <c:pt idx="50">
                  <c:v>3.0541295978566425E-2</c:v>
                </c:pt>
                <c:pt idx="51">
                  <c:v>3.0819235640886549E-2</c:v>
                </c:pt>
                <c:pt idx="52">
                  <c:v>3.1115638637746735E-2</c:v>
                </c:pt>
                <c:pt idx="53">
                  <c:v>3.1419532683376439E-2</c:v>
                </c:pt>
                <c:pt idx="54">
                  <c:v>3.1698893717556166E-2</c:v>
                </c:pt>
                <c:pt idx="55">
                  <c:v>3.2011854754671318E-2</c:v>
                </c:pt>
                <c:pt idx="56">
                  <c:v>3.2316678974861554E-2</c:v>
                </c:pt>
                <c:pt idx="57">
                  <c:v>3.2631859543270691E-2</c:v>
                </c:pt>
                <c:pt idx="58">
                  <c:v>3.2935311990817159E-2</c:v>
                </c:pt>
                <c:pt idx="59">
                  <c:v>3.3245438026405665E-2</c:v>
                </c:pt>
                <c:pt idx="60">
                  <c:v>3.3550207721650509E-2</c:v>
                </c:pt>
                <c:pt idx="61">
                  <c:v>3.3838645262849257E-2</c:v>
                </c:pt>
                <c:pt idx="62">
                  <c:v>3.4130119369682292E-2</c:v>
                </c:pt>
                <c:pt idx="63">
                  <c:v>3.4406348095562603E-2</c:v>
                </c:pt>
                <c:pt idx="64">
                  <c:v>3.4686292877259245E-2</c:v>
                </c:pt>
                <c:pt idx="65">
                  <c:v>3.4961211216105806E-2</c:v>
                </c:pt>
                <c:pt idx="66">
                  <c:v>3.5214339529976872E-2</c:v>
                </c:pt>
                <c:pt idx="67">
                  <c:v>3.5481123465587586E-2</c:v>
                </c:pt>
                <c:pt idx="68">
                  <c:v>3.5736078367524744E-2</c:v>
                </c:pt>
                <c:pt idx="69">
                  <c:v>3.5996747418193392E-2</c:v>
                </c:pt>
                <c:pt idx="70">
                  <c:v>3.6246836090541822E-2</c:v>
                </c:pt>
                <c:pt idx="71">
                  <c:v>3.6503563155549971E-2</c:v>
                </c:pt>
                <c:pt idx="72">
                  <c:v>3.6759119639081114E-2</c:v>
                </c:pt>
                <c:pt idx="73">
                  <c:v>3.7005750870819719E-2</c:v>
                </c:pt>
                <c:pt idx="74">
                  <c:v>3.7259935053240337E-2</c:v>
                </c:pt>
                <c:pt idx="75">
                  <c:v>3.7505206900670357E-2</c:v>
                </c:pt>
                <c:pt idx="76">
                  <c:v>3.7757848601183169E-2</c:v>
                </c:pt>
                <c:pt idx="77">
                  <c:v>3.8009600807990832E-2</c:v>
                </c:pt>
                <c:pt idx="78">
                  <c:v>3.8236166161155487E-2</c:v>
                </c:pt>
                <c:pt idx="79">
                  <c:v>3.8486028836880418E-2</c:v>
                </c:pt>
                <c:pt idx="80">
                  <c:v>3.8726788503296292E-2</c:v>
                </c:pt>
                <c:pt idx="81">
                  <c:v>3.8974426537181632E-2</c:v>
                </c:pt>
                <c:pt idx="82">
                  <c:v>3.9212899985142789E-2</c:v>
                </c:pt>
                <c:pt idx="83">
                  <c:v>3.945803780348614E-2</c:v>
                </c:pt>
                <c:pt idx="84">
                  <c:v>3.9701799415468128E-2</c:v>
                </c:pt>
                <c:pt idx="85">
                  <c:v>3.9936318771486859E-2</c:v>
                </c:pt>
                <c:pt idx="86">
                  <c:v>4.0177152652182739E-2</c:v>
                </c:pt>
                <c:pt idx="87">
                  <c:v>4.0408687172293116E-2</c:v>
                </c:pt>
                <c:pt idx="88">
                  <c:v>4.0646278350910454E-2</c:v>
                </c:pt>
                <c:pt idx="89">
                  <c:v>4.0882100213090897E-2</c:v>
                </c:pt>
                <c:pt idx="90">
                  <c:v>4.1093511796328176E-2</c:v>
                </c:pt>
                <c:pt idx="91">
                  <c:v>4.1325740250578093E-2</c:v>
                </c:pt>
                <c:pt idx="92">
                  <c:v>4.1548567549783547E-2</c:v>
                </c:pt>
                <c:pt idx="93">
                  <c:v>4.1776769231378817E-2</c:v>
                </c:pt>
                <c:pt idx="94">
                  <c:v>4.1995546390659166E-2</c:v>
                </c:pt>
                <c:pt idx="95">
                  <c:v>4.2219404554854081E-2</c:v>
                </c:pt>
                <c:pt idx="96">
                  <c:v>4.2440933975616116E-2</c:v>
                </c:pt>
                <c:pt idx="97">
                  <c:v>4.2653116132853275E-2</c:v>
                </c:pt>
                <c:pt idx="98">
                  <c:v>4.2870514432946101E-2</c:v>
                </c:pt>
                <c:pt idx="99">
                  <c:v>4.3079601647880383E-2</c:v>
                </c:pt>
                <c:pt idx="100">
                  <c:v>4.3294837662157401E-2</c:v>
                </c:pt>
                <c:pt idx="101">
                  <c:v>4.3509768717068215E-2</c:v>
                </c:pt>
                <c:pt idx="102">
                  <c:v>4.370408291155678E-2</c:v>
                </c:pt>
                <c:pt idx="103">
                  <c:v>4.3919911713373144E-2</c:v>
                </c:pt>
                <c:pt idx="104">
                  <c:v>4.412996141441046E-2</c:v>
                </c:pt>
                <c:pt idx="105">
                  <c:v>4.434875606143391E-2</c:v>
                </c:pt>
                <c:pt idx="106">
                  <c:v>4.4562678342886561E-2</c:v>
                </c:pt>
                <c:pt idx="107">
                  <c:v>4.4786510472732147E-2</c:v>
                </c:pt>
                <c:pt idx="108">
                  <c:v>4.5013696546244202E-2</c:v>
                </c:pt>
                <c:pt idx="109">
                  <c:v>4.5236875791196111E-2</c:v>
                </c:pt>
                <c:pt idx="110">
                  <c:v>4.5469441924162968E-2</c:v>
                </c:pt>
                <c:pt idx="111">
                  <c:v>4.5694572606800661E-2</c:v>
                </c:pt>
                <c:pt idx="112">
                  <c:v>4.5925377248480226E-2</c:v>
                </c:pt>
                <c:pt idx="113">
                  <c:v>4.615239102804803E-2</c:v>
                </c:pt>
                <c:pt idx="114">
                  <c:v>4.6359598213564716E-2</c:v>
                </c:pt>
                <c:pt idx="115">
                  <c:v>4.6573731240183158E-2</c:v>
                </c:pt>
                <c:pt idx="116">
                  <c:v>4.6771913129813797E-2</c:v>
                </c:pt>
                <c:pt idx="117">
                  <c:v>4.6965456692038617E-2</c:v>
                </c:pt>
                <c:pt idx="118">
                  <c:v>4.7140057188341501E-2</c:v>
                </c:pt>
                <c:pt idx="119">
                  <c:v>4.7305455330730287E-2</c:v>
                </c:pt>
                <c:pt idx="120">
                  <c:v>4.7453654389919803E-2</c:v>
                </c:pt>
                <c:pt idx="121">
                  <c:v>4.7579298383189923E-2</c:v>
                </c:pt>
                <c:pt idx="122">
                  <c:v>4.7691210753480082E-2</c:v>
                </c:pt>
                <c:pt idx="123">
                  <c:v>4.778306348229483E-2</c:v>
                </c:pt>
                <c:pt idx="124">
                  <c:v>4.7861912097000477E-2</c:v>
                </c:pt>
                <c:pt idx="125">
                  <c:v>4.7925378751390267E-2</c:v>
                </c:pt>
                <c:pt idx="126">
                  <c:v>4.7970278861783192E-2</c:v>
                </c:pt>
                <c:pt idx="127">
                  <c:v>4.8007115738415013E-2</c:v>
                </c:pt>
                <c:pt idx="128">
                  <c:v>4.8030755854671169E-2</c:v>
                </c:pt>
                <c:pt idx="129">
                  <c:v>4.8043707230156281E-2</c:v>
                </c:pt>
                <c:pt idx="130">
                  <c:v>4.804602643272364E-2</c:v>
                </c:pt>
                <c:pt idx="131">
                  <c:v>4.8038800087946032E-2</c:v>
                </c:pt>
                <c:pt idx="132">
                  <c:v>4.8022740418216352E-2</c:v>
                </c:pt>
                <c:pt idx="133">
                  <c:v>4.7999690249420357E-2</c:v>
                </c:pt>
                <c:pt idx="134">
                  <c:v>4.7969044905880838E-2</c:v>
                </c:pt>
                <c:pt idx="135">
                  <c:v>4.7933673651923303E-2</c:v>
                </c:pt>
                <c:pt idx="136">
                  <c:v>4.7892150410631946E-2</c:v>
                </c:pt>
                <c:pt idx="137">
                  <c:v>4.784651998757472E-2</c:v>
                </c:pt>
                <c:pt idx="138">
                  <c:v>4.7802571712904508E-2</c:v>
                </c:pt>
                <c:pt idx="139">
                  <c:v>4.7751769957457744E-2</c:v>
                </c:pt>
                <c:pt idx="140">
                  <c:v>4.7701333585509605E-2</c:v>
                </c:pt>
                <c:pt idx="141">
                  <c:v>4.7648832186116666E-2</c:v>
                </c:pt>
                <c:pt idx="142">
                  <c:v>4.7598545084644936E-2</c:v>
                </c:pt>
                <c:pt idx="143">
                  <c:v>4.7548051815484951E-2</c:v>
                </c:pt>
                <c:pt idx="144">
                  <c:v>4.7499999999281471E-2</c:v>
                </c:pt>
                <c:pt idx="145">
                  <c:v>4.7456560038508358E-2</c:v>
                </c:pt>
                <c:pt idx="146">
                  <c:v>4.7414888210352106E-2</c:v>
                </c:pt>
                <c:pt idx="147">
                  <c:v>4.7377549071242406E-2</c:v>
                </c:pt>
                <c:pt idx="148">
                  <c:v>4.7341923855098542E-2</c:v>
                </c:pt>
                <c:pt idx="149">
                  <c:v>4.7309174087315296E-2</c:v>
                </c:pt>
                <c:pt idx="150">
                  <c:v>4.7281954491799866E-2</c:v>
                </c:pt>
                <c:pt idx="151">
                  <c:v>4.7254309782720848E-2</c:v>
                </c:pt>
                <c:pt idx="152">
                  <c:v>4.7229928243431508E-2</c:v>
                </c:pt>
                <c:pt idx="153">
                  <c:v>4.7207054941603176E-2</c:v>
                </c:pt>
                <c:pt idx="154">
                  <c:v>4.7187041629572719E-2</c:v>
                </c:pt>
                <c:pt idx="155">
                  <c:v>4.7168424596225861E-2</c:v>
                </c:pt>
                <c:pt idx="156">
                  <c:v>4.7151773159032552E-2</c:v>
                </c:pt>
                <c:pt idx="157">
                  <c:v>4.7137405062334513E-2</c:v>
                </c:pt>
                <c:pt idx="158">
                  <c:v>4.7124232947733186E-2</c:v>
                </c:pt>
                <c:pt idx="159">
                  <c:v>4.7112982671186202E-2</c:v>
                </c:pt>
                <c:pt idx="160">
                  <c:v>4.7102774724824055E-2</c:v>
                </c:pt>
                <c:pt idx="161">
                  <c:v>4.7093875742996741E-2</c:v>
                </c:pt>
                <c:pt idx="162">
                  <c:v>4.708661804942136E-2</c:v>
                </c:pt>
                <c:pt idx="163">
                  <c:v>4.7079874593181581E-2</c:v>
                </c:pt>
                <c:pt idx="164">
                  <c:v>4.7074224483866001E-2</c:v>
                </c:pt>
                <c:pt idx="165">
                  <c:v>4.7069161557638906E-2</c:v>
                </c:pt>
                <c:pt idx="166">
                  <c:v>4.7064888500303527E-2</c:v>
                </c:pt>
                <c:pt idx="167">
                  <c:v>4.7060990954153198E-2</c:v>
                </c:pt>
                <c:pt idx="168">
                  <c:v>4.7057488228096335E-2</c:v>
                </c:pt>
                <c:pt idx="169">
                  <c:v>4.7054349105029245E-2</c:v>
                </c:pt>
                <c:pt idx="170">
                  <c:v>4.7051234817533372E-2</c:v>
                </c:pt>
                <c:pt idx="171">
                  <c:v>4.7048222334788468E-2</c:v>
                </c:pt>
                <c:pt idx="172">
                  <c:v>4.7044981338132993E-2</c:v>
                </c:pt>
                <c:pt idx="173">
                  <c:v>4.7041478525473544E-2</c:v>
                </c:pt>
                <c:pt idx="174">
                  <c:v>4.7037978996837114E-2</c:v>
                </c:pt>
                <c:pt idx="175">
                  <c:v>4.7033610329751667E-2</c:v>
                </c:pt>
                <c:pt idx="176">
                  <c:v>4.7028766900225047E-2</c:v>
                </c:pt>
                <c:pt idx="177">
                  <c:v>4.7022996318926244E-2</c:v>
                </c:pt>
                <c:pt idx="178">
                  <c:v>4.7016546937135681E-2</c:v>
                </c:pt>
                <c:pt idx="179">
                  <c:v>4.7008859300556795E-2</c:v>
                </c:pt>
                <c:pt idx="180">
                  <c:v>4.7000000000050744E-2</c:v>
                </c:pt>
                <c:pt idx="181">
                  <c:v>4.6990209337818035E-2</c:v>
                </c:pt>
                <c:pt idx="182">
                  <c:v>4.6978831896772433E-2</c:v>
                </c:pt>
                <c:pt idx="183">
                  <c:v>4.6966624205969726E-2</c:v>
                </c:pt>
                <c:pt idx="184">
                  <c:v>4.695279591244883E-2</c:v>
                </c:pt>
                <c:pt idx="185">
                  <c:v>4.6937757925579304E-2</c:v>
                </c:pt>
                <c:pt idx="186">
                  <c:v>4.6923155557071723E-2</c:v>
                </c:pt>
                <c:pt idx="187">
                  <c:v>4.6905881957846222E-2</c:v>
                </c:pt>
                <c:pt idx="188">
                  <c:v>4.6888080276823986E-2</c:v>
                </c:pt>
                <c:pt idx="189">
                  <c:v>4.6868587232210095E-2</c:v>
                </c:pt>
                <c:pt idx="190">
                  <c:v>4.6848682931790328E-2</c:v>
                </c:pt>
                <c:pt idx="191">
                  <c:v>4.6827063926544392E-2</c:v>
                </c:pt>
                <c:pt idx="192">
                  <c:v>4.6804400332840168E-2</c:v>
                </c:pt>
                <c:pt idx="193">
                  <c:v>4.6781495981686648E-2</c:v>
                </c:pt>
                <c:pt idx="194">
                  <c:v>4.6756847416092075E-2</c:v>
                </c:pt>
                <c:pt idx="195">
                  <c:v>4.6732067360677067E-2</c:v>
                </c:pt>
                <c:pt idx="196">
                  <c:v>4.6705527305725872E-2</c:v>
                </c:pt>
                <c:pt idx="197">
                  <c:v>4.6678061826401364E-2</c:v>
                </c:pt>
                <c:pt idx="198">
                  <c:v>4.6652478954503834E-2</c:v>
                </c:pt>
                <c:pt idx="199">
                  <c:v>4.6623318887359551E-2</c:v>
                </c:pt>
                <c:pt idx="200">
                  <c:v>4.6594284829856392E-2</c:v>
                </c:pt>
                <c:pt idx="201">
                  <c:v>4.6563464678208676E-2</c:v>
                </c:pt>
                <c:pt idx="202">
                  <c:v>4.6532869323377954E-2</c:v>
                </c:pt>
                <c:pt idx="203">
                  <c:v>4.650048257420205E-2</c:v>
                </c:pt>
                <c:pt idx="204">
                  <c:v>4.646733550553854E-2</c:v>
                </c:pt>
                <c:pt idx="205">
                  <c:v>4.6434556518397591E-2</c:v>
                </c:pt>
                <c:pt idx="206">
                  <c:v>4.639998384538991E-2</c:v>
                </c:pt>
                <c:pt idx="207">
                  <c:v>4.6365870467177994E-2</c:v>
                </c:pt>
                <c:pt idx="208">
                  <c:v>4.6329965665701918E-2</c:v>
                </c:pt>
                <c:pt idx="209">
                  <c:v>4.6293419706607025E-2</c:v>
                </c:pt>
                <c:pt idx="210">
                  <c:v>4.6258672497977535E-2</c:v>
                </c:pt>
                <c:pt idx="211">
                  <c:v>4.6220954175172295E-2</c:v>
                </c:pt>
                <c:pt idx="212">
                  <c:v>4.6183909339266922E-2</c:v>
                </c:pt>
                <c:pt idx="213">
                  <c:v>4.6145091831623755E-2</c:v>
                </c:pt>
                <c:pt idx="214">
                  <c:v>4.6107028501514616E-2</c:v>
                </c:pt>
                <c:pt idx="215">
                  <c:v>4.6067205291576978E-2</c:v>
                </c:pt>
                <c:pt idx="216">
                  <c:v>4.6026906810514134E-2</c:v>
                </c:pt>
                <c:pt idx="217">
                  <c:v>4.5987478502550791E-2</c:v>
                </c:pt>
                <c:pt idx="218">
                  <c:v>4.5946315307952998E-2</c:v>
                </c:pt>
                <c:pt idx="219">
                  <c:v>4.5906095416509668E-2</c:v>
                </c:pt>
                <c:pt idx="220">
                  <c:v>4.586416099314692E-2</c:v>
                </c:pt>
                <c:pt idx="221">
                  <c:v>4.5821870458323158E-2</c:v>
                </c:pt>
                <c:pt idx="222">
                  <c:v>4.5783386556443505E-2</c:v>
                </c:pt>
                <c:pt idx="223">
                  <c:v>4.57404849662022E-2</c:v>
                </c:pt>
                <c:pt idx="224">
                  <c:v>4.5698694723929838E-2</c:v>
                </c:pt>
                <c:pt idx="225">
                  <c:v>4.5655253307607641E-2</c:v>
                </c:pt>
                <c:pt idx="226">
                  <c:v>4.5612985891079205E-2</c:v>
                </c:pt>
                <c:pt idx="227">
                  <c:v>4.5569098140117344E-2</c:v>
                </c:pt>
                <c:pt idx="228">
                  <c:v>4.5525019389283689E-2</c:v>
                </c:pt>
                <c:pt idx="229">
                  <c:v>4.5482203409062442E-2</c:v>
                </c:pt>
                <c:pt idx="230">
                  <c:v>4.5437819307933419E-2</c:v>
                </c:pt>
                <c:pt idx="231">
                  <c:v>4.5394753064221111E-2</c:v>
                </c:pt>
                <c:pt idx="232">
                  <c:v>4.5350157095364094E-2</c:v>
                </c:pt>
                <c:pt idx="233">
                  <c:v>4.5305489284101753E-2</c:v>
                </c:pt>
                <c:pt idx="234">
                  <c:v>4.5265102497670524E-2</c:v>
                </c:pt>
                <c:pt idx="235">
                  <c:v>4.5220364651256124E-2</c:v>
                </c:pt>
                <c:pt idx="236">
                  <c:v>4.5177068049693084E-2</c:v>
                </c:pt>
                <c:pt idx="237">
                  <c:v>4.5132349747162757E-2</c:v>
                </c:pt>
                <c:pt idx="238">
                  <c:v>4.5089117286954465E-2</c:v>
                </c:pt>
                <c:pt idx="239">
                  <c:v>4.5044512010886953E-2</c:v>
                </c:pt>
                <c:pt idx="240">
                  <c:v>4.4999999999596196E-2</c:v>
                </c:pt>
                <c:pt idx="241">
                  <c:v>4.4957033595906117E-2</c:v>
                </c:pt>
                <c:pt idx="242">
                  <c:v>4.4912762217324473E-2</c:v>
                </c:pt>
                <c:pt idx="243">
                  <c:v>4.48700534415769E-2</c:v>
                </c:pt>
                <c:pt idx="244">
                  <c:v>4.4826071867268114E-2</c:v>
                </c:pt>
                <c:pt idx="245">
                  <c:v>4.4782255655303985E-2</c:v>
                </c:pt>
                <c:pt idx="246">
                  <c:v>4.4742831980924234E-2</c:v>
                </c:pt>
                <c:pt idx="247">
                  <c:v>4.4699364139480197E-2</c:v>
                </c:pt>
                <c:pt idx="248">
                  <c:v>4.4657489480756922E-2</c:v>
                </c:pt>
                <c:pt idx="249">
                  <c:v>4.4614428225224476E-2</c:v>
                </c:pt>
                <c:pt idx="250">
                  <c:v>4.4572969862397081E-2</c:v>
                </c:pt>
                <c:pt idx="251">
                  <c:v>4.4530362368173371E-2</c:v>
                </c:pt>
                <c:pt idx="252">
                  <c:v>4.4488003549296641E-2</c:v>
                </c:pt>
                <c:pt idx="253">
                  <c:v>4.4447259398124175E-2</c:v>
                </c:pt>
                <c:pt idx="254">
                  <c:v>4.4405425490010593E-2</c:v>
                </c:pt>
                <c:pt idx="255">
                  <c:v>4.4365212142656617E-2</c:v>
                </c:pt>
                <c:pt idx="256">
                  <c:v>4.4323950322927345E-2</c:v>
                </c:pt>
                <c:pt idx="257">
                  <c:v>4.4282997316855935E-2</c:v>
                </c:pt>
                <c:pt idx="258">
                  <c:v>4.4244976800771635E-2</c:v>
                </c:pt>
                <c:pt idx="259">
                  <c:v>4.4204656103562272E-2</c:v>
                </c:pt>
                <c:pt idx="260">
                  <c:v>4.4165964034002095E-2</c:v>
                </c:pt>
                <c:pt idx="261">
                  <c:v>4.4126332977328576E-2</c:v>
                </c:pt>
                <c:pt idx="262">
                  <c:v>4.4088331132297133E-2</c:v>
                </c:pt>
                <c:pt idx="263">
                  <c:v>4.4049436891564646E-2</c:v>
                </c:pt>
                <c:pt idx="264">
                  <c:v>4.4010935177185476E-2</c:v>
                </c:pt>
                <c:pt idx="265">
                  <c:v>4.3974060667201421E-2</c:v>
                </c:pt>
                <c:pt idx="266">
                  <c:v>4.3936366920449658E-2</c:v>
                </c:pt>
                <c:pt idx="267">
                  <c:v>4.3900297145155913E-2</c:v>
                </c:pt>
                <c:pt idx="268">
                  <c:v>4.3863458539219011E-2</c:v>
                </c:pt>
                <c:pt idx="269">
                  <c:v>4.3827072595735019E-2</c:v>
                </c:pt>
                <c:pt idx="270">
                  <c:v>4.3794607076699028E-2</c:v>
                </c:pt>
                <c:pt idx="271">
                  <c:v>4.3759116306312996E-2</c:v>
                </c:pt>
                <c:pt idx="272">
                  <c:v>4.3725234943587571E-2</c:v>
                </c:pt>
                <c:pt idx="273">
                  <c:v>4.3690716095692299E-2</c:v>
                </c:pt>
                <c:pt idx="274">
                  <c:v>4.3657798133440569E-2</c:v>
                </c:pt>
                <c:pt idx="275">
                  <c:v>4.3624298381226487E-2</c:v>
                </c:pt>
                <c:pt idx="276">
                  <c:v>4.3591334615594682E-2</c:v>
                </c:pt>
                <c:pt idx="277">
                  <c:v>4.3559955994959092E-2</c:v>
                </c:pt>
                <c:pt idx="278">
                  <c:v>4.3528082474482019E-2</c:v>
                </c:pt>
                <c:pt idx="279">
                  <c:v>4.3497781762273507E-2</c:v>
                </c:pt>
                <c:pt idx="280">
                  <c:v>4.3467045664583905E-2</c:v>
                </c:pt>
                <c:pt idx="281">
                  <c:v>4.3436905680700001E-2</c:v>
                </c:pt>
                <c:pt idx="282">
                  <c:v>4.3410204981751764E-2</c:v>
                </c:pt>
                <c:pt idx="283">
                  <c:v>4.3381233202601989E-2</c:v>
                </c:pt>
                <c:pt idx="284">
                  <c:v>4.3353797128268444E-2</c:v>
                </c:pt>
                <c:pt idx="285">
                  <c:v>4.3326079553590476E-2</c:v>
                </c:pt>
                <c:pt idx="286">
                  <c:v>4.3299880055699257E-2</c:v>
                </c:pt>
                <c:pt idx="287">
                  <c:v>4.3273463858685857E-2</c:v>
                </c:pt>
                <c:pt idx="288">
                  <c:v>4.3247727099612221E-2</c:v>
                </c:pt>
                <c:pt idx="289">
                  <c:v>4.322347894771493E-2</c:v>
                </c:pt>
                <c:pt idx="290">
                  <c:v>4.3199114718002175E-2</c:v>
                </c:pt>
                <c:pt idx="291">
                  <c:v>4.3176217646063463E-2</c:v>
                </c:pt>
                <c:pt idx="292">
                  <c:v>4.3153273125565446E-2</c:v>
                </c:pt>
                <c:pt idx="293">
                  <c:v>4.3131068168011065E-2</c:v>
                </c:pt>
                <c:pt idx="294">
                  <c:v>4.3111657891725011E-2</c:v>
                </c:pt>
                <c:pt idx="295">
                  <c:v>4.3090894166107778E-2</c:v>
                </c:pt>
                <c:pt idx="296">
                  <c:v>4.3071537959592614E-2</c:v>
                </c:pt>
                <c:pt idx="297">
                  <c:v>4.3052310720432176E-2</c:v>
                </c:pt>
                <c:pt idx="298">
                  <c:v>4.3034464264109354E-2</c:v>
                </c:pt>
                <c:pt idx="299">
                  <c:v>4.3016820686817024E-2</c:v>
                </c:pt>
                <c:pt idx="300">
                  <c:v>4.2999999998820135E-2</c:v>
                </c:pt>
                <c:pt idx="301">
                  <c:v>4.298451291384156E-2</c:v>
                </c:pt>
                <c:pt idx="302">
                  <c:v>4.2969317556448762E-2</c:v>
                </c:pt>
                <c:pt idx="303">
                  <c:v>4.2955381068851703E-2</c:v>
                </c:pt>
                <c:pt idx="304">
                  <c:v>4.294176056933513E-2</c:v>
                </c:pt>
                <c:pt idx="305">
                  <c:v>4.2928919378624891E-2</c:v>
                </c:pt>
                <c:pt idx="306">
                  <c:v>4.2917599619899369E-2</c:v>
                </c:pt>
                <c:pt idx="307">
                  <c:v>4.2906226521834887E-2</c:v>
                </c:pt>
                <c:pt idx="308">
                  <c:v>4.289592285038038E-2</c:v>
                </c:pt>
                <c:pt idx="309">
                  <c:v>4.2885987902384438E-2</c:v>
                </c:pt>
                <c:pt idx="310">
                  <c:v>4.287704943966357E-2</c:v>
                </c:pt>
                <c:pt idx="311">
                  <c:v>4.2868497774757902E-2</c:v>
                </c:pt>
                <c:pt idx="312">
                  <c:v>4.2860628063635366E-2</c:v>
                </c:pt>
                <c:pt idx="313">
                  <c:v>4.2853648183565865E-2</c:v>
                </c:pt>
                <c:pt idx="314">
                  <c:v>4.2847079010976133E-2</c:v>
                </c:pt>
                <c:pt idx="315">
                  <c:v>4.2841331168975254E-2</c:v>
                </c:pt>
                <c:pt idx="316">
                  <c:v>4.2836007670156946E-2</c:v>
                </c:pt>
                <c:pt idx="317">
                  <c:v>4.2831296201361189E-2</c:v>
                </c:pt>
                <c:pt idx="318">
                  <c:v>4.2827554936766203E-2</c:v>
                </c:pt>
                <c:pt idx="319">
                  <c:v>4.2823969136034194E-2</c:v>
                </c:pt>
                <c:pt idx="320">
                  <c:v>4.2821042707254425E-2</c:v>
                </c:pt>
                <c:pt idx="321">
                  <c:v>4.2818566767300684E-2</c:v>
                </c:pt>
                <c:pt idx="322">
                  <c:v>4.2816687860544211E-2</c:v>
                </c:pt>
                <c:pt idx="323">
                  <c:v>4.2815266923265129E-2</c:v>
                </c:pt>
                <c:pt idx="324">
                  <c:v>4.2814361107279812E-2</c:v>
                </c:pt>
                <c:pt idx="325">
                  <c:v>4.2813961637423174E-2</c:v>
                </c:pt>
                <c:pt idx="326">
                  <c:v>4.28140280773254E-2</c:v>
                </c:pt>
                <c:pt idx="327">
                  <c:v>4.2814542949930458E-2</c:v>
                </c:pt>
                <c:pt idx="328">
                  <c:v>4.2815526785394548E-2</c:v>
                </c:pt>
                <c:pt idx="329">
                  <c:v>4.2816955811723921E-2</c:v>
                </c:pt>
                <c:pt idx="330">
                  <c:v>4.2818617408796888E-2</c:v>
                </c:pt>
                <c:pt idx="331">
                  <c:v>4.2820854587429784E-2</c:v>
                </c:pt>
                <c:pt idx="332">
                  <c:v>4.2823404454597147E-2</c:v>
                </c:pt>
                <c:pt idx="333">
                  <c:v>4.2826423215788868E-2</c:v>
                </c:pt>
                <c:pt idx="334">
                  <c:v>4.2829702907138709E-2</c:v>
                </c:pt>
                <c:pt idx="335">
                  <c:v>4.2833448383901004E-2</c:v>
                </c:pt>
                <c:pt idx="336">
                  <c:v>4.2837542153896291E-2</c:v>
                </c:pt>
                <c:pt idx="337">
                  <c:v>4.2841822140800033E-2</c:v>
                </c:pt>
                <c:pt idx="338">
                  <c:v>4.2846559881795906E-2</c:v>
                </c:pt>
                <c:pt idx="339">
                  <c:v>4.2851436522196959E-2</c:v>
                </c:pt>
                <c:pt idx="340">
                  <c:v>4.2856763373866222E-2</c:v>
                </c:pt>
                <c:pt idx="341">
                  <c:v>4.2862368586117604E-2</c:v>
                </c:pt>
                <c:pt idx="342">
                  <c:v>4.286765882500309E-2</c:v>
                </c:pt>
                <c:pt idx="343">
                  <c:v>4.2873754667124342E-2</c:v>
                </c:pt>
                <c:pt idx="344">
                  <c:v>4.2879879883396713E-2</c:v>
                </c:pt>
                <c:pt idx="345">
                  <c:v>4.2886429029847871E-2</c:v>
                </c:pt>
                <c:pt idx="346">
                  <c:v>4.2892966372454169E-2</c:v>
                </c:pt>
                <c:pt idx="347">
                  <c:v>4.2899913954026543E-2</c:v>
                </c:pt>
                <c:pt idx="348">
                  <c:v>4.2907042989666681E-2</c:v>
                </c:pt>
                <c:pt idx="349">
                  <c:v>4.2914101486474357E-2</c:v>
                </c:pt>
                <c:pt idx="350">
                  <c:v>4.2921546212666431E-2</c:v>
                </c:pt>
                <c:pt idx="351">
                  <c:v>4.2928883669564828E-2</c:v>
                </c:pt>
                <c:pt idx="352">
                  <c:v>4.2936589228202933E-2</c:v>
                </c:pt>
                <c:pt idx="353">
                  <c:v>4.2944406308259013E-2</c:v>
                </c:pt>
                <c:pt idx="354">
                  <c:v>4.2951807473905035E-2</c:v>
                </c:pt>
                <c:pt idx="355">
                  <c:v>4.2959800163831934E-2</c:v>
                </c:pt>
                <c:pt idx="356">
                  <c:v>4.2967601751884354E-2</c:v>
                </c:pt>
                <c:pt idx="357">
                  <c:v>4.2975718555317614E-2</c:v>
                </c:pt>
                <c:pt idx="358">
                  <c:v>4.2983613710331485E-2</c:v>
                </c:pt>
                <c:pt idx="359">
                  <c:v>4.2991799769166276E-2</c:v>
                </c:pt>
                <c:pt idx="360">
                  <c:v>4.2999998793123113E-2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75-4865-8D1B-CC8EABD8D726}"/>
            </c:ext>
          </c:extLst>
        </c:ser>
        <c:ser>
          <c:idx val="2"/>
          <c:order val="2"/>
          <c:tx>
            <c:strRef>
              <c:f>'YieldCurve (2)'!$E$25</c:f>
              <c:strCache>
                <c:ptCount val="1"/>
                <c:pt idx="0">
                  <c:v>f'(0,T)</c:v>
                </c:pt>
              </c:strCache>
            </c:strRef>
          </c:tx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(2)'!$E$26:$E$386</c:f>
              <c:numCache>
                <c:formatCode>0.000%</c:formatCode>
                <c:ptCount val="361"/>
                <c:pt idx="0">
                  <c:v>-1.5300248400777648E-3</c:v>
                </c:pt>
                <c:pt idx="1">
                  <c:v>-1.4978630266341783E-3</c:v>
                </c:pt>
                <c:pt idx="2">
                  <c:v>-1.4035681937255825E-3</c:v>
                </c:pt>
                <c:pt idx="3">
                  <c:v>-1.2400188359904959E-3</c:v>
                </c:pt>
                <c:pt idx="4">
                  <c:v>-1.0136457160108408E-3</c:v>
                </c:pt>
                <c:pt idx="5">
                  <c:v>-7.3465357131351054E-4</c:v>
                </c:pt>
                <c:pt idx="6">
                  <c:v>-3.7527527537344573E-4</c:v>
                </c:pt>
                <c:pt idx="7">
                  <c:v>2.2005600300864146E-5</c:v>
                </c:pt>
                <c:pt idx="8">
                  <c:v>5.1050210547148455E-4</c:v>
                </c:pt>
                <c:pt idx="9">
                  <c:v>1.046758257372816E-3</c:v>
                </c:pt>
                <c:pt idx="10">
                  <c:v>1.6665246689139611E-3</c:v>
                </c:pt>
                <c:pt idx="11">
                  <c:v>2.3417562918968456E-3</c:v>
                </c:pt>
                <c:pt idx="12">
                  <c:v>3.0667004766855004E-3</c:v>
                </c:pt>
                <c:pt idx="13">
                  <c:v>3.779626799901026E-3</c:v>
                </c:pt>
                <c:pt idx="14">
                  <c:v>4.3726502521686458E-3</c:v>
                </c:pt>
                <c:pt idx="15">
                  <c:v>4.8696904488532656E-3</c:v>
                </c:pt>
                <c:pt idx="16">
                  <c:v>5.2432696740535509E-3</c:v>
                </c:pt>
                <c:pt idx="17">
                  <c:v>5.5014880336172467E-3</c:v>
                </c:pt>
                <c:pt idx="18">
                  <c:v>5.6512767955701985E-3</c:v>
                </c:pt>
                <c:pt idx="19">
                  <c:v>5.6839537461153434E-3</c:v>
                </c:pt>
                <c:pt idx="20">
                  <c:v>5.604139161222029E-3</c:v>
                </c:pt>
                <c:pt idx="21">
                  <c:v>5.4148825049573062E-3</c:v>
                </c:pt>
                <c:pt idx="22">
                  <c:v>5.1035670320898324E-3</c:v>
                </c:pt>
                <c:pt idx="23">
                  <c:v>4.6818283002683482E-3</c:v>
                </c:pt>
                <c:pt idx="24">
                  <c:v>4.1710980831221964E-3</c:v>
                </c:pt>
                <c:pt idx="25">
                  <c:v>3.6857095095503248E-3</c:v>
                </c:pt>
                <c:pt idx="26">
                  <c:v>3.3719067374951917E-3</c:v>
                </c:pt>
                <c:pt idx="27">
                  <c:v>3.2348504048813989E-3</c:v>
                </c:pt>
                <c:pt idx="28">
                  <c:v>3.2867159122478766E-3</c:v>
                </c:pt>
                <c:pt idx="29">
                  <c:v>3.5081324141253202E-3</c:v>
                </c:pt>
                <c:pt idx="30">
                  <c:v>3.9296265684396819E-3</c:v>
                </c:pt>
                <c:pt idx="31">
                  <c:v>4.4981649344544711E-3</c:v>
                </c:pt>
                <c:pt idx="32">
                  <c:v>5.2879338848631097E-3</c:v>
                </c:pt>
                <c:pt idx="33">
                  <c:v>6.2333941578039545E-3</c:v>
                </c:pt>
                <c:pt idx="34">
                  <c:v>7.3975760600822338E-3</c:v>
                </c:pt>
                <c:pt idx="35">
                  <c:v>8.7296923577785627E-3</c:v>
                </c:pt>
                <c:pt idx="36">
                  <c:v>1.0230114407224239E-2</c:v>
                </c:pt>
                <c:pt idx="37">
                  <c:v>1.1856387467834443E-2</c:v>
                </c:pt>
                <c:pt idx="38">
                  <c:v>1.3454348042335008E-2</c:v>
                </c:pt>
                <c:pt idx="39">
                  <c:v>1.5115242942121252E-2</c:v>
                </c:pt>
                <c:pt idx="40">
                  <c:v>1.6758992971589108E-2</c:v>
                </c:pt>
                <c:pt idx="41">
                  <c:v>1.835769454418611E-2</c:v>
                </c:pt>
                <c:pt idx="42">
                  <c:v>2.0047438128608354E-2</c:v>
                </c:pt>
                <c:pt idx="43">
                  <c:v>2.1637165387437787E-2</c:v>
                </c:pt>
                <c:pt idx="44">
                  <c:v>2.334593021647104E-2</c:v>
                </c:pt>
                <c:pt idx="45">
                  <c:v>2.5008930917597011E-2</c:v>
                </c:pt>
                <c:pt idx="46">
                  <c:v>2.6737033921533444E-2</c:v>
                </c:pt>
                <c:pt idx="47">
                  <c:v>2.8446907587959792E-2</c:v>
                </c:pt>
                <c:pt idx="48">
                  <c:v>3.014845567884087E-2</c:v>
                </c:pt>
                <c:pt idx="49">
                  <c:v>3.1774372814477973E-2</c:v>
                </c:pt>
                <c:pt idx="50">
                  <c:v>3.3156171759539041E-2</c:v>
                </c:pt>
                <c:pt idx="51">
                  <c:v>3.4366405016526748E-2</c:v>
                </c:pt>
                <c:pt idx="52">
                  <c:v>3.5340067824001578E-2</c:v>
                </c:pt>
                <c:pt idx="53">
                  <c:v>3.6082729513634178E-2</c:v>
                </c:pt>
                <c:pt idx="54">
                  <c:v>3.6643653563157845E-2</c:v>
                </c:pt>
                <c:pt idx="55">
                  <c:v>3.6965839166633901E-2</c:v>
                </c:pt>
                <c:pt idx="56">
                  <c:v>3.7098647186683861E-2</c:v>
                </c:pt>
                <c:pt idx="57">
                  <c:v>3.7016565708819033E-2</c:v>
                </c:pt>
                <c:pt idx="58">
                  <c:v>3.6714122351518906E-2</c:v>
                </c:pt>
                <c:pt idx="59">
                  <c:v>3.619950673454396E-2</c:v>
                </c:pt>
                <c:pt idx="60">
                  <c:v>3.5495187098673803E-2</c:v>
                </c:pt>
                <c:pt idx="61">
                  <c:v>3.4699631398623129E-2</c:v>
                </c:pt>
                <c:pt idx="62">
                  <c:v>3.3969103924651058E-2</c:v>
                </c:pt>
                <c:pt idx="63">
                  <c:v>3.3279234469768514E-2</c:v>
                </c:pt>
                <c:pt idx="64">
                  <c:v>3.2665328870688577E-2</c:v>
                </c:pt>
                <c:pt idx="65">
                  <c:v>3.2122838040322371E-2</c:v>
                </c:pt>
                <c:pt idx="66">
                  <c:v>3.1627995176808317E-2</c:v>
                </c:pt>
                <c:pt idx="67">
                  <c:v>3.1218799295897121E-2</c:v>
                </c:pt>
                <c:pt idx="68">
                  <c:v>3.085290863952779E-2</c:v>
                </c:pt>
                <c:pt idx="69">
                  <c:v>3.0561732606759571E-2</c:v>
                </c:pt>
                <c:pt idx="70">
                  <c:v>3.0325859694287149E-2</c:v>
                </c:pt>
                <c:pt idx="71">
                  <c:v>3.0158628260780942E-2</c:v>
                </c:pt>
                <c:pt idx="72">
                  <c:v>3.0048937061222612E-2</c:v>
                </c:pt>
                <c:pt idx="73">
                  <c:v>2.9966823961986286E-2</c:v>
                </c:pt>
                <c:pt idx="74">
                  <c:v>2.9885483753357721E-2</c:v>
                </c:pt>
                <c:pt idx="75">
                  <c:v>2.9793187704776073E-2</c:v>
                </c:pt>
                <c:pt idx="76">
                  <c:v>2.9694157447092456E-2</c:v>
                </c:pt>
                <c:pt idx="77">
                  <c:v>2.9590832099982409E-2</c:v>
                </c:pt>
                <c:pt idx="78">
                  <c:v>2.9473937380457508E-2</c:v>
                </c:pt>
                <c:pt idx="79">
                  <c:v>2.9356910636293927E-2</c:v>
                </c:pt>
                <c:pt idx="80">
                  <c:v>2.9223796821302196E-2</c:v>
                </c:pt>
                <c:pt idx="81">
                  <c:v>2.9086998503929797E-2</c:v>
                </c:pt>
                <c:pt idx="82">
                  <c:v>2.8937395442810751E-2</c:v>
                </c:pt>
                <c:pt idx="83">
                  <c:v>2.878198259173366E-2</c:v>
                </c:pt>
                <c:pt idx="84">
                  <c:v>2.8618451363977459E-2</c:v>
                </c:pt>
                <c:pt idx="85">
                  <c:v>2.8443267442759532E-2</c:v>
                </c:pt>
                <c:pt idx="86">
                  <c:v>2.8264666605620173E-2</c:v>
                </c:pt>
                <c:pt idx="87">
                  <c:v>2.8070636071412497E-2</c:v>
                </c:pt>
                <c:pt idx="88">
                  <c:v>2.7870283853417742E-2</c:v>
                </c:pt>
                <c:pt idx="89">
                  <c:v>2.7667831792791319E-2</c:v>
                </c:pt>
                <c:pt idx="90">
                  <c:v>2.744552774285201E-2</c:v>
                </c:pt>
                <c:pt idx="91">
                  <c:v>2.7228745903476959E-2</c:v>
                </c:pt>
                <c:pt idx="92">
                  <c:v>2.6987799670863045E-2</c:v>
                </c:pt>
                <c:pt idx="93">
                  <c:v>2.6745455232721534E-2</c:v>
                </c:pt>
                <c:pt idx="94">
                  <c:v>2.6485556240733042E-2</c:v>
                </c:pt>
                <c:pt idx="95">
                  <c:v>2.6220398146659125E-2</c:v>
                </c:pt>
                <c:pt idx="96">
                  <c:v>2.5951594421263234E-2</c:v>
                </c:pt>
                <c:pt idx="97">
                  <c:v>2.5704404414007335E-2</c:v>
                </c:pt>
                <c:pt idx="98">
                  <c:v>2.5519215243425368E-2</c:v>
                </c:pt>
                <c:pt idx="99">
                  <c:v>2.5389832567561416E-2</c:v>
                </c:pt>
                <c:pt idx="100">
                  <c:v>2.5324351653799614E-2</c:v>
                </c:pt>
                <c:pt idx="101">
                  <c:v>2.5317714581487037E-2</c:v>
                </c:pt>
                <c:pt idx="102">
                  <c:v>2.5373253161237227E-2</c:v>
                </c:pt>
                <c:pt idx="103">
                  <c:v>2.5482894023212015E-2</c:v>
                </c:pt>
                <c:pt idx="104">
                  <c:v>2.5660358531504834E-2</c:v>
                </c:pt>
                <c:pt idx="105">
                  <c:v>2.5892078507176571E-2</c:v>
                </c:pt>
                <c:pt idx="106">
                  <c:v>2.6193501659648632E-2</c:v>
                </c:pt>
                <c:pt idx="107">
                  <c:v>2.6551878100893232E-2</c:v>
                </c:pt>
                <c:pt idx="108">
                  <c:v>2.6948088727761846E-2</c:v>
                </c:pt>
                <c:pt idx="109">
                  <c:v>2.7270010318090131E-2</c:v>
                </c:pt>
                <c:pt idx="110">
                  <c:v>2.7386776671419796E-2</c:v>
                </c:pt>
                <c:pt idx="111">
                  <c:v>2.7281375963245792E-2</c:v>
                </c:pt>
                <c:pt idx="112">
                  <c:v>2.695221350891756E-2</c:v>
                </c:pt>
                <c:pt idx="113">
                  <c:v>2.6415108709306401E-2</c:v>
                </c:pt>
                <c:pt idx="114">
                  <c:v>2.5631529571553801E-2</c:v>
                </c:pt>
                <c:pt idx="115">
                  <c:v>2.467130236572369E-2</c:v>
                </c:pt>
                <c:pt idx="116">
                  <c:v>2.3439309824138096E-2</c:v>
                </c:pt>
                <c:pt idx="117">
                  <c:v>2.2028292026657733E-2</c:v>
                </c:pt>
                <c:pt idx="118">
                  <c:v>2.0344180839747268E-2</c:v>
                </c:pt>
                <c:pt idx="119">
                  <c:v>1.8461770738077525E-2</c:v>
                </c:pt>
                <c:pt idx="120">
                  <c:v>1.6385690843896305E-2</c:v>
                </c:pt>
                <c:pt idx="121">
                  <c:v>1.4214438147459327E-2</c:v>
                </c:pt>
                <c:pt idx="122">
                  <c:v>1.2192501831687033E-2</c:v>
                </c:pt>
                <c:pt idx="123">
                  <c:v>1.0214096784417082E-2</c:v>
                </c:pt>
                <c:pt idx="124">
                  <c:v>8.3782376161024089E-3</c:v>
                </c:pt>
                <c:pt idx="125">
                  <c:v>6.7040456179136617E-3</c:v>
                </c:pt>
                <c:pt idx="126">
                  <c:v>5.0566102142427446E-3</c:v>
                </c:pt>
                <c:pt idx="127">
                  <c:v>3.618705312149445E-3</c:v>
                </c:pt>
                <c:pt idx="128">
                  <c:v>2.1894908992726096E-3</c:v>
                </c:pt>
                <c:pt idx="129">
                  <c:v>9.137313096970796E-4</c:v>
                </c:pt>
                <c:pt idx="130">
                  <c:v>-2.9362408307227099E-4</c:v>
                </c:pt>
                <c:pt idx="131">
                  <c:v>-1.3708702088968345E-3</c:v>
                </c:pt>
                <c:pt idx="132">
                  <c:v>-2.3401788626018641E-3</c:v>
                </c:pt>
                <c:pt idx="133">
                  <c:v>-3.2129281971250046E-3</c:v>
                </c:pt>
                <c:pt idx="134">
                  <c:v>-3.9501734567909336E-3</c:v>
                </c:pt>
                <c:pt idx="135">
                  <c:v>-4.6010640599746574E-3</c:v>
                </c:pt>
                <c:pt idx="136">
                  <c:v>-5.1308205624569087E-3</c:v>
                </c:pt>
                <c:pt idx="137">
                  <c:v>-5.5417329950024829E-3</c:v>
                </c:pt>
                <c:pt idx="138">
                  <c:v>-5.8616544055417451E-3</c:v>
                </c:pt>
                <c:pt idx="139">
                  <c:v>-6.0576912293671924E-3</c:v>
                </c:pt>
                <c:pt idx="140">
                  <c:v>-6.1593912359825817E-3</c:v>
                </c:pt>
                <c:pt idx="141">
                  <c:v>-6.1504594779678845E-3</c:v>
                </c:pt>
                <c:pt idx="142">
                  <c:v>-6.0303008656681038E-3</c:v>
                </c:pt>
                <c:pt idx="143">
                  <c:v>-5.8014445415588457E-3</c:v>
                </c:pt>
                <c:pt idx="144">
                  <c:v>-5.4745079666322248E-3</c:v>
                </c:pt>
                <c:pt idx="145">
                  <c:v>-5.0927545834784076E-3</c:v>
                </c:pt>
                <c:pt idx="146">
                  <c:v>-4.7277054183725567E-3</c:v>
                </c:pt>
                <c:pt idx="147">
                  <c:v>-4.3658999455001707E-3</c:v>
                </c:pt>
                <c:pt idx="148">
                  <c:v>-4.0253014731282391E-3</c:v>
                </c:pt>
                <c:pt idx="149">
                  <c:v>-3.709969085426524E-3</c:v>
                </c:pt>
                <c:pt idx="150">
                  <c:v>-3.3941476571141983E-3</c:v>
                </c:pt>
                <c:pt idx="151">
                  <c:v>-3.1130460089262993E-3</c:v>
                </c:pt>
                <c:pt idx="152">
                  <c:v>-2.8275437717951348E-3</c:v>
                </c:pt>
                <c:pt idx="153">
                  <c:v>-2.5661662390914818E-3</c:v>
                </c:pt>
                <c:pt idx="154">
                  <c:v>-2.3114878791343908E-3</c:v>
                </c:pt>
                <c:pt idx="155">
                  <c:v>-2.0762889914776057E-3</c:v>
                </c:pt>
                <c:pt idx="156">
                  <c:v>-1.8560868639904955E-3</c:v>
                </c:pt>
                <c:pt idx="157">
                  <c:v>-1.6478978892243844E-3</c:v>
                </c:pt>
                <c:pt idx="158">
                  <c:v>-1.4613397982186278E-3</c:v>
                </c:pt>
                <c:pt idx="159">
                  <c:v>-1.2839756330873258E-3</c:v>
                </c:pt>
                <c:pt idx="160">
                  <c:v>-1.1248433530892242E-3</c:v>
                </c:pt>
                <c:pt idx="161">
                  <c:v>-9.8286442033063202E-4</c:v>
                </c:pt>
                <c:pt idx="162">
                  <c:v>-8.5173661375555567E-4</c:v>
                </c:pt>
                <c:pt idx="163">
                  <c:v>-7.4158220126328031E-4</c:v>
                </c:pt>
                <c:pt idx="164">
                  <c:v>-6.4102589722566218E-4</c:v>
                </c:pt>
                <c:pt idx="165">
                  <c:v>-5.5862852463982174E-4</c:v>
                </c:pt>
                <c:pt idx="166">
                  <c:v>-4.8889676594808041E-4</c:v>
                </c:pt>
                <c:pt idx="167">
                  <c:v>-4.3566118639113809E-4</c:v>
                </c:pt>
                <c:pt idx="168">
                  <c:v>-3.9742211971196487E-4</c:v>
                </c:pt>
                <c:pt idx="169">
                  <c:v>-3.7417948450518145E-4</c:v>
                </c:pt>
                <c:pt idx="170">
                  <c:v>-3.6660182588250283E-4</c:v>
                </c:pt>
                <c:pt idx="171">
                  <c:v>-3.7418360346525546E-4</c:v>
                </c:pt>
                <c:pt idx="172">
                  <c:v>-3.9701458063666056E-4</c:v>
                </c:pt>
                <c:pt idx="173">
                  <c:v>-4.331956903383062E-4</c:v>
                </c:pt>
                <c:pt idx="174">
                  <c:v>-4.867612607602104E-4</c:v>
                </c:pt>
                <c:pt idx="175">
                  <c:v>-5.5121561695155449E-4</c:v>
                </c:pt>
                <c:pt idx="176">
                  <c:v>-6.351006477507185E-4</c:v>
                </c:pt>
                <c:pt idx="177">
                  <c:v>-7.3119451272436048E-4</c:v>
                </c:pt>
                <c:pt idx="178">
                  <c:v>-8.4590355817196065E-4</c:v>
                </c:pt>
                <c:pt idx="179">
                  <c:v>-9.7413419935513676E-4</c:v>
                </c:pt>
                <c:pt idx="180">
                  <c:v>-1.1159403933847785E-3</c:v>
                </c:pt>
                <c:pt idx="181">
                  <c:v>-1.2666160158333927E-3</c:v>
                </c:pt>
                <c:pt idx="182">
                  <c:v>-1.4112414958414787E-3</c:v>
                </c:pt>
                <c:pt idx="183">
                  <c:v>-1.5578908652647372E-3</c:v>
                </c:pt>
                <c:pt idx="184">
                  <c:v>-1.6993858616941668E-3</c:v>
                </c:pt>
                <c:pt idx="185">
                  <c:v>-1.8336830021430718E-3</c:v>
                </c:pt>
                <c:pt idx="186">
                  <c:v>-1.9719878343347269E-3</c:v>
                </c:pt>
                <c:pt idx="187">
                  <c:v>-2.0987667689219818E-3</c:v>
                </c:pt>
                <c:pt idx="188">
                  <c:v>-2.2315696487191236E-3</c:v>
                </c:pt>
                <c:pt idx="189">
                  <c:v>-2.3573821208664192E-3</c:v>
                </c:pt>
                <c:pt idx="190">
                  <c:v>-2.4845912406527061E-3</c:v>
                </c:pt>
                <c:pt idx="191">
                  <c:v>-2.6069594543239195E-3</c:v>
                </c:pt>
                <c:pt idx="192">
                  <c:v>-2.7266065365698982E-3</c:v>
                </c:pt>
                <c:pt idx="193">
                  <c:v>-2.8453794447629997E-3</c:v>
                </c:pt>
                <c:pt idx="194">
                  <c:v>-2.957614207950386E-3</c:v>
                </c:pt>
                <c:pt idx="195">
                  <c:v>-3.0707934891252208E-3</c:v>
                </c:pt>
                <c:pt idx="196">
                  <c:v>-3.1793580662308786E-3</c:v>
                </c:pt>
                <c:pt idx="197">
                  <c:v>-3.2818047789904652E-3</c:v>
                </c:pt>
                <c:pt idx="198">
                  <c:v>-3.3866394491969152E-3</c:v>
                </c:pt>
                <c:pt idx="199">
                  <c:v>-3.4821074584125188E-3</c:v>
                </c:pt>
                <c:pt idx="200">
                  <c:v>-3.5814403836179863E-3</c:v>
                </c:pt>
                <c:pt idx="201">
                  <c:v>-3.6748622728901689E-3</c:v>
                </c:pt>
                <c:pt idx="202">
                  <c:v>-3.7686013053144602E-3</c:v>
                </c:pt>
                <c:pt idx="203">
                  <c:v>-3.8580392760299868E-3</c:v>
                </c:pt>
                <c:pt idx="204">
                  <c:v>-3.9447557981356317E-3</c:v>
                </c:pt>
                <c:pt idx="205">
                  <c:v>-4.030058353155801E-3</c:v>
                </c:pt>
                <c:pt idx="206">
                  <c:v>-4.109903064779174E-3</c:v>
                </c:pt>
                <c:pt idx="207">
                  <c:v>-4.1896123911666777E-3</c:v>
                </c:pt>
                <c:pt idx="208">
                  <c:v>-4.2652463884521857E-3</c:v>
                </c:pt>
                <c:pt idx="209">
                  <c:v>-4.3370010365666647E-3</c:v>
                </c:pt>
                <c:pt idx="210">
                  <c:v>-4.4083198289461218E-3</c:v>
                </c:pt>
                <c:pt idx="211">
                  <c:v>-4.4735332671103833E-3</c:v>
                </c:pt>
                <c:pt idx="212">
                  <c:v>-4.5393041631502859E-3</c:v>
                </c:pt>
                <c:pt idx="213">
                  <c:v>-4.6002468491134693E-3</c:v>
                </c:pt>
                <c:pt idx="214">
                  <c:v>-4.660424117553125E-3</c:v>
                </c:pt>
                <c:pt idx="215">
                  <c:v>-4.7168414863186453E-3</c:v>
                </c:pt>
                <c:pt idx="216">
                  <c:v>-4.7705373761570352E-3</c:v>
                </c:pt>
                <c:pt idx="217">
                  <c:v>-4.8222784319368059E-3</c:v>
                </c:pt>
                <c:pt idx="218">
                  <c:v>-4.8696436729524966E-3</c:v>
                </c:pt>
                <c:pt idx="219">
                  <c:v>-4.9157909679047223E-3</c:v>
                </c:pt>
                <c:pt idx="220">
                  <c:v>-4.9584047964638762E-3</c:v>
                </c:pt>
                <c:pt idx="221">
                  <c:v>-4.9970626096180696E-3</c:v>
                </c:pt>
                <c:pt idx="222">
                  <c:v>-5.0348651905338746E-3</c:v>
                </c:pt>
                <c:pt idx="223">
                  <c:v>-5.0676260438505148E-3</c:v>
                </c:pt>
                <c:pt idx="224">
                  <c:v>-5.099927112625198E-3</c:v>
                </c:pt>
                <c:pt idx="225">
                  <c:v>-5.1284793427018409E-3</c:v>
                </c:pt>
                <c:pt idx="226">
                  <c:v>-5.1551862514686436E-3</c:v>
                </c:pt>
                <c:pt idx="227">
                  <c:v>-5.178673089574746E-3</c:v>
                </c:pt>
                <c:pt idx="228">
                  <c:v>-5.1994388254161675E-3</c:v>
                </c:pt>
                <c:pt idx="229">
                  <c:v>-5.2177097857127866E-3</c:v>
                </c:pt>
                <c:pt idx="230">
                  <c:v>-5.2326845683748381E-3</c:v>
                </c:pt>
                <c:pt idx="231">
                  <c:v>-5.2453618996400279E-3</c:v>
                </c:pt>
                <c:pt idx="232">
                  <c:v>-5.2550451199298706E-3</c:v>
                </c:pt>
                <c:pt idx="233">
                  <c:v>-5.261852230195401E-3</c:v>
                </c:pt>
                <c:pt idx="234">
                  <c:v>-5.2661849133312953E-3</c:v>
                </c:pt>
                <c:pt idx="235">
                  <c:v>-5.2676350019287702E-3</c:v>
                </c:pt>
                <c:pt idx="236">
                  <c:v>-5.266465572799776E-3</c:v>
                </c:pt>
                <c:pt idx="237">
                  <c:v>-5.2626276064911747E-3</c:v>
                </c:pt>
                <c:pt idx="238">
                  <c:v>-5.2558645476506599E-3</c:v>
                </c:pt>
                <c:pt idx="239">
                  <c:v>-5.2464209493174102E-3</c:v>
                </c:pt>
                <c:pt idx="240">
                  <c:v>-5.2343641750827799E-3</c:v>
                </c:pt>
                <c:pt idx="241">
                  <c:v>-5.2199656605211101E-3</c:v>
                </c:pt>
                <c:pt idx="242">
                  <c:v>-5.2045502180597331E-3</c:v>
                </c:pt>
                <c:pt idx="243">
                  <c:v>-5.1872094705854915E-3</c:v>
                </c:pt>
                <c:pt idx="244">
                  <c:v>-5.1687406434861218E-3</c:v>
                </c:pt>
                <c:pt idx="245">
                  <c:v>-5.1495861890704956E-3</c:v>
                </c:pt>
                <c:pt idx="246">
                  <c:v>-5.1280344535055431E-3</c:v>
                </c:pt>
                <c:pt idx="247">
                  <c:v>-5.1065594362407788E-3</c:v>
                </c:pt>
                <c:pt idx="248">
                  <c:v>-5.0822309349734199E-3</c:v>
                </c:pt>
                <c:pt idx="249">
                  <c:v>-5.0573214264495406E-3</c:v>
                </c:pt>
                <c:pt idx="250">
                  <c:v>-5.0301701350251877E-3</c:v>
                </c:pt>
                <c:pt idx="251">
                  <c:v>-5.0020490776871811E-3</c:v>
                </c:pt>
                <c:pt idx="252">
                  <c:v>-4.9725547652386872E-3</c:v>
                </c:pt>
                <c:pt idx="253">
                  <c:v>-4.9411461703946337E-3</c:v>
                </c:pt>
                <c:pt idx="254">
                  <c:v>-4.9093849583047907E-3</c:v>
                </c:pt>
                <c:pt idx="255">
                  <c:v>-4.8751534402271621E-3</c:v>
                </c:pt>
                <c:pt idx="256">
                  <c:v>-4.8400663576207651E-3</c:v>
                </c:pt>
                <c:pt idx="257">
                  <c:v>-4.8042225978057592E-3</c:v>
                </c:pt>
                <c:pt idx="258">
                  <c:v>-4.7657571420312052E-3</c:v>
                </c:pt>
                <c:pt idx="259">
                  <c:v>-4.7278130935871866E-3</c:v>
                </c:pt>
                <c:pt idx="260">
                  <c:v>-4.6865477172620502E-3</c:v>
                </c:pt>
                <c:pt idx="261">
                  <c:v>-4.645247397100127E-3</c:v>
                </c:pt>
                <c:pt idx="262">
                  <c:v>-4.6011592301368831E-3</c:v>
                </c:pt>
                <c:pt idx="263">
                  <c:v>-4.5563747767347392E-3</c:v>
                </c:pt>
                <c:pt idx="264">
                  <c:v>-4.5102167037010905E-3</c:v>
                </c:pt>
                <c:pt idx="265">
                  <c:v>-4.4618710997660661E-3</c:v>
                </c:pt>
                <c:pt idx="266">
                  <c:v>-4.4137189420672693E-3</c:v>
                </c:pt>
                <c:pt idx="267">
                  <c:v>-4.3625506801945463E-3</c:v>
                </c:pt>
                <c:pt idx="268">
                  <c:v>-4.310800086875303E-3</c:v>
                </c:pt>
                <c:pt idx="269">
                  <c:v>-4.2594548847107823E-3</c:v>
                </c:pt>
                <c:pt idx="270">
                  <c:v>-4.2040755320403543E-3</c:v>
                </c:pt>
                <c:pt idx="271">
                  <c:v>-4.1509555058494626E-3</c:v>
                </c:pt>
                <c:pt idx="272">
                  <c:v>-4.0927994879597389E-3</c:v>
                </c:pt>
                <c:pt idx="273">
                  <c:v>-4.0351533940418917E-3</c:v>
                </c:pt>
                <c:pt idx="274">
                  <c:v>-3.9741747180363418E-3</c:v>
                </c:pt>
                <c:pt idx="275">
                  <c:v>-3.9127716151208256E-3</c:v>
                </c:pt>
                <c:pt idx="276">
                  <c:v>-3.849995243868681E-3</c:v>
                </c:pt>
                <c:pt idx="277">
                  <c:v>-3.7847592632986489E-3</c:v>
                </c:pt>
                <c:pt idx="278">
                  <c:v>-3.7202614639734472E-3</c:v>
                </c:pt>
                <c:pt idx="279">
                  <c:v>-3.6522025594773709E-3</c:v>
                </c:pt>
                <c:pt idx="280">
                  <c:v>-3.5838338345693774E-3</c:v>
                </c:pt>
                <c:pt idx="281">
                  <c:v>-3.5164151243612415E-3</c:v>
                </c:pt>
                <c:pt idx="282">
                  <c:v>-3.4441448314872043E-3</c:v>
                </c:pt>
                <c:pt idx="283">
                  <c:v>-3.3752240199035471E-3</c:v>
                </c:pt>
                <c:pt idx="284">
                  <c:v>-3.3001773588856071E-3</c:v>
                </c:pt>
                <c:pt idx="285">
                  <c:v>-3.2261854897956029E-3</c:v>
                </c:pt>
                <c:pt idx="286">
                  <c:v>-3.1483161705223124E-3</c:v>
                </c:pt>
                <c:pt idx="287">
                  <c:v>-3.0702949954465042E-3</c:v>
                </c:pt>
                <c:pt idx="288">
                  <c:v>-2.9909004105554151E-3</c:v>
                </c:pt>
                <c:pt idx="289">
                  <c:v>-2.9087736537158149E-3</c:v>
                </c:pt>
                <c:pt idx="290">
                  <c:v>-2.8279303447189307E-3</c:v>
                </c:pt>
                <c:pt idx="291">
                  <c:v>-2.7429805310502375E-3</c:v>
                </c:pt>
                <c:pt idx="292">
                  <c:v>-2.6579934659879626E-3</c:v>
                </c:pt>
                <c:pt idx="293">
                  <c:v>-2.5745017545353859E-3</c:v>
                </c:pt>
                <c:pt idx="294">
                  <c:v>-2.4853407957118288E-3</c:v>
                </c:pt>
                <c:pt idx="295">
                  <c:v>-2.4006188898893187E-3</c:v>
                </c:pt>
                <c:pt idx="296">
                  <c:v>-2.3086815855073309E-3</c:v>
                </c:pt>
                <c:pt idx="297">
                  <c:v>-2.2183440739983128E-3</c:v>
                </c:pt>
                <c:pt idx="298">
                  <c:v>-2.123583978611546E-3</c:v>
                </c:pt>
                <c:pt idx="299">
                  <c:v>-2.0289446500911558E-3</c:v>
                </c:pt>
                <c:pt idx="300">
                  <c:v>-1.9331700223023153E-3</c:v>
                </c:pt>
                <c:pt idx="301">
                  <c:v>-1.8359166336968788E-3</c:v>
                </c:pt>
                <c:pt idx="302">
                  <c:v>-1.7431349870980165E-3</c:v>
                </c:pt>
                <c:pt idx="303">
                  <c:v>-1.6489016879468463E-3</c:v>
                </c:pt>
                <c:pt idx="304">
                  <c:v>-1.5578253117397435E-3</c:v>
                </c:pt>
                <c:pt idx="305">
                  <c:v>-1.4697910906754643E-3</c:v>
                </c:pt>
                <c:pt idx="306">
                  <c:v>-1.3804821213919361E-3</c:v>
                </c:pt>
                <c:pt idx="307">
                  <c:v>-1.2970526023657169E-3</c:v>
                </c:pt>
                <c:pt idx="308">
                  <c:v>-1.210999360559612E-3</c:v>
                </c:pt>
                <c:pt idx="309">
                  <c:v>-1.1293106412517567E-3</c:v>
                </c:pt>
                <c:pt idx="310">
                  <c:v>-1.0465404235550299E-3</c:v>
                </c:pt>
                <c:pt idx="311">
                  <c:v>-9.6674229843459749E-4</c:v>
                </c:pt>
                <c:pt idx="312">
                  <c:v>-8.8854111231042698E-4</c:v>
                </c:pt>
                <c:pt idx="313">
                  <c:v>-8.107220033803284E-4</c:v>
                </c:pt>
                <c:pt idx="314">
                  <c:v>-7.3700169271689495E-4</c:v>
                </c:pt>
                <c:pt idx="315">
                  <c:v>-6.6246547524641437E-4</c:v>
                </c:pt>
                <c:pt idx="316">
                  <c:v>-5.9076825469894399E-4</c:v>
                </c:pt>
                <c:pt idx="317">
                  <c:v>-5.229233368849518E-4</c:v>
                </c:pt>
                <c:pt idx="318">
                  <c:v>-4.532845498903838E-4</c:v>
                </c:pt>
                <c:pt idx="319">
                  <c:v>-3.8966619209818566E-4</c:v>
                </c:pt>
                <c:pt idx="320">
                  <c:v>-3.2325648979202997E-4</c:v>
                </c:pt>
                <c:pt idx="321">
                  <c:v>-2.6057689331607573E-4</c:v>
                </c:pt>
                <c:pt idx="322">
                  <c:v>-1.9744968409468247E-4</c:v>
                </c:pt>
                <c:pt idx="323">
                  <c:v>-1.3697821637188675E-4</c:v>
                </c:pt>
                <c:pt idx="324">
                  <c:v>-7.8103169231694353E-5</c:v>
                </c:pt>
                <c:pt idx="325">
                  <c:v>-1.9927202190235136E-5</c:v>
                </c:pt>
                <c:pt idx="326">
                  <c:v>3.478345330466439E-5</c:v>
                </c:pt>
                <c:pt idx="327">
                  <c:v>8.9676794301450066E-5</c:v>
                </c:pt>
                <c:pt idx="328">
                  <c:v>1.4204750880872157E-4</c:v>
                </c:pt>
                <c:pt idx="329">
                  <c:v>1.9119958336515758E-4</c:v>
                </c:pt>
                <c:pt idx="330">
                  <c:v>2.4119544621015887E-4</c:v>
                </c:pt>
                <c:pt idx="331">
                  <c:v>2.8643798640891777E-4</c:v>
                </c:pt>
                <c:pt idx="332">
                  <c:v>3.3320481165013884E-4</c:v>
                </c:pt>
                <c:pt idx="333">
                  <c:v>3.7687461929015661E-4</c:v>
                </c:pt>
                <c:pt idx="334">
                  <c:v>4.2035841982453323E-4</c:v>
                </c:pt>
                <c:pt idx="335">
                  <c:v>4.6150404298669087E-4</c:v>
                </c:pt>
                <c:pt idx="336">
                  <c:v>5.0105266690909304E-4</c:v>
                </c:pt>
                <c:pt idx="337">
                  <c:v>5.395853579278269E-4</c:v>
                </c:pt>
                <c:pt idx="338">
                  <c:v>5.7528675571769745E-4</c:v>
                </c:pt>
                <c:pt idx="339">
                  <c:v>6.105368206008303E-4</c:v>
                </c:pt>
                <c:pt idx="340">
                  <c:v>6.4358118242505212E-4</c:v>
                </c:pt>
                <c:pt idx="341">
                  <c:v>6.7404062117911064E-4</c:v>
                </c:pt>
                <c:pt idx="342">
                  <c:v>7.0439314702702314E-4</c:v>
                </c:pt>
                <c:pt idx="343">
                  <c:v>7.3126005142171429E-4</c:v>
                </c:pt>
                <c:pt idx="344">
                  <c:v>7.5838399903084281E-4</c:v>
                </c:pt>
                <c:pt idx="345">
                  <c:v>7.8304401737240049E-4</c:v>
                </c:pt>
                <c:pt idx="346">
                  <c:v>8.0688480741234478E-4</c:v>
                </c:pt>
                <c:pt idx="347">
                  <c:v>8.2870407783336485E-4</c:v>
                </c:pt>
                <c:pt idx="348">
                  <c:v>8.489261218773955E-4</c:v>
                </c:pt>
                <c:pt idx="349">
                  <c:v>8.6781580244404662E-4</c:v>
                </c:pt>
                <c:pt idx="350">
                  <c:v>8.8450767672491014E-4</c:v>
                </c:pt>
                <c:pt idx="351">
                  <c:v>9.0011486406936991E-4</c:v>
                </c:pt>
                <c:pt idx="352">
                  <c:v>9.1383276183506828E-4</c:v>
                </c:pt>
                <c:pt idx="353">
                  <c:v>9.2577661354453832E-4</c:v>
                </c:pt>
                <c:pt idx="354">
                  <c:v>9.3645954735267019E-4</c:v>
                </c:pt>
                <c:pt idx="355">
                  <c:v>9.4506745286094065E-4</c:v>
                </c:pt>
                <c:pt idx="356">
                  <c:v>9.5249391676616082E-4</c:v>
                </c:pt>
                <c:pt idx="357">
                  <c:v>9.5809259560697901E-4</c:v>
                </c:pt>
                <c:pt idx="358">
                  <c:v>9.6223656635436347E-4</c:v>
                </c:pt>
                <c:pt idx="359">
                  <c:v>9.6460568047489442E-4</c:v>
                </c:pt>
                <c:pt idx="360">
                  <c:v>9.6536894975659962E-4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75-4865-8D1B-CC8EABD8D726}"/>
            </c:ext>
          </c:extLst>
        </c:ser>
        <c:ser>
          <c:idx val="3"/>
          <c:order val="3"/>
          <c:tx>
            <c:strRef>
              <c:f>'YieldCurve (2)'!$F$25</c:f>
              <c:strCache>
                <c:ptCount val="1"/>
                <c:pt idx="0">
                  <c:v>f''(0,T)</c:v>
                </c:pt>
              </c:strCache>
            </c:strRef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(2)'!$F$26:$F$386</c:f>
              <c:numCache>
                <c:formatCode>0.000%</c:formatCode>
                <c:ptCount val="361"/>
                <c:pt idx="0">
                  <c:v>3.9130206356363613E-4</c:v>
                </c:pt>
                <c:pt idx="1">
                  <c:v>7.5666681833682866E-4</c:v>
                </c:pt>
                <c:pt idx="2">
                  <c:v>1.5428381899171158E-3</c:v>
                </c:pt>
                <c:pt idx="3">
                  <c:v>2.3331426945226346E-3</c:v>
                </c:pt>
                <c:pt idx="4">
                  <c:v>2.9751342194693493E-3</c:v>
                </c:pt>
                <c:pt idx="5">
                  <c:v>3.9492408615703252E-3</c:v>
                </c:pt>
                <c:pt idx="6">
                  <c:v>4.6810270786313019E-3</c:v>
                </c:pt>
                <c:pt idx="7">
                  <c:v>5.3001433443999914E-3</c:v>
                </c:pt>
                <c:pt idx="8">
                  <c:v>6.131716718545282E-3</c:v>
                </c:pt>
                <c:pt idx="9">
                  <c:v>6.9171841910902294E-3</c:v>
                </c:pt>
                <c:pt idx="10">
                  <c:v>7.7487587311683747E-3</c:v>
                </c:pt>
                <c:pt idx="11">
                  <c:v>8.2429704812356768E-3</c:v>
                </c:pt>
                <c:pt idx="12">
                  <c:v>8.6036514003528779E-3</c:v>
                </c:pt>
                <c:pt idx="13">
                  <c:v>7.8142896401860295E-3</c:v>
                </c:pt>
                <c:pt idx="14">
                  <c:v>6.52251199782898E-3</c:v>
                </c:pt>
                <c:pt idx="15">
                  <c:v>5.2094440817703376E-3</c:v>
                </c:pt>
                <c:pt idx="16">
                  <c:v>3.7194535232073088E-3</c:v>
                </c:pt>
                <c:pt idx="17">
                  <c:v>2.4820433225596064E-3</c:v>
                </c:pt>
                <c:pt idx="18">
                  <c:v>1.1099997510300883E-3</c:v>
                </c:pt>
                <c:pt idx="19">
                  <c:v>-2.8205305798494865E-4</c:v>
                </c:pt>
                <c:pt idx="20">
                  <c:v>-1.6100164429948118E-3</c:v>
                </c:pt>
                <c:pt idx="21">
                  <c:v>-2.9952266743156048E-3</c:v>
                </c:pt>
                <c:pt idx="22">
                  <c:v>-4.38630794608967E-3</c:v>
                </c:pt>
                <c:pt idx="23">
                  <c:v>-5.4895349415030117E-3</c:v>
                </c:pt>
                <c:pt idx="24">
                  <c:v>-5.9603829280668579E-3</c:v>
                </c:pt>
                <c:pt idx="25">
                  <c:v>-4.7820465762927374E-3</c:v>
                </c:pt>
                <c:pt idx="26">
                  <c:v>-2.6977634951501329E-3</c:v>
                </c:pt>
                <c:pt idx="27">
                  <c:v>-5.097483805781974E-4</c:v>
                </c:pt>
                <c:pt idx="28">
                  <c:v>1.6088376350650209E-3</c:v>
                </c:pt>
                <c:pt idx="29">
                  <c:v>3.9773286357628604E-3</c:v>
                </c:pt>
                <c:pt idx="30">
                  <c:v>6.1247774562735568E-3</c:v>
                </c:pt>
                <c:pt idx="31">
                  <c:v>8.1275765654844519E-3</c:v>
                </c:pt>
                <c:pt idx="32">
                  <c:v>1.0382928959386261E-2</c:v>
                </c:pt>
                <c:pt idx="33">
                  <c:v>1.2623268753360308E-2</c:v>
                </c:pt>
                <c:pt idx="34">
                  <c:v>1.4936866278536562E-2</c:v>
                </c:pt>
                <c:pt idx="35">
                  <c:v>1.6675427366239226E-2</c:v>
                </c:pt>
                <c:pt idx="36">
                  <c:v>1.8708913363449133E-2</c:v>
                </c:pt>
                <c:pt idx="37">
                  <c:v>1.9292545521564456E-2</c:v>
                </c:pt>
                <c:pt idx="38">
                  <c:v>1.9499708985486662E-2</c:v>
                </c:pt>
                <c:pt idx="39">
                  <c:v>1.9773695068487661E-2</c:v>
                </c:pt>
                <c:pt idx="40">
                  <c:v>1.9088626366994734E-2</c:v>
                </c:pt>
                <c:pt idx="41">
                  <c:v>2.0343770886644474E-2</c:v>
                </c:pt>
                <c:pt idx="42">
                  <c:v>2.0288251826895951E-2</c:v>
                </c:pt>
                <c:pt idx="43">
                  <c:v>1.9736878886391498E-2</c:v>
                </c:pt>
                <c:pt idx="44">
                  <c:v>2.0175318336198653E-2</c:v>
                </c:pt>
                <c:pt idx="45">
                  <c:v>2.0291030366356967E-2</c:v>
                </c:pt>
                <c:pt idx="46">
                  <c:v>2.0571499748892014E-2</c:v>
                </c:pt>
                <c:pt idx="47">
                  <c:v>2.0083370022858239E-2</c:v>
                </c:pt>
                <c:pt idx="48">
                  <c:v>1.9910242748838257E-2</c:v>
                </c:pt>
                <c:pt idx="49">
                  <c:v>1.7996989663193987E-2</c:v>
                </c:pt>
                <c:pt idx="50">
                  <c:v>1.5509700881111532E-2</c:v>
                </c:pt>
                <c:pt idx="51">
                  <c:v>1.3067574811947978E-2</c:v>
                </c:pt>
                <c:pt idx="52">
                  <c:v>1.0104168410390517E-2</c:v>
                </c:pt>
                <c:pt idx="53">
                  <c:v>8.0645558439328101E-3</c:v>
                </c:pt>
                <c:pt idx="54">
                  <c:v>5.463305480422031E-3</c:v>
                </c:pt>
                <c:pt idx="55">
                  <c:v>2.7225028292950175E-3</c:v>
                </c:pt>
                <c:pt idx="56">
                  <c:v>3.03527670452014E-4</c:v>
                </c:pt>
                <c:pt idx="57">
                  <c:v>-2.3008453251673567E-3</c:v>
                </c:pt>
                <c:pt idx="58">
                  <c:v>-4.888959436236095E-3</c:v>
                </c:pt>
                <c:pt idx="59">
                  <c:v>-7.1759897949752061E-3</c:v>
                </c:pt>
                <c:pt idx="60">
                  <c:v>-8.9746638952639454E-3</c:v>
                </c:pt>
                <c:pt idx="61">
                  <c:v>-9.1314812871852846E-3</c:v>
                </c:pt>
                <c:pt idx="62">
                  <c:v>-8.4990963775727069E-3</c:v>
                </c:pt>
                <c:pt idx="63">
                  <c:v>-7.8012769622345197E-3</c:v>
                </c:pt>
                <c:pt idx="64">
                  <c:v>-6.8078176894813235E-3</c:v>
                </c:pt>
                <c:pt idx="65">
                  <c:v>-6.3104466377715916E-3</c:v>
                </c:pt>
                <c:pt idx="66">
                  <c:v>-5.4995690285869455E-3</c:v>
                </c:pt>
                <c:pt idx="67">
                  <c:v>-4.63781288700641E-3</c:v>
                </c:pt>
                <c:pt idx="68">
                  <c:v>-3.9316285497574769E-3</c:v>
                </c:pt>
                <c:pt idx="69">
                  <c:v>-3.1536535248005617E-3</c:v>
                </c:pt>
                <c:pt idx="70">
                  <c:v>-2.4120178079049133E-3</c:v>
                </c:pt>
                <c:pt idx="71">
                  <c:v>-1.6302703398154209E-3</c:v>
                </c:pt>
                <c:pt idx="72">
                  <c:v>-1.1476814600008111E-3</c:v>
                </c:pt>
                <c:pt idx="73">
                  <c:v>-9.7804028476533057E-4</c:v>
                </c:pt>
                <c:pt idx="74">
                  <c:v>-1.0389710472414324E-3</c:v>
                </c:pt>
                <c:pt idx="75">
                  <c:v>-1.1448213407675716E-3</c:v>
                </c:pt>
                <c:pt idx="76">
                  <c:v>-1.1912870282207661E-3</c:v>
                </c:pt>
                <c:pt idx="77">
                  <c:v>-1.3623783783348487E-3</c:v>
                </c:pt>
                <c:pt idx="78">
                  <c:v>-1.4471412584117953E-3</c:v>
                </c:pt>
                <c:pt idx="79">
                  <c:v>-1.4967426900276781E-3</c:v>
                </c:pt>
                <c:pt idx="80">
                  <c:v>-1.6150480051296359E-3</c:v>
                </c:pt>
                <c:pt idx="81">
                  <c:v>-1.7137131663832387E-3</c:v>
                </c:pt>
                <c:pt idx="82">
                  <c:v>-1.825095212321148E-3</c:v>
                </c:pt>
                <c:pt idx="83">
                  <c:v>-1.8776546576476075E-3</c:v>
                </c:pt>
                <c:pt idx="84">
                  <c:v>-2.026738186484538E-3</c:v>
                </c:pt>
                <c:pt idx="85">
                  <c:v>-2.116908800006713E-3</c:v>
                </c:pt>
                <c:pt idx="86">
                  <c:v>-2.2296795170765093E-3</c:v>
                </c:pt>
                <c:pt idx="87">
                  <c:v>-2.3598312221948755E-3</c:v>
                </c:pt>
                <c:pt idx="88">
                  <c:v>-2.3713477693020962E-3</c:v>
                </c:pt>
                <c:pt idx="89">
                  <c:v>-2.627728480618517E-3</c:v>
                </c:pt>
                <c:pt idx="90">
                  <c:v>-2.7163788067752865E-3</c:v>
                </c:pt>
                <c:pt idx="91">
                  <c:v>-2.7388646930487088E-3</c:v>
                </c:pt>
                <c:pt idx="92">
                  <c:v>-2.8918212266513111E-3</c:v>
                </c:pt>
                <c:pt idx="93">
                  <c:v>-3.0052270819254361E-3</c:v>
                </c:pt>
                <c:pt idx="94">
                  <c:v>-3.1417350231603223E-3</c:v>
                </c:pt>
                <c:pt idx="95">
                  <c:v>-3.1434849049432217E-3</c:v>
                </c:pt>
                <c:pt idx="96">
                  <c:v>-3.0875034822607085E-3</c:v>
                </c:pt>
                <c:pt idx="97">
                  <c:v>-2.5871868837839549E-3</c:v>
                </c:pt>
                <c:pt idx="98">
                  <c:v>-1.8822741631600139E-3</c:v>
                </c:pt>
                <c:pt idx="99">
                  <c:v>-1.1659870526786957E-3</c:v>
                </c:pt>
                <c:pt idx="100">
                  <c:v>-4.245655631798063E-4</c:v>
                </c:pt>
                <c:pt idx="101">
                  <c:v>3.0252627482591318E-4</c:v>
                </c:pt>
                <c:pt idx="102">
                  <c:v>1.0218728174511338E-3</c:v>
                </c:pt>
                <c:pt idx="103">
                  <c:v>1.7179255761914235E-3</c:v>
                </c:pt>
                <c:pt idx="104">
                  <c:v>2.4483989614272625E-3</c:v>
                </c:pt>
                <c:pt idx="105">
                  <c:v>3.1901187175817415E-3</c:v>
                </c:pt>
                <c:pt idx="106">
                  <c:v>3.9479811755177329E-3</c:v>
                </c:pt>
                <c:pt idx="107">
                  <c:v>4.4423270945374467E-3</c:v>
                </c:pt>
                <c:pt idx="108">
                  <c:v>4.2970206438830887E-3</c:v>
                </c:pt>
                <c:pt idx="109">
                  <c:v>2.6249360563139683E-3</c:v>
                </c:pt>
                <c:pt idx="110">
                  <c:v>6.8007548882232865E-5</c:v>
                </c:pt>
                <c:pt idx="111">
                  <c:v>-2.6002549887428911E-3</c:v>
                </c:pt>
                <c:pt idx="112">
                  <c:v>-5.0997991562560649E-3</c:v>
                </c:pt>
                <c:pt idx="113">
                  <c:v>-8.0341606189628361E-3</c:v>
                </c:pt>
                <c:pt idx="114">
                  <c:v>-1.0608155256794901E-2</c:v>
                </c:pt>
                <c:pt idx="115">
                  <c:v>-1.3117380455848078E-2</c:v>
                </c:pt>
                <c:pt idx="116">
                  <c:v>-1.581473399605041E-2</c:v>
                </c:pt>
                <c:pt idx="117">
                  <c:v>-1.8520034086928743E-2</c:v>
                </c:pt>
                <c:pt idx="118">
                  <c:v>-2.1340660169373166E-2</c:v>
                </c:pt>
                <c:pt idx="119">
                  <c:v>-2.3304013685251763E-2</c:v>
                </c:pt>
                <c:pt idx="120">
                  <c:v>-2.5414367140584319E-2</c:v>
                </c:pt>
                <c:pt idx="121">
                  <c:v>-2.5090393269776811E-2</c:v>
                </c:pt>
                <c:pt idx="122">
                  <c:v>-2.3936468811646239E-2</c:v>
                </c:pt>
                <c:pt idx="123">
                  <c:v>-2.2823056371940802E-2</c:v>
                </c:pt>
                <c:pt idx="124">
                  <c:v>-2.0664010899576701E-2</c:v>
                </c:pt>
                <c:pt idx="125">
                  <c:v>-2.0549050875911298E-2</c:v>
                </c:pt>
                <c:pt idx="126">
                  <c:v>-1.9087274772948158E-2</c:v>
                </c:pt>
                <c:pt idx="127">
                  <c:v>-1.7155713933837708E-2</c:v>
                </c:pt>
                <c:pt idx="128">
                  <c:v>-1.6185500178608429E-2</c:v>
                </c:pt>
                <c:pt idx="129">
                  <c:v>-1.4857983091080034E-2</c:v>
                </c:pt>
                <c:pt idx="130">
                  <c:v>-1.3670156627651975E-2</c:v>
                </c:pt>
                <c:pt idx="131">
                  <c:v>-1.2048266040779122E-2</c:v>
                </c:pt>
                <c:pt idx="132">
                  <c:v>-1.1022150257430863E-2</c:v>
                </c:pt>
                <c:pt idx="133">
                  <c:v>-9.6335742111313249E-3</c:v>
                </c:pt>
                <c:pt idx="134">
                  <c:v>-8.306058851477437E-3</c:v>
                </c:pt>
                <c:pt idx="135">
                  <c:v>-7.0645277634111677E-3</c:v>
                </c:pt>
                <c:pt idx="136">
                  <c:v>-5.537809052986422E-3</c:v>
                </c:pt>
                <c:pt idx="137">
                  <c:v>-4.5212602156942871E-3</c:v>
                </c:pt>
                <c:pt idx="138">
                  <c:v>-3.1919450092054123E-3</c:v>
                </c:pt>
                <c:pt idx="139">
                  <c:v>-1.7815400509984499E-3</c:v>
                </c:pt>
                <c:pt idx="140">
                  <c:v>-5.5508870064348618E-4</c:v>
                </c:pt>
                <c:pt idx="141">
                  <c:v>7.7242598630794263E-4</c:v>
                </c:pt>
                <c:pt idx="142">
                  <c:v>2.0883680621196377E-3</c:v>
                </c:pt>
                <c:pt idx="143">
                  <c:v>3.2720065830338214E-3</c:v>
                </c:pt>
                <c:pt idx="144">
                  <c:v>4.2405218803173786E-3</c:v>
                </c:pt>
                <c:pt idx="145">
                  <c:v>4.4685726248324441E-3</c:v>
                </c:pt>
                <c:pt idx="146">
                  <c:v>4.3492121780665033E-3</c:v>
                </c:pt>
                <c:pt idx="147">
                  <c:v>4.2029088526914123E-3</c:v>
                </c:pt>
                <c:pt idx="148">
                  <c:v>3.8615284504335862E-3</c:v>
                </c:pt>
                <c:pt idx="149">
                  <c:v>3.9045956414427599E-3</c:v>
                </c:pt>
                <c:pt idx="150">
                  <c:v>3.6928292020776683E-3</c:v>
                </c:pt>
                <c:pt idx="151">
                  <c:v>3.3903347236304642E-3</c:v>
                </c:pt>
                <c:pt idx="152">
                  <c:v>3.272313376880468E-3</c:v>
                </c:pt>
                <c:pt idx="153">
                  <c:v>3.0878754232978971E-3</c:v>
                </c:pt>
                <c:pt idx="154">
                  <c:v>2.9312327111321807E-3</c:v>
                </c:pt>
                <c:pt idx="155">
                  <c:v>2.6809898472181077E-3</c:v>
                </c:pt>
                <c:pt idx="156">
                  <c:v>2.5633238085643589E-3</c:v>
                </c:pt>
                <c:pt idx="157">
                  <c:v>2.3620111312578989E-3</c:v>
                </c:pt>
                <c:pt idx="158">
                  <c:v>2.1775675981971559E-3</c:v>
                </c:pt>
                <c:pt idx="159">
                  <c:v>2.0134623356103669E-3</c:v>
                </c:pt>
                <c:pt idx="160">
                  <c:v>1.7726708492934486E-3</c:v>
                </c:pt>
                <c:pt idx="161">
                  <c:v>1.6613993309464771E-3</c:v>
                </c:pt>
                <c:pt idx="162">
                  <c:v>1.4678001659930505E-3</c:v>
                </c:pt>
                <c:pt idx="163">
                  <c:v>1.2608100251378883E-3</c:v>
                </c:pt>
                <c:pt idx="164">
                  <c:v>1.0947228191403677E-3</c:v>
                </c:pt>
                <c:pt idx="165">
                  <c:v>9.1028086748061302E-4</c:v>
                </c:pt>
                <c:pt idx="166">
                  <c:v>7.3578817148802573E-4</c:v>
                </c:pt>
                <c:pt idx="167">
                  <c:v>5.3852009477712908E-4</c:v>
                </c:pt>
                <c:pt idx="168">
                  <c:v>3.6788231456351135E-4</c:v>
                </c:pt>
                <c:pt idx="169">
                  <c:v>1.8441651225825664E-4</c:v>
                </c:pt>
                <c:pt idx="170">
                  <c:v>-2.4646236508391246E-8</c:v>
                </c:pt>
                <c:pt idx="171">
                  <c:v>-1.8197795877487833E-4</c:v>
                </c:pt>
                <c:pt idx="172">
                  <c:v>-3.474098662687647E-4</c:v>
                </c:pt>
                <c:pt idx="173">
                  <c:v>-5.5521251262874178E-4</c:v>
                </c:pt>
                <c:pt idx="174">
                  <c:v>-7.3012327481077478E-4</c:v>
                </c:pt>
                <c:pt idx="175">
                  <c:v>-8.8760452871369669E-4</c:v>
                </c:pt>
                <c:pt idx="176">
                  <c:v>-1.0769229009356433E-3</c:v>
                </c:pt>
                <c:pt idx="177">
                  <c:v>-1.2613616771107122E-3</c:v>
                </c:pt>
                <c:pt idx="178">
                  <c:v>-1.4536555019710395E-3</c:v>
                </c:pt>
                <c:pt idx="179">
                  <c:v>-1.5897329814948066E-3</c:v>
                </c:pt>
                <c:pt idx="180">
                  <c:v>-1.7500961149928441E-3</c:v>
                </c:pt>
                <c:pt idx="181">
                  <c:v>-1.7669656130605846E-3</c:v>
                </c:pt>
                <c:pt idx="182">
                  <c:v>-1.7428740990564069E-3</c:v>
                </c:pt>
                <c:pt idx="183">
                  <c:v>-1.7241425169873977E-3</c:v>
                </c:pt>
                <c:pt idx="184">
                  <c:v>-1.623614999364381E-3</c:v>
                </c:pt>
                <c:pt idx="185">
                  <c:v>-1.6864359324373663E-3</c:v>
                </c:pt>
                <c:pt idx="186">
                  <c:v>-1.6399249978695316E-3</c:v>
                </c:pt>
                <c:pt idx="187">
                  <c:v>-1.5532354467263098E-3</c:v>
                </c:pt>
                <c:pt idx="188">
                  <c:v>-1.54745251573311E-3</c:v>
                </c:pt>
                <c:pt idx="189">
                  <c:v>-1.5139816566517648E-3</c:v>
                </c:pt>
                <c:pt idx="190">
                  <c:v>-1.4933725690489783E-3</c:v>
                </c:pt>
                <c:pt idx="191">
                  <c:v>-1.4247674678995919E-3</c:v>
                </c:pt>
                <c:pt idx="192">
                  <c:v>-1.4266114182010401E-3</c:v>
                </c:pt>
                <c:pt idx="193">
                  <c:v>-1.3822590172767049E-3</c:v>
                </c:pt>
                <c:pt idx="194">
                  <c:v>-1.3487889539706827E-3</c:v>
                </c:pt>
                <c:pt idx="195">
                  <c:v>-1.3268280044652298E-3</c:v>
                </c:pt>
                <c:pt idx="196">
                  <c:v>-1.2422438838840934E-3</c:v>
                </c:pt>
                <c:pt idx="197">
                  <c:v>-1.2823339793661614E-3</c:v>
                </c:pt>
                <c:pt idx="198">
                  <c:v>-1.2391606438821986E-3</c:v>
                </c:pt>
                <c:pt idx="199">
                  <c:v>-1.165612148585086E-3</c:v>
                </c:pt>
                <c:pt idx="200">
                  <c:v>-1.1533689718744768E-3</c:v>
                </c:pt>
                <c:pt idx="201">
                  <c:v>-1.1198973183477667E-3</c:v>
                </c:pt>
                <c:pt idx="202">
                  <c:v>-1.09605911714808E-3</c:v>
                </c:pt>
                <c:pt idx="203">
                  <c:v>-1.0370385464472138E-3</c:v>
                </c:pt>
                <c:pt idx="204">
                  <c:v>-1.0292944778839603E-3</c:v>
                </c:pt>
                <c:pt idx="205">
                  <c:v>-9.8817626762120743E-4</c:v>
                </c:pt>
                <c:pt idx="206">
                  <c:v>-9.5470858809787961E-4</c:v>
                </c:pt>
                <c:pt idx="207">
                  <c:v>-9.2951333017456865E-4</c:v>
                </c:pt>
                <c:pt idx="208">
                  <c:v>-8.6769121888701558E-4</c:v>
                </c:pt>
                <c:pt idx="209">
                  <c:v>-8.7036342967145052E-4</c:v>
                </c:pt>
                <c:pt idx="210">
                  <c:v>-8.3057106914096064E-4</c:v>
                </c:pt>
                <c:pt idx="211">
                  <c:v>-7.8375872105769572E-4</c:v>
                </c:pt>
                <c:pt idx="212">
                  <c:v>-7.5820422018239235E-4</c:v>
                </c:pt>
                <c:pt idx="213">
                  <c:v>-7.2473415339404572E-4</c:v>
                </c:pt>
                <c:pt idx="214">
                  <c:v>-6.9765643573589729E-4</c:v>
                </c:pt>
                <c:pt idx="215">
                  <c:v>-6.4824740952301653E-4</c:v>
                </c:pt>
                <c:pt idx="216">
                  <c:v>-6.3089319919062677E-4</c:v>
                </c:pt>
                <c:pt idx="217">
                  <c:v>-5.9301308738267259E-4</c:v>
                </c:pt>
                <c:pt idx="218">
                  <c:v>-5.5954222341458772E-4</c:v>
                </c:pt>
                <c:pt idx="219">
                  <c:v>-5.3111164068285152E-4</c:v>
                </c:pt>
                <c:pt idx="220">
                  <c:v>-4.7845401976405851E-4</c:v>
                </c:pt>
                <c:pt idx="221">
                  <c:v>-4.7301769212795722E-4</c:v>
                </c:pt>
                <c:pt idx="222">
                  <c:v>-4.3653649991258557E-4</c:v>
                </c:pt>
                <c:pt idx="223">
                  <c:v>-3.8930494366119339E-4</c:v>
                </c:pt>
                <c:pt idx="224">
                  <c:v>-3.6412219804481653E-4</c:v>
                </c:pt>
                <c:pt idx="225">
                  <c:v>-3.3064894553865389E-4</c:v>
                </c:pt>
                <c:pt idx="226">
                  <c:v>-3.0033963292804233E-4</c:v>
                </c:pt>
                <c:pt idx="227">
                  <c:v>-2.6051918533622804E-4</c:v>
                </c:pt>
                <c:pt idx="228">
                  <c:v>-2.3358023098991244E-4</c:v>
                </c:pt>
                <c:pt idx="229">
                  <c:v>-1.9892944557237132E-4</c:v>
                </c:pt>
                <c:pt idx="230">
                  <c:v>-1.6545937022038022E-4</c:v>
                </c:pt>
                <c:pt idx="231">
                  <c:v>-1.3379674291126136E-4</c:v>
                </c:pt>
                <c:pt idx="232">
                  <c:v>-9.7080171817921706E-5</c:v>
                </c:pt>
                <c:pt idx="233">
                  <c:v>-6.8915671042712323E-5</c:v>
                </c:pt>
                <c:pt idx="234">
                  <c:v>-3.5774774282708038E-5</c:v>
                </c:pt>
                <c:pt idx="235">
                  <c:v>-1.6793558359914383E-6</c:v>
                </c:pt>
                <c:pt idx="236">
                  <c:v>2.9962284175775721E-5</c:v>
                </c:pt>
                <c:pt idx="237">
                  <c:v>6.3432363597171047E-5</c:v>
                </c:pt>
                <c:pt idx="238">
                  <c:v>9.6974260138100592E-5</c:v>
                </c:pt>
                <c:pt idx="239">
                  <c:v>1.2657477398832524E-4</c:v>
                </c:pt>
                <c:pt idx="240">
                  <c:v>1.5829803951884343E-4</c:v>
                </c:pt>
                <c:pt idx="241">
                  <c:v>1.7839498874445866E-4</c:v>
                </c:pt>
                <c:pt idx="242">
                  <c:v>1.9600015289345752E-4</c:v>
                </c:pt>
                <c:pt idx="243">
                  <c:v>2.1427040523554531E-4</c:v>
                </c:pt>
                <c:pt idx="244">
                  <c:v>2.2149189924150676E-4</c:v>
                </c:pt>
                <c:pt idx="245">
                  <c:v>2.5182642954086899E-4</c:v>
                </c:pt>
                <c:pt idx="246">
                  <c:v>2.6618245394655359E-4</c:v>
                </c:pt>
                <c:pt idx="247">
                  <c:v>2.7407023383975047E-4</c:v>
                </c:pt>
                <c:pt idx="248">
                  <c:v>2.9462087825904529E-4</c:v>
                </c:pt>
                <c:pt idx="249">
                  <c:v>3.1151134395254087E-4</c:v>
                </c:pt>
                <c:pt idx="250">
                  <c:v>3.3072798849608978E-4</c:v>
                </c:pt>
                <c:pt idx="251">
                  <c:v>3.3918725761407365E-4</c:v>
                </c:pt>
                <c:pt idx="252">
                  <c:v>3.644190354390092E-4</c:v>
                </c:pt>
                <c:pt idx="253">
                  <c:v>3.7798327099790161E-4</c:v>
                </c:pt>
                <c:pt idx="254">
                  <c:v>3.948745329693017E-4</c:v>
                </c:pt>
                <c:pt idx="255">
                  <c:v>4.1477523360114151E-4</c:v>
                </c:pt>
                <c:pt idx="256">
                  <c:v>4.1757673360986981E-4</c:v>
                </c:pt>
                <c:pt idx="257">
                  <c:v>4.5204772816982594E-4</c:v>
                </c:pt>
                <c:pt idx="258">
                  <c:v>4.6482448399632009E-4</c:v>
                </c:pt>
                <c:pt idx="259">
                  <c:v>4.7395803345477505E-4</c:v>
                </c:pt>
                <c:pt idx="260">
                  <c:v>4.9404064291436807E-4</c:v>
                </c:pt>
                <c:pt idx="261">
                  <c:v>5.1093111148665037E-4</c:v>
                </c:pt>
                <c:pt idx="262">
                  <c:v>5.3177879398962156E-4</c:v>
                </c:pt>
                <c:pt idx="263">
                  <c:v>5.3538745401717478E-4</c:v>
                </c:pt>
                <c:pt idx="264">
                  <c:v>5.6547282120598908E-4</c:v>
                </c:pt>
                <c:pt idx="265">
                  <c:v>5.7740463928433424E-4</c:v>
                </c:pt>
                <c:pt idx="266">
                  <c:v>5.9429431382958015E-4</c:v>
                </c:pt>
                <c:pt idx="267">
                  <c:v>6.1582593680439563E-4</c:v>
                </c:pt>
                <c:pt idx="268">
                  <c:v>6.0693492502539466E-4</c:v>
                </c:pt>
                <c:pt idx="269">
                  <c:v>6.6024512736875178E-4</c:v>
                </c:pt>
                <c:pt idx="270">
                  <c:v>6.7122497092172474E-4</c:v>
                </c:pt>
                <c:pt idx="271">
                  <c:v>6.658320670397417E-4</c:v>
                </c:pt>
                <c:pt idx="272">
                  <c:v>6.9291427556988482E-4</c:v>
                </c:pt>
                <c:pt idx="273">
                  <c:v>7.0980395118097552E-4</c:v>
                </c:pt>
                <c:pt idx="274">
                  <c:v>7.3228441485556758E-4</c:v>
                </c:pt>
                <c:pt idx="275">
                  <c:v>7.3105658179349815E-4</c:v>
                </c:pt>
                <c:pt idx="276">
                  <c:v>7.6597554778842672E-4</c:v>
                </c:pt>
                <c:pt idx="277">
                  <c:v>7.7627589609442424E-4</c:v>
                </c:pt>
                <c:pt idx="278">
                  <c:v>7.9316716220927857E-4</c:v>
                </c:pt>
                <c:pt idx="279">
                  <c:v>8.1632925790960749E-4</c:v>
                </c:pt>
                <c:pt idx="280">
                  <c:v>7.993937712481937E-4</c:v>
                </c:pt>
                <c:pt idx="281">
                  <c:v>8.6417773093208964E-4</c:v>
                </c:pt>
                <c:pt idx="282">
                  <c:v>8.7347039198404331E-4</c:v>
                </c:pt>
                <c:pt idx="283">
                  <c:v>8.6144471310790937E-4</c:v>
                </c:pt>
                <c:pt idx="284">
                  <c:v>8.9178792605572343E-4</c:v>
                </c:pt>
                <c:pt idx="285">
                  <c:v>9.0867760250167235E-4</c:v>
                </c:pt>
                <c:pt idx="286">
                  <c:v>9.3278738422002724E-4</c:v>
                </c:pt>
                <c:pt idx="287">
                  <c:v>9.2672181270836169E-4</c:v>
                </c:pt>
                <c:pt idx="288">
                  <c:v>9.6648015953608218E-4</c:v>
                </c:pt>
                <c:pt idx="289">
                  <c:v>9.751487545953478E-4</c:v>
                </c:pt>
                <c:pt idx="290">
                  <c:v>9.9204081594975635E-4</c:v>
                </c:pt>
                <c:pt idx="291">
                  <c:v>1.0168354219148206E-3</c:v>
                </c:pt>
                <c:pt idx="292">
                  <c:v>9.9185086174067476E-4</c:v>
                </c:pt>
                <c:pt idx="293">
                  <c:v>1.068105502555745E-3</c:v>
                </c:pt>
                <c:pt idx="294">
                  <c:v>1.0757160270477061E-3</c:v>
                </c:pt>
                <c:pt idx="295">
                  <c:v>1.0570592086006738E-3</c:v>
                </c:pt>
                <c:pt idx="296">
                  <c:v>1.0906607836101063E-3</c:v>
                </c:pt>
                <c:pt idx="297">
                  <c:v>1.1075512543764069E-3</c:v>
                </c:pt>
                <c:pt idx="298">
                  <c:v>1.1332916348543132E-3</c:v>
                </c:pt>
                <c:pt idx="299">
                  <c:v>1.1209853879495214E-3</c:v>
                </c:pt>
                <c:pt idx="300">
                  <c:v>1.1550037046542693E-3</c:v>
                </c:pt>
                <c:pt idx="301">
                  <c:v>1.1370948827798093E-3</c:v>
                </c:pt>
                <c:pt idx="302">
                  <c:v>1.1190238557173961E-3</c:v>
                </c:pt>
                <c:pt idx="303">
                  <c:v>1.1088201886191873E-3</c:v>
                </c:pt>
                <c:pt idx="304">
                  <c:v>1.0544414194202495E-3</c:v>
                </c:pt>
                <c:pt idx="305">
                  <c:v>1.0788377412824788E-3</c:v>
                </c:pt>
                <c:pt idx="306">
                  <c:v>1.0508258038842812E-3</c:v>
                </c:pt>
                <c:pt idx="307">
                  <c:v>1.0141181590786722E-3</c:v>
                </c:pt>
                <c:pt idx="308">
                  <c:v>1.0037018984687899E-3</c:v>
                </c:pt>
                <c:pt idx="309">
                  <c:v>9.8405757387986701E-4</c:v>
                </c:pt>
                <c:pt idx="310">
                  <c:v>9.727450021026643E-4</c:v>
                </c:pt>
                <c:pt idx="311">
                  <c:v>9.301572355528997E-4</c:v>
                </c:pt>
                <c:pt idx="312">
                  <c:v>9.3356406057063716E-4</c:v>
                </c:pt>
                <c:pt idx="313">
                  <c:v>9.0675226478098071E-4</c:v>
                </c:pt>
                <c:pt idx="314">
                  <c:v>8.8710873391603423E-4</c:v>
                </c:pt>
                <c:pt idx="315">
                  <c:v>8.7500335863199309E-4</c:v>
                </c:pt>
                <c:pt idx="316">
                  <c:v>8.2149807261183195E-4</c:v>
                </c:pt>
                <c:pt idx="317">
                  <c:v>8.5053478398516217E-4</c:v>
                </c:pt>
                <c:pt idx="318">
                  <c:v>8.2438742113847023E-4</c:v>
                </c:pt>
                <c:pt idx="319">
                  <c:v>7.7803675304753597E-4</c:v>
                </c:pt>
                <c:pt idx="320">
                  <c:v>7.7241957467984689E-4</c:v>
                </c:pt>
                <c:pt idx="321">
                  <c:v>7.5277842753330136E-4</c:v>
                </c:pt>
                <c:pt idx="322">
                  <c:v>7.3956585384636945E-4</c:v>
                </c:pt>
                <c:pt idx="323">
                  <c:v>7.0260448266113622E-4</c:v>
                </c:pt>
                <c:pt idx="324">
                  <c:v>7.003872160049725E-4</c:v>
                </c:pt>
                <c:pt idx="325">
                  <c:v>6.7546913484871167E-4</c:v>
                </c:pt>
                <c:pt idx="326">
                  <c:v>6.5582719212237226E-4</c:v>
                </c:pt>
                <c:pt idx="327">
                  <c:v>6.4182590588492605E-4</c:v>
                </c:pt>
                <c:pt idx="328">
                  <c:v>5.9767448400408158E-4</c:v>
                </c:pt>
                <c:pt idx="329">
                  <c:v>6.133728330766896E-4</c:v>
                </c:pt>
                <c:pt idx="330">
                  <c:v>5.8918673069444983E-4</c:v>
                </c:pt>
                <c:pt idx="331">
                  <c:v>5.5054784238677175E-4</c:v>
                </c:pt>
                <c:pt idx="332">
                  <c:v>5.4113722953528782E-4</c:v>
                </c:pt>
                <c:pt idx="333">
                  <c:v>5.2149290137137112E-4</c:v>
                </c:pt>
                <c:pt idx="334">
                  <c:v>5.0638917457761798E-4</c:v>
                </c:pt>
                <c:pt idx="335">
                  <c:v>4.7505484170748684E-4</c:v>
                </c:pt>
                <c:pt idx="336">
                  <c:v>4.6720786809040943E-4</c:v>
                </c:pt>
                <c:pt idx="337">
                  <c:v>4.4418758057608067E-4</c:v>
                </c:pt>
                <c:pt idx="338">
                  <c:v>4.2454563730567191E-4</c:v>
                </c:pt>
                <c:pt idx="339">
                  <c:v>4.0864697947842966E-4</c:v>
                </c:pt>
                <c:pt idx="340">
                  <c:v>3.7385301953342268E-4</c:v>
                </c:pt>
                <c:pt idx="341">
                  <c:v>3.7620961152066897E-4</c:v>
                </c:pt>
                <c:pt idx="342">
                  <c:v>3.5398461082288772E-4</c:v>
                </c:pt>
                <c:pt idx="343">
                  <c:v>3.2306001608843285E-4</c:v>
                </c:pt>
                <c:pt idx="344">
                  <c:v>3.0985487822951936E-4</c:v>
                </c:pt>
                <c:pt idx="345">
                  <c:v>2.902097550696401E-4</c:v>
                </c:pt>
                <c:pt idx="346">
                  <c:v>2.7321183718445613E-4</c:v>
                </c:pt>
                <c:pt idx="347">
                  <c:v>2.4750128677005542E-4</c:v>
                </c:pt>
                <c:pt idx="348">
                  <c:v>2.3402917185080344E-4</c:v>
                </c:pt>
                <c:pt idx="349">
                  <c:v>2.1290602490726214E-4</c:v>
                </c:pt>
                <c:pt idx="350">
                  <c:v>1.9326487693840794E-4</c:v>
                </c:pt>
                <c:pt idx="351">
                  <c:v>1.7546977156078064E-4</c:v>
                </c:pt>
                <c:pt idx="352">
                  <c:v>1.5107320255542615E-4</c:v>
                </c:pt>
                <c:pt idx="353">
                  <c:v>1.3764627856541252E-4</c:v>
                </c:pt>
                <c:pt idx="354">
                  <c:v>1.1735260584144834E-4</c:v>
                </c:pt>
                <c:pt idx="355">
                  <c:v>9.5943357965969623E-5</c:v>
                </c:pt>
                <c:pt idx="356">
                  <c:v>7.7937329545968106E-5</c:v>
                </c:pt>
                <c:pt idx="357">
                  <c:v>5.8296181962195602E-5</c:v>
                </c:pt>
                <c:pt idx="358">
                  <c:v>3.8971737324411511E-5</c:v>
                </c:pt>
                <c:pt idx="359">
                  <c:v>1.8440644222841803E-5</c:v>
                </c:pt>
                <c:pt idx="360">
                  <c:v>8.98688025233541E-6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75-4865-8D1B-CC8EABD8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19744"/>
        <c:axId val="183921664"/>
      </c:scatterChart>
      <c:valAx>
        <c:axId val="183919744"/>
        <c:scaling>
          <c:orientation val="minMax"/>
          <c:max val="30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 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3921664"/>
        <c:crosses val="autoZero"/>
        <c:crossBetween val="midCat"/>
      </c:valAx>
      <c:valAx>
        <c:axId val="183921664"/>
        <c:scaling>
          <c:orientation val="minMax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8391974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'YieldCurve (2)'!$E$6</c:f>
              <c:strCache>
                <c:ptCount val="1"/>
                <c:pt idx="0">
                  <c:v>InputRate</c:v>
                </c:pt>
              </c:strCache>
            </c:strRef>
          </c:tx>
          <c:spPr>
            <a:ln>
              <a:noFill/>
            </a:ln>
          </c:spPr>
          <c:xVal>
            <c:numRef>
              <c:f>'YieldCurve (2)'!$D$7:$D$22</c:f>
              <c:numCache>
                <c:formatCode>0.00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5.0027397260273974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9.0054794520547947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25.016438356164382</c:v>
                </c:pt>
                <c:pt idx="15">
                  <c:v>30.021917808219179</c:v>
                </c:pt>
              </c:numCache>
            </c:numRef>
          </c:xVal>
          <c:yVal>
            <c:numRef>
              <c:f>'YieldCurve (2)'!$E$7:$E$22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3.3550207724486067E-2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4.5013696545744039E-2</c:v>
                </c:pt>
                <c:pt idx="10">
                  <c:v>4.7453654391084496E-2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FF-4DF4-A5F3-0640229FCFC3}"/>
            </c:ext>
          </c:extLst>
        </c:ser>
        <c:ser>
          <c:idx val="2"/>
          <c:order val="1"/>
          <c:tx>
            <c:strRef>
              <c:f>'YieldCurve (2)'!$F$6</c:f>
              <c:strCache>
                <c:ptCount val="1"/>
                <c:pt idx="0">
                  <c:v>InputRate</c:v>
                </c:pt>
              </c:strCache>
            </c:strRef>
          </c:tx>
          <c:spPr>
            <a:ln w="28575">
              <a:noFill/>
            </a:ln>
          </c:spPr>
          <c:xVal>
            <c:numRef>
              <c:f>'YieldCurve (2)'!$D$7:$D$22</c:f>
              <c:numCache>
                <c:formatCode>0.00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5.0027397260273974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9.0054794520547947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25.016438356164382</c:v>
                </c:pt>
                <c:pt idx="15">
                  <c:v>30.021917808219179</c:v>
                </c:pt>
              </c:numCache>
            </c:numRef>
          </c:xVal>
          <c:yVal>
            <c:numRef>
              <c:f>'YieldCurve (2)'!$F$7:$F$22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3.3550207724486067E-2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4.5013696545744039E-2</c:v>
                </c:pt>
                <c:pt idx="10">
                  <c:v>5.7453654391084498E-2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FF-4DF4-A5F3-0640229FCFC3}"/>
            </c:ext>
          </c:extLst>
        </c:ser>
        <c:ser>
          <c:idx val="1"/>
          <c:order val="2"/>
          <c:tx>
            <c:strRef>
              <c:f>'YieldCurve (2)'!$D$25</c:f>
              <c:strCache>
                <c:ptCount val="1"/>
                <c:pt idx="0">
                  <c:v>f(0,T)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(2)'!$D$26:$D$386</c:f>
              <c:numCache>
                <c:formatCode>0.00%</c:formatCode>
                <c:ptCount val="361"/>
                <c:pt idx="0">
                  <c:v>2.6999992293883401E-2</c:v>
                </c:pt>
                <c:pt idx="1">
                  <c:v>2.6987416747252625E-2</c:v>
                </c:pt>
                <c:pt idx="2">
                  <c:v>2.6974959514534172E-2</c:v>
                </c:pt>
                <c:pt idx="3">
                  <c:v>2.6963959854152005E-2</c:v>
                </c:pt>
                <c:pt idx="4">
                  <c:v>2.6954235912069673E-2</c:v>
                </c:pt>
                <c:pt idx="5">
                  <c:v>2.6946741762537574E-2</c:v>
                </c:pt>
                <c:pt idx="6">
                  <c:v>2.694236068995803E-2</c:v>
                </c:pt>
                <c:pt idx="7">
                  <c:v>2.6940675669045237E-2</c:v>
                </c:pt>
                <c:pt idx="8">
                  <c:v>2.6942728454784976E-2</c:v>
                </c:pt>
                <c:pt idx="9">
                  <c:v>2.6949207348068185E-2</c:v>
                </c:pt>
                <c:pt idx="10">
                  <c:v>2.6960222222921892E-2</c:v>
                </c:pt>
                <c:pt idx="11">
                  <c:v>2.6977058856233596E-2</c:v>
                </c:pt>
                <c:pt idx="12">
                  <c:v>2.7000000001030824E-2</c:v>
                </c:pt>
                <c:pt idx="13">
                  <c:v>2.7028310562830258E-2</c:v>
                </c:pt>
                <c:pt idx="14">
                  <c:v>2.7063166366727801E-2</c:v>
                </c:pt>
                <c:pt idx="15">
                  <c:v>2.7101387731428145E-2</c:v>
                </c:pt>
                <c:pt idx="16">
                  <c:v>2.7144550234503156E-2</c:v>
                </c:pt>
                <c:pt idx="17">
                  <c:v>2.7190451490275082E-2</c:v>
                </c:pt>
                <c:pt idx="18">
                  <c:v>2.7234985654233851E-2</c:v>
                </c:pt>
                <c:pt idx="19">
                  <c:v>2.7283349191024181E-2</c:v>
                </c:pt>
                <c:pt idx="20">
                  <c:v>2.7329977757936053E-2</c:v>
                </c:pt>
                <c:pt idx="21">
                  <c:v>2.7377007407143234E-2</c:v>
                </c:pt>
                <c:pt idx="22">
                  <c:v>2.7420473054594243E-2</c:v>
                </c:pt>
                <c:pt idx="23">
                  <c:v>2.7462299897268571E-2</c:v>
                </c:pt>
                <c:pt idx="24">
                  <c:v>2.7500000001064555E-2</c:v>
                </c:pt>
                <c:pt idx="25">
                  <c:v>2.7532008659753627E-2</c:v>
                </c:pt>
                <c:pt idx="26">
                  <c:v>2.7561596790128273E-2</c:v>
                </c:pt>
                <c:pt idx="27">
                  <c:v>2.7588361073722725E-2</c:v>
                </c:pt>
                <c:pt idx="28">
                  <c:v>2.7615658673607112E-2</c:v>
                </c:pt>
                <c:pt idx="29">
                  <c:v>2.7644190220725291E-2</c:v>
                </c:pt>
                <c:pt idx="30">
                  <c:v>2.767236547153407E-2</c:v>
                </c:pt>
                <c:pt idx="31">
                  <c:v>2.7707710211831577E-2</c:v>
                </c:pt>
                <c:pt idx="32">
                  <c:v>2.7747540282767418E-2</c:v>
                </c:pt>
                <c:pt idx="33">
                  <c:v>2.779608390141422E-2</c:v>
                </c:pt>
                <c:pt idx="34">
                  <c:v>2.7851714815267704E-2</c:v>
                </c:pt>
                <c:pt idx="35">
                  <c:v>2.7919714624610115E-2</c:v>
                </c:pt>
                <c:pt idx="36">
                  <c:v>2.800000000052312E-2</c:v>
                </c:pt>
                <c:pt idx="37">
                  <c:v>2.8090683659908931E-2</c:v>
                </c:pt>
                <c:pt idx="38">
                  <c:v>2.819814784587597E-2</c:v>
                </c:pt>
                <c:pt idx="39">
                  <c:v>2.8315537147739735E-2</c:v>
                </c:pt>
                <c:pt idx="40">
                  <c:v>2.845075875531964E-2</c:v>
                </c:pt>
                <c:pt idx="41">
                  <c:v>2.8600210453010564E-2</c:v>
                </c:pt>
                <c:pt idx="42">
                  <c:v>2.8747499571239361E-2</c:v>
                </c:pt>
                <c:pt idx="43">
                  <c:v>2.8924264932349713E-2</c:v>
                </c:pt>
                <c:pt idx="44">
                  <c:v>2.9109106992782841E-2</c:v>
                </c:pt>
                <c:pt idx="45">
                  <c:v>2.9314429793501694E-2</c:v>
                </c:pt>
                <c:pt idx="46">
                  <c:v>2.9527064468391997E-2</c:v>
                </c:pt>
                <c:pt idx="47">
                  <c:v>2.976126789465609E-2</c:v>
                </c:pt>
                <c:pt idx="48">
                  <c:v>3.0010272213721725E-2</c:v>
                </c:pt>
                <c:pt idx="49">
                  <c:v>3.0265118797781924E-2</c:v>
                </c:pt>
                <c:pt idx="50">
                  <c:v>3.0541295978566425E-2</c:v>
                </c:pt>
                <c:pt idx="51">
                  <c:v>3.0819235640886549E-2</c:v>
                </c:pt>
                <c:pt idx="52">
                  <c:v>3.1115638637746735E-2</c:v>
                </c:pt>
                <c:pt idx="53">
                  <c:v>3.1419532683376439E-2</c:v>
                </c:pt>
                <c:pt idx="54">
                  <c:v>3.1698893717556166E-2</c:v>
                </c:pt>
                <c:pt idx="55">
                  <c:v>3.2011854754671318E-2</c:v>
                </c:pt>
                <c:pt idx="56">
                  <c:v>3.2316678974861554E-2</c:v>
                </c:pt>
                <c:pt idx="57">
                  <c:v>3.2631859543270691E-2</c:v>
                </c:pt>
                <c:pt idx="58">
                  <c:v>3.2935311990817159E-2</c:v>
                </c:pt>
                <c:pt idx="59">
                  <c:v>3.3245438026405665E-2</c:v>
                </c:pt>
                <c:pt idx="60">
                  <c:v>3.3550207721650509E-2</c:v>
                </c:pt>
                <c:pt idx="61">
                  <c:v>3.3838645262849257E-2</c:v>
                </c:pt>
                <c:pt idx="62">
                  <c:v>3.4130119369682292E-2</c:v>
                </c:pt>
                <c:pt idx="63">
                  <c:v>3.4406348095562603E-2</c:v>
                </c:pt>
                <c:pt idx="64">
                  <c:v>3.4686292877259245E-2</c:v>
                </c:pt>
                <c:pt idx="65">
                  <c:v>3.4961211216105806E-2</c:v>
                </c:pt>
                <c:pt idx="66">
                  <c:v>3.5214339529976872E-2</c:v>
                </c:pt>
                <c:pt idx="67">
                  <c:v>3.5481123465587586E-2</c:v>
                </c:pt>
                <c:pt idx="68">
                  <c:v>3.5736078367524744E-2</c:v>
                </c:pt>
                <c:pt idx="69">
                  <c:v>3.5996747418193392E-2</c:v>
                </c:pt>
                <c:pt idx="70">
                  <c:v>3.6246836090541822E-2</c:v>
                </c:pt>
                <c:pt idx="71">
                  <c:v>3.6503563155549971E-2</c:v>
                </c:pt>
                <c:pt idx="72">
                  <c:v>3.6759119639081114E-2</c:v>
                </c:pt>
                <c:pt idx="73">
                  <c:v>3.7005750870819719E-2</c:v>
                </c:pt>
                <c:pt idx="74">
                  <c:v>3.7259935053240337E-2</c:v>
                </c:pt>
                <c:pt idx="75">
                  <c:v>3.7505206900670357E-2</c:v>
                </c:pt>
                <c:pt idx="76">
                  <c:v>3.7757848601183169E-2</c:v>
                </c:pt>
                <c:pt idx="77">
                  <c:v>3.8009600807990832E-2</c:v>
                </c:pt>
                <c:pt idx="78">
                  <c:v>3.8236166161155487E-2</c:v>
                </c:pt>
                <c:pt idx="79">
                  <c:v>3.8486028836880418E-2</c:v>
                </c:pt>
                <c:pt idx="80">
                  <c:v>3.8726788503296292E-2</c:v>
                </c:pt>
                <c:pt idx="81">
                  <c:v>3.8974426537181632E-2</c:v>
                </c:pt>
                <c:pt idx="82">
                  <c:v>3.9212899985142789E-2</c:v>
                </c:pt>
                <c:pt idx="83">
                  <c:v>3.945803780348614E-2</c:v>
                </c:pt>
                <c:pt idx="84">
                  <c:v>3.9701799415468128E-2</c:v>
                </c:pt>
                <c:pt idx="85">
                  <c:v>3.9936318771486859E-2</c:v>
                </c:pt>
                <c:pt idx="86">
                  <c:v>4.0177152652182739E-2</c:v>
                </c:pt>
                <c:pt idx="87">
                  <c:v>4.0408687172293116E-2</c:v>
                </c:pt>
                <c:pt idx="88">
                  <c:v>4.0646278350910454E-2</c:v>
                </c:pt>
                <c:pt idx="89">
                  <c:v>4.0882100213090897E-2</c:v>
                </c:pt>
                <c:pt idx="90">
                  <c:v>4.1093511796328176E-2</c:v>
                </c:pt>
                <c:pt idx="91">
                  <c:v>4.1325740250578093E-2</c:v>
                </c:pt>
                <c:pt idx="92">
                  <c:v>4.1548567549783547E-2</c:v>
                </c:pt>
                <c:pt idx="93">
                  <c:v>4.1776769231378817E-2</c:v>
                </c:pt>
                <c:pt idx="94">
                  <c:v>4.1995546390659166E-2</c:v>
                </c:pt>
                <c:pt idx="95">
                  <c:v>4.2219404554854081E-2</c:v>
                </c:pt>
                <c:pt idx="96">
                  <c:v>4.2440933975616116E-2</c:v>
                </c:pt>
                <c:pt idx="97">
                  <c:v>4.2653116132853275E-2</c:v>
                </c:pt>
                <c:pt idx="98">
                  <c:v>4.2870514432946101E-2</c:v>
                </c:pt>
                <c:pt idx="99">
                  <c:v>4.3079601647880383E-2</c:v>
                </c:pt>
                <c:pt idx="100">
                  <c:v>4.3294837662157401E-2</c:v>
                </c:pt>
                <c:pt idx="101">
                  <c:v>4.3509768717068215E-2</c:v>
                </c:pt>
                <c:pt idx="102">
                  <c:v>4.370408291155678E-2</c:v>
                </c:pt>
                <c:pt idx="103">
                  <c:v>4.3919911713373144E-2</c:v>
                </c:pt>
                <c:pt idx="104">
                  <c:v>4.412996141441046E-2</c:v>
                </c:pt>
                <c:pt idx="105">
                  <c:v>4.434875606143391E-2</c:v>
                </c:pt>
                <c:pt idx="106">
                  <c:v>4.4562678342886561E-2</c:v>
                </c:pt>
                <c:pt idx="107">
                  <c:v>4.4786510472732147E-2</c:v>
                </c:pt>
                <c:pt idx="108">
                  <c:v>4.5013696546244202E-2</c:v>
                </c:pt>
                <c:pt idx="109">
                  <c:v>4.5236875791196111E-2</c:v>
                </c:pt>
                <c:pt idx="110">
                  <c:v>4.5469441924162968E-2</c:v>
                </c:pt>
                <c:pt idx="111">
                  <c:v>4.5694572606800661E-2</c:v>
                </c:pt>
                <c:pt idx="112">
                  <c:v>4.5925377248480226E-2</c:v>
                </c:pt>
                <c:pt idx="113">
                  <c:v>4.615239102804803E-2</c:v>
                </c:pt>
                <c:pt idx="114">
                  <c:v>4.6359598213564716E-2</c:v>
                </c:pt>
                <c:pt idx="115">
                  <c:v>4.6573731240183158E-2</c:v>
                </c:pt>
                <c:pt idx="116">
                  <c:v>4.6771913129813797E-2</c:v>
                </c:pt>
                <c:pt idx="117">
                  <c:v>4.6965456692038617E-2</c:v>
                </c:pt>
                <c:pt idx="118">
                  <c:v>4.7140057188341501E-2</c:v>
                </c:pt>
                <c:pt idx="119">
                  <c:v>4.7305455330730287E-2</c:v>
                </c:pt>
                <c:pt idx="120">
                  <c:v>4.7453654389919803E-2</c:v>
                </c:pt>
                <c:pt idx="121">
                  <c:v>4.7579298383189923E-2</c:v>
                </c:pt>
                <c:pt idx="122">
                  <c:v>4.7691210753480082E-2</c:v>
                </c:pt>
                <c:pt idx="123">
                  <c:v>4.778306348229483E-2</c:v>
                </c:pt>
                <c:pt idx="124">
                  <c:v>4.7861912097000477E-2</c:v>
                </c:pt>
                <c:pt idx="125">
                  <c:v>4.7925378751390267E-2</c:v>
                </c:pt>
                <c:pt idx="126">
                  <c:v>4.7970278861783192E-2</c:v>
                </c:pt>
                <c:pt idx="127">
                  <c:v>4.8007115738415013E-2</c:v>
                </c:pt>
                <c:pt idx="128">
                  <c:v>4.8030755854671169E-2</c:v>
                </c:pt>
                <c:pt idx="129">
                  <c:v>4.8043707230156281E-2</c:v>
                </c:pt>
                <c:pt idx="130">
                  <c:v>4.804602643272364E-2</c:v>
                </c:pt>
                <c:pt idx="131">
                  <c:v>4.8038800087946032E-2</c:v>
                </c:pt>
                <c:pt idx="132">
                  <c:v>4.8022740418216352E-2</c:v>
                </c:pt>
                <c:pt idx="133">
                  <c:v>4.7999690249420357E-2</c:v>
                </c:pt>
                <c:pt idx="134">
                  <c:v>4.7969044905880838E-2</c:v>
                </c:pt>
                <c:pt idx="135">
                  <c:v>4.7933673651923303E-2</c:v>
                </c:pt>
                <c:pt idx="136">
                  <c:v>4.7892150410631946E-2</c:v>
                </c:pt>
                <c:pt idx="137">
                  <c:v>4.784651998757472E-2</c:v>
                </c:pt>
                <c:pt idx="138">
                  <c:v>4.7802571712904508E-2</c:v>
                </c:pt>
                <c:pt idx="139">
                  <c:v>4.7751769957457744E-2</c:v>
                </c:pt>
                <c:pt idx="140">
                  <c:v>4.7701333585509605E-2</c:v>
                </c:pt>
                <c:pt idx="141">
                  <c:v>4.7648832186116666E-2</c:v>
                </c:pt>
                <c:pt idx="142">
                  <c:v>4.7598545084644936E-2</c:v>
                </c:pt>
                <c:pt idx="143">
                  <c:v>4.7548051815484951E-2</c:v>
                </c:pt>
                <c:pt idx="144">
                  <c:v>4.7499999999281471E-2</c:v>
                </c:pt>
                <c:pt idx="145">
                  <c:v>4.7456560038508358E-2</c:v>
                </c:pt>
                <c:pt idx="146">
                  <c:v>4.7414888210352106E-2</c:v>
                </c:pt>
                <c:pt idx="147">
                  <c:v>4.7377549071242406E-2</c:v>
                </c:pt>
                <c:pt idx="148">
                  <c:v>4.7341923855098542E-2</c:v>
                </c:pt>
                <c:pt idx="149">
                  <c:v>4.7309174087315296E-2</c:v>
                </c:pt>
                <c:pt idx="150">
                  <c:v>4.7281954491799866E-2</c:v>
                </c:pt>
                <c:pt idx="151">
                  <c:v>4.7254309782720848E-2</c:v>
                </c:pt>
                <c:pt idx="152">
                  <c:v>4.7229928243431508E-2</c:v>
                </c:pt>
                <c:pt idx="153">
                  <c:v>4.7207054941603176E-2</c:v>
                </c:pt>
                <c:pt idx="154">
                  <c:v>4.7187041629572719E-2</c:v>
                </c:pt>
                <c:pt idx="155">
                  <c:v>4.7168424596225861E-2</c:v>
                </c:pt>
                <c:pt idx="156">
                  <c:v>4.7151773159032552E-2</c:v>
                </c:pt>
                <c:pt idx="157">
                  <c:v>4.7137405062334513E-2</c:v>
                </c:pt>
                <c:pt idx="158">
                  <c:v>4.7124232947733186E-2</c:v>
                </c:pt>
                <c:pt idx="159">
                  <c:v>4.7112982671186202E-2</c:v>
                </c:pt>
                <c:pt idx="160">
                  <c:v>4.7102774724824055E-2</c:v>
                </c:pt>
                <c:pt idx="161">
                  <c:v>4.7093875742996741E-2</c:v>
                </c:pt>
                <c:pt idx="162">
                  <c:v>4.708661804942136E-2</c:v>
                </c:pt>
                <c:pt idx="163">
                  <c:v>4.7079874593181581E-2</c:v>
                </c:pt>
                <c:pt idx="164">
                  <c:v>4.7074224483866001E-2</c:v>
                </c:pt>
                <c:pt idx="165">
                  <c:v>4.7069161557638906E-2</c:v>
                </c:pt>
                <c:pt idx="166">
                  <c:v>4.7064888500303527E-2</c:v>
                </c:pt>
                <c:pt idx="167">
                  <c:v>4.7060990954153198E-2</c:v>
                </c:pt>
                <c:pt idx="168">
                  <c:v>4.7057488228096335E-2</c:v>
                </c:pt>
                <c:pt idx="169">
                  <c:v>4.7054349105029245E-2</c:v>
                </c:pt>
                <c:pt idx="170">
                  <c:v>4.7051234817533372E-2</c:v>
                </c:pt>
                <c:pt idx="171">
                  <c:v>4.7048222334788468E-2</c:v>
                </c:pt>
                <c:pt idx="172">
                  <c:v>4.7044981338132993E-2</c:v>
                </c:pt>
                <c:pt idx="173">
                  <c:v>4.7041478525473544E-2</c:v>
                </c:pt>
                <c:pt idx="174">
                  <c:v>4.7037978996837114E-2</c:v>
                </c:pt>
                <c:pt idx="175">
                  <c:v>4.7033610329751667E-2</c:v>
                </c:pt>
                <c:pt idx="176">
                  <c:v>4.7028766900225047E-2</c:v>
                </c:pt>
                <c:pt idx="177">
                  <c:v>4.7022996318926244E-2</c:v>
                </c:pt>
                <c:pt idx="178">
                  <c:v>4.7016546937135681E-2</c:v>
                </c:pt>
                <c:pt idx="179">
                  <c:v>4.7008859300556795E-2</c:v>
                </c:pt>
                <c:pt idx="180">
                  <c:v>4.7000000000050744E-2</c:v>
                </c:pt>
                <c:pt idx="181">
                  <c:v>4.6990209337818035E-2</c:v>
                </c:pt>
                <c:pt idx="182">
                  <c:v>4.6978831896772433E-2</c:v>
                </c:pt>
                <c:pt idx="183">
                  <c:v>4.6966624205969726E-2</c:v>
                </c:pt>
                <c:pt idx="184">
                  <c:v>4.695279591244883E-2</c:v>
                </c:pt>
                <c:pt idx="185">
                  <c:v>4.6937757925579304E-2</c:v>
                </c:pt>
                <c:pt idx="186">
                  <c:v>4.6923155557071723E-2</c:v>
                </c:pt>
                <c:pt idx="187">
                  <c:v>4.6905881957846222E-2</c:v>
                </c:pt>
                <c:pt idx="188">
                  <c:v>4.6888080276823986E-2</c:v>
                </c:pt>
                <c:pt idx="189">
                  <c:v>4.6868587232210095E-2</c:v>
                </c:pt>
                <c:pt idx="190">
                  <c:v>4.6848682931790328E-2</c:v>
                </c:pt>
                <c:pt idx="191">
                  <c:v>4.6827063926544392E-2</c:v>
                </c:pt>
                <c:pt idx="192">
                  <c:v>4.6804400332840168E-2</c:v>
                </c:pt>
                <c:pt idx="193">
                  <c:v>4.6781495981686648E-2</c:v>
                </c:pt>
                <c:pt idx="194">
                  <c:v>4.6756847416092075E-2</c:v>
                </c:pt>
                <c:pt idx="195">
                  <c:v>4.6732067360677067E-2</c:v>
                </c:pt>
                <c:pt idx="196">
                  <c:v>4.6705527305725872E-2</c:v>
                </c:pt>
                <c:pt idx="197">
                  <c:v>4.6678061826401364E-2</c:v>
                </c:pt>
                <c:pt idx="198">
                  <c:v>4.6652478954503834E-2</c:v>
                </c:pt>
                <c:pt idx="199">
                  <c:v>4.6623318887359551E-2</c:v>
                </c:pt>
                <c:pt idx="200">
                  <c:v>4.6594284829856392E-2</c:v>
                </c:pt>
                <c:pt idx="201">
                  <c:v>4.6563464678208676E-2</c:v>
                </c:pt>
                <c:pt idx="202">
                  <c:v>4.6532869323377954E-2</c:v>
                </c:pt>
                <c:pt idx="203">
                  <c:v>4.650048257420205E-2</c:v>
                </c:pt>
                <c:pt idx="204">
                  <c:v>4.646733550553854E-2</c:v>
                </c:pt>
                <c:pt idx="205">
                  <c:v>4.6434556518397591E-2</c:v>
                </c:pt>
                <c:pt idx="206">
                  <c:v>4.639998384538991E-2</c:v>
                </c:pt>
                <c:pt idx="207">
                  <c:v>4.6365870467177994E-2</c:v>
                </c:pt>
                <c:pt idx="208">
                  <c:v>4.6329965665701918E-2</c:v>
                </c:pt>
                <c:pt idx="209">
                  <c:v>4.6293419706607025E-2</c:v>
                </c:pt>
                <c:pt idx="210">
                  <c:v>4.6258672497977535E-2</c:v>
                </c:pt>
                <c:pt idx="211">
                  <c:v>4.6220954175172295E-2</c:v>
                </c:pt>
                <c:pt idx="212">
                  <c:v>4.6183909339266922E-2</c:v>
                </c:pt>
                <c:pt idx="213">
                  <c:v>4.6145091831623755E-2</c:v>
                </c:pt>
                <c:pt idx="214">
                  <c:v>4.6107028501514616E-2</c:v>
                </c:pt>
                <c:pt idx="215">
                  <c:v>4.6067205291576978E-2</c:v>
                </c:pt>
                <c:pt idx="216">
                  <c:v>4.6026906810514134E-2</c:v>
                </c:pt>
                <c:pt idx="217">
                  <c:v>4.5987478502550791E-2</c:v>
                </c:pt>
                <c:pt idx="218">
                  <c:v>4.5946315307952998E-2</c:v>
                </c:pt>
                <c:pt idx="219">
                  <c:v>4.5906095416509668E-2</c:v>
                </c:pt>
                <c:pt idx="220">
                  <c:v>4.586416099314692E-2</c:v>
                </c:pt>
                <c:pt idx="221">
                  <c:v>4.5821870458323158E-2</c:v>
                </c:pt>
                <c:pt idx="222">
                  <c:v>4.5783386556443505E-2</c:v>
                </c:pt>
                <c:pt idx="223">
                  <c:v>4.57404849662022E-2</c:v>
                </c:pt>
                <c:pt idx="224">
                  <c:v>4.5698694723929838E-2</c:v>
                </c:pt>
                <c:pt idx="225">
                  <c:v>4.5655253307607641E-2</c:v>
                </c:pt>
                <c:pt idx="226">
                  <c:v>4.5612985891079205E-2</c:v>
                </c:pt>
                <c:pt idx="227">
                  <c:v>4.5569098140117344E-2</c:v>
                </c:pt>
                <c:pt idx="228">
                  <c:v>4.5525019389283689E-2</c:v>
                </c:pt>
                <c:pt idx="229">
                  <c:v>4.5482203409062442E-2</c:v>
                </c:pt>
                <c:pt idx="230">
                  <c:v>4.5437819307933419E-2</c:v>
                </c:pt>
                <c:pt idx="231">
                  <c:v>4.5394753064221111E-2</c:v>
                </c:pt>
                <c:pt idx="232">
                  <c:v>4.5350157095364094E-2</c:v>
                </c:pt>
                <c:pt idx="233">
                  <c:v>4.5305489284101753E-2</c:v>
                </c:pt>
                <c:pt idx="234">
                  <c:v>4.5265102497670524E-2</c:v>
                </c:pt>
                <c:pt idx="235">
                  <c:v>4.5220364651256124E-2</c:v>
                </c:pt>
                <c:pt idx="236">
                  <c:v>4.5177068049693084E-2</c:v>
                </c:pt>
                <c:pt idx="237">
                  <c:v>4.5132349747162757E-2</c:v>
                </c:pt>
                <c:pt idx="238">
                  <c:v>4.5089117286954465E-2</c:v>
                </c:pt>
                <c:pt idx="239">
                  <c:v>4.5044512010886953E-2</c:v>
                </c:pt>
                <c:pt idx="240">
                  <c:v>4.4999999999596196E-2</c:v>
                </c:pt>
                <c:pt idx="241">
                  <c:v>4.4957033595906117E-2</c:v>
                </c:pt>
                <c:pt idx="242">
                  <c:v>4.4912762217324473E-2</c:v>
                </c:pt>
                <c:pt idx="243">
                  <c:v>4.48700534415769E-2</c:v>
                </c:pt>
                <c:pt idx="244">
                  <c:v>4.4826071867268114E-2</c:v>
                </c:pt>
                <c:pt idx="245">
                  <c:v>4.4782255655303985E-2</c:v>
                </c:pt>
                <c:pt idx="246">
                  <c:v>4.4742831980924234E-2</c:v>
                </c:pt>
                <c:pt idx="247">
                  <c:v>4.4699364139480197E-2</c:v>
                </c:pt>
                <c:pt idx="248">
                  <c:v>4.4657489480756922E-2</c:v>
                </c:pt>
                <c:pt idx="249">
                  <c:v>4.4614428225224476E-2</c:v>
                </c:pt>
                <c:pt idx="250">
                  <c:v>4.4572969862397081E-2</c:v>
                </c:pt>
                <c:pt idx="251">
                  <c:v>4.4530362368173371E-2</c:v>
                </c:pt>
                <c:pt idx="252">
                  <c:v>4.4488003549296641E-2</c:v>
                </c:pt>
                <c:pt idx="253">
                  <c:v>4.4447259398124175E-2</c:v>
                </c:pt>
                <c:pt idx="254">
                  <c:v>4.4405425490010593E-2</c:v>
                </c:pt>
                <c:pt idx="255">
                  <c:v>4.4365212142656617E-2</c:v>
                </c:pt>
                <c:pt idx="256">
                  <c:v>4.4323950322927345E-2</c:v>
                </c:pt>
                <c:pt idx="257">
                  <c:v>4.4282997316855935E-2</c:v>
                </c:pt>
                <c:pt idx="258">
                  <c:v>4.4244976800771635E-2</c:v>
                </c:pt>
                <c:pt idx="259">
                  <c:v>4.4204656103562272E-2</c:v>
                </c:pt>
                <c:pt idx="260">
                  <c:v>4.4165964034002095E-2</c:v>
                </c:pt>
                <c:pt idx="261">
                  <c:v>4.4126332977328576E-2</c:v>
                </c:pt>
                <c:pt idx="262">
                  <c:v>4.4088331132297133E-2</c:v>
                </c:pt>
                <c:pt idx="263">
                  <c:v>4.4049436891564646E-2</c:v>
                </c:pt>
                <c:pt idx="264">
                  <c:v>4.4010935177185476E-2</c:v>
                </c:pt>
                <c:pt idx="265">
                  <c:v>4.3974060667201421E-2</c:v>
                </c:pt>
                <c:pt idx="266">
                  <c:v>4.3936366920449658E-2</c:v>
                </c:pt>
                <c:pt idx="267">
                  <c:v>4.3900297145155913E-2</c:v>
                </c:pt>
                <c:pt idx="268">
                  <c:v>4.3863458539219011E-2</c:v>
                </c:pt>
                <c:pt idx="269">
                  <c:v>4.3827072595735019E-2</c:v>
                </c:pt>
                <c:pt idx="270">
                  <c:v>4.3794607076699028E-2</c:v>
                </c:pt>
                <c:pt idx="271">
                  <c:v>4.3759116306312996E-2</c:v>
                </c:pt>
                <c:pt idx="272">
                  <c:v>4.3725234943587571E-2</c:v>
                </c:pt>
                <c:pt idx="273">
                  <c:v>4.3690716095692299E-2</c:v>
                </c:pt>
                <c:pt idx="274">
                  <c:v>4.3657798133440569E-2</c:v>
                </c:pt>
                <c:pt idx="275">
                  <c:v>4.3624298381226487E-2</c:v>
                </c:pt>
                <c:pt idx="276">
                  <c:v>4.3591334615594682E-2</c:v>
                </c:pt>
                <c:pt idx="277">
                  <c:v>4.3559955994959092E-2</c:v>
                </c:pt>
                <c:pt idx="278">
                  <c:v>4.3528082474482019E-2</c:v>
                </c:pt>
                <c:pt idx="279">
                  <c:v>4.3497781762273507E-2</c:v>
                </c:pt>
                <c:pt idx="280">
                  <c:v>4.3467045664583905E-2</c:v>
                </c:pt>
                <c:pt idx="281">
                  <c:v>4.3436905680700001E-2</c:v>
                </c:pt>
                <c:pt idx="282">
                  <c:v>4.3410204981751764E-2</c:v>
                </c:pt>
                <c:pt idx="283">
                  <c:v>4.3381233202601989E-2</c:v>
                </c:pt>
                <c:pt idx="284">
                  <c:v>4.3353797128268444E-2</c:v>
                </c:pt>
                <c:pt idx="285">
                  <c:v>4.3326079553590476E-2</c:v>
                </c:pt>
                <c:pt idx="286">
                  <c:v>4.3299880055699257E-2</c:v>
                </c:pt>
                <c:pt idx="287">
                  <c:v>4.3273463858685857E-2</c:v>
                </c:pt>
                <c:pt idx="288">
                  <c:v>4.3247727099612221E-2</c:v>
                </c:pt>
                <c:pt idx="289">
                  <c:v>4.322347894771493E-2</c:v>
                </c:pt>
                <c:pt idx="290">
                  <c:v>4.3199114718002175E-2</c:v>
                </c:pt>
                <c:pt idx="291">
                  <c:v>4.3176217646063463E-2</c:v>
                </c:pt>
                <c:pt idx="292">
                  <c:v>4.3153273125565446E-2</c:v>
                </c:pt>
                <c:pt idx="293">
                  <c:v>4.3131068168011065E-2</c:v>
                </c:pt>
                <c:pt idx="294">
                  <c:v>4.3111657891725011E-2</c:v>
                </c:pt>
                <c:pt idx="295">
                  <c:v>4.3090894166107778E-2</c:v>
                </c:pt>
                <c:pt idx="296">
                  <c:v>4.3071537959592614E-2</c:v>
                </c:pt>
                <c:pt idx="297">
                  <c:v>4.3052310720432176E-2</c:v>
                </c:pt>
                <c:pt idx="298">
                  <c:v>4.3034464264109354E-2</c:v>
                </c:pt>
                <c:pt idx="299">
                  <c:v>4.3016820686817024E-2</c:v>
                </c:pt>
                <c:pt idx="300">
                  <c:v>4.2999999998820135E-2</c:v>
                </c:pt>
                <c:pt idx="301">
                  <c:v>4.298451291384156E-2</c:v>
                </c:pt>
                <c:pt idx="302">
                  <c:v>4.2969317556448762E-2</c:v>
                </c:pt>
                <c:pt idx="303">
                  <c:v>4.2955381068851703E-2</c:v>
                </c:pt>
                <c:pt idx="304">
                  <c:v>4.294176056933513E-2</c:v>
                </c:pt>
                <c:pt idx="305">
                  <c:v>4.2928919378624891E-2</c:v>
                </c:pt>
                <c:pt idx="306">
                  <c:v>4.2917599619899369E-2</c:v>
                </c:pt>
                <c:pt idx="307">
                  <c:v>4.2906226521834887E-2</c:v>
                </c:pt>
                <c:pt idx="308">
                  <c:v>4.289592285038038E-2</c:v>
                </c:pt>
                <c:pt idx="309">
                  <c:v>4.2885987902384438E-2</c:v>
                </c:pt>
                <c:pt idx="310">
                  <c:v>4.287704943966357E-2</c:v>
                </c:pt>
                <c:pt idx="311">
                  <c:v>4.2868497774757902E-2</c:v>
                </c:pt>
                <c:pt idx="312">
                  <c:v>4.2860628063635366E-2</c:v>
                </c:pt>
                <c:pt idx="313">
                  <c:v>4.2853648183565865E-2</c:v>
                </c:pt>
                <c:pt idx="314">
                  <c:v>4.2847079010976133E-2</c:v>
                </c:pt>
                <c:pt idx="315">
                  <c:v>4.2841331168975254E-2</c:v>
                </c:pt>
                <c:pt idx="316">
                  <c:v>4.2836007670156946E-2</c:v>
                </c:pt>
                <c:pt idx="317">
                  <c:v>4.2831296201361189E-2</c:v>
                </c:pt>
                <c:pt idx="318">
                  <c:v>4.2827554936766203E-2</c:v>
                </c:pt>
                <c:pt idx="319">
                  <c:v>4.2823969136034194E-2</c:v>
                </c:pt>
                <c:pt idx="320">
                  <c:v>4.2821042707254425E-2</c:v>
                </c:pt>
                <c:pt idx="321">
                  <c:v>4.2818566767300684E-2</c:v>
                </c:pt>
                <c:pt idx="322">
                  <c:v>4.2816687860544211E-2</c:v>
                </c:pt>
                <c:pt idx="323">
                  <c:v>4.2815266923265129E-2</c:v>
                </c:pt>
                <c:pt idx="324">
                  <c:v>4.2814361107279812E-2</c:v>
                </c:pt>
                <c:pt idx="325">
                  <c:v>4.2813961637423174E-2</c:v>
                </c:pt>
                <c:pt idx="326">
                  <c:v>4.28140280773254E-2</c:v>
                </c:pt>
                <c:pt idx="327">
                  <c:v>4.2814542949930458E-2</c:v>
                </c:pt>
                <c:pt idx="328">
                  <c:v>4.2815526785394548E-2</c:v>
                </c:pt>
                <c:pt idx="329">
                  <c:v>4.2816955811723921E-2</c:v>
                </c:pt>
                <c:pt idx="330">
                  <c:v>4.2818617408796888E-2</c:v>
                </c:pt>
                <c:pt idx="331">
                  <c:v>4.2820854587429784E-2</c:v>
                </c:pt>
                <c:pt idx="332">
                  <c:v>4.2823404454597147E-2</c:v>
                </c:pt>
                <c:pt idx="333">
                  <c:v>4.2826423215788868E-2</c:v>
                </c:pt>
                <c:pt idx="334">
                  <c:v>4.2829702907138709E-2</c:v>
                </c:pt>
                <c:pt idx="335">
                  <c:v>4.2833448383901004E-2</c:v>
                </c:pt>
                <c:pt idx="336">
                  <c:v>4.2837542153896291E-2</c:v>
                </c:pt>
                <c:pt idx="337">
                  <c:v>4.2841822140800033E-2</c:v>
                </c:pt>
                <c:pt idx="338">
                  <c:v>4.2846559881795906E-2</c:v>
                </c:pt>
                <c:pt idx="339">
                  <c:v>4.2851436522196959E-2</c:v>
                </c:pt>
                <c:pt idx="340">
                  <c:v>4.2856763373866222E-2</c:v>
                </c:pt>
                <c:pt idx="341">
                  <c:v>4.2862368586117604E-2</c:v>
                </c:pt>
                <c:pt idx="342">
                  <c:v>4.286765882500309E-2</c:v>
                </c:pt>
                <c:pt idx="343">
                  <c:v>4.2873754667124342E-2</c:v>
                </c:pt>
                <c:pt idx="344">
                  <c:v>4.2879879883396713E-2</c:v>
                </c:pt>
                <c:pt idx="345">
                  <c:v>4.2886429029847871E-2</c:v>
                </c:pt>
                <c:pt idx="346">
                  <c:v>4.2892966372454169E-2</c:v>
                </c:pt>
                <c:pt idx="347">
                  <c:v>4.2899913954026543E-2</c:v>
                </c:pt>
                <c:pt idx="348">
                  <c:v>4.2907042989666681E-2</c:v>
                </c:pt>
                <c:pt idx="349">
                  <c:v>4.2914101486474357E-2</c:v>
                </c:pt>
                <c:pt idx="350">
                  <c:v>4.2921546212666431E-2</c:v>
                </c:pt>
                <c:pt idx="351">
                  <c:v>4.2928883669564828E-2</c:v>
                </c:pt>
                <c:pt idx="352">
                  <c:v>4.2936589228202933E-2</c:v>
                </c:pt>
                <c:pt idx="353">
                  <c:v>4.2944406308259013E-2</c:v>
                </c:pt>
                <c:pt idx="354">
                  <c:v>4.2951807473905035E-2</c:v>
                </c:pt>
                <c:pt idx="355">
                  <c:v>4.2959800163831934E-2</c:v>
                </c:pt>
                <c:pt idx="356">
                  <c:v>4.2967601751884354E-2</c:v>
                </c:pt>
                <c:pt idx="357">
                  <c:v>4.2975718555317614E-2</c:v>
                </c:pt>
                <c:pt idx="358">
                  <c:v>4.2983613710331485E-2</c:v>
                </c:pt>
                <c:pt idx="359">
                  <c:v>4.2991799769166276E-2</c:v>
                </c:pt>
                <c:pt idx="360">
                  <c:v>4.2999998793123113E-2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F-4DF4-A5F3-0640229FCFC3}"/>
            </c:ext>
          </c:extLst>
        </c:ser>
        <c:ser>
          <c:idx val="3"/>
          <c:order val="3"/>
          <c:tx>
            <c:strRef>
              <c:f>'YieldCurve (2)'!$G$25</c:f>
              <c:strCache>
                <c:ptCount val="1"/>
                <c:pt idx="0">
                  <c:v>f(0,T) (bumped)</c:v>
                </c:pt>
              </c:strCache>
            </c:strRef>
          </c:tx>
          <c:spPr>
            <a:ln w="28575"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(2)'!$G$26:$G$386</c:f>
              <c:numCache>
                <c:formatCode>0.00%</c:formatCode>
                <c:ptCount val="361"/>
                <c:pt idx="0">
                  <c:v>2.6999992289442519E-2</c:v>
                </c:pt>
                <c:pt idx="1">
                  <c:v>2.6987409473091001E-2</c:v>
                </c:pt>
                <c:pt idx="2">
                  <c:v>2.6974945032824105E-2</c:v>
                </c:pt>
                <c:pt idx="3">
                  <c:v>2.6963939013101582E-2</c:v>
                </c:pt>
                <c:pt idx="4">
                  <c:v>2.695420944886499E-2</c:v>
                </c:pt>
                <c:pt idx="5">
                  <c:v>2.6946710965033861E-2</c:v>
                </c:pt>
                <c:pt idx="6">
                  <c:v>2.6942327358932185E-2</c:v>
                </c:pt>
                <c:pt idx="7">
                  <c:v>2.6940641363246198E-2</c:v>
                </c:pt>
                <c:pt idx="8">
                  <c:v>2.694269533470094E-2</c:v>
                </c:pt>
                <c:pt idx="9">
                  <c:v>2.6949177973866558E-2</c:v>
                </c:pt>
                <c:pt idx="10">
                  <c:v>2.6960199221383277E-2</c:v>
                </c:pt>
                <c:pt idx="11">
                  <c:v>2.6977045589104243E-2</c:v>
                </c:pt>
                <c:pt idx="12">
                  <c:v>2.7000000001030824E-2</c:v>
                </c:pt>
                <c:pt idx="13">
                  <c:v>2.7028326774263048E-2</c:v>
                </c:pt>
                <c:pt idx="14">
                  <c:v>2.7063201554041114E-2</c:v>
                </c:pt>
                <c:pt idx="15">
                  <c:v>2.7101441916826233E-2</c:v>
                </c:pt>
                <c:pt idx="16">
                  <c:v>2.7144623118226439E-2</c:v>
                </c:pt>
                <c:pt idx="17">
                  <c:v>2.7190540503274272E-2</c:v>
                </c:pt>
                <c:pt idx="18">
                  <c:v>2.7235085989256218E-2</c:v>
                </c:pt>
                <c:pt idx="19">
                  <c:v>2.7283456054139635E-2</c:v>
                </c:pt>
                <c:pt idx="20">
                  <c:v>2.733008395491901E-2</c:v>
                </c:pt>
                <c:pt idx="21">
                  <c:v>2.7377104107303936E-2</c:v>
                </c:pt>
                <c:pt idx="22">
                  <c:v>2.7420550521303589E-2</c:v>
                </c:pt>
                <c:pt idx="23">
                  <c:v>2.7462345518427814E-2</c:v>
                </c:pt>
                <c:pt idx="24">
                  <c:v>2.7499999998844116E-2</c:v>
                </c:pt>
                <c:pt idx="25">
                  <c:v>2.7531951041557732E-2</c:v>
                </c:pt>
                <c:pt idx="26">
                  <c:v>2.7561470460418926E-2</c:v>
                </c:pt>
                <c:pt idx="27">
                  <c:v>2.758816517319004E-2</c:v>
                </c:pt>
                <c:pt idx="28">
                  <c:v>2.761539375736145E-2</c:v>
                </c:pt>
                <c:pt idx="29">
                  <c:v>2.7643865368145865E-2</c:v>
                </c:pt>
                <c:pt idx="30">
                  <c:v>2.7671999463101921E-2</c:v>
                </c:pt>
                <c:pt idx="31">
                  <c:v>2.7707318737175544E-2</c:v>
                </c:pt>
                <c:pt idx="32">
                  <c:v>2.7747149947198603E-2</c:v>
                </c:pt>
                <c:pt idx="33">
                  <c:v>2.779572743865763E-2</c:v>
                </c:pt>
                <c:pt idx="34">
                  <c:v>2.785142857170339E-2</c:v>
                </c:pt>
                <c:pt idx="35">
                  <c:v>2.7919545686885022E-2</c:v>
                </c:pt>
                <c:pt idx="36">
                  <c:v>2.800000000052312E-2</c:v>
                </c:pt>
                <c:pt idx="37">
                  <c:v>2.8090897716968113E-2</c:v>
                </c:pt>
                <c:pt idx="38">
                  <c:v>2.8198617626542348E-2</c:v>
                </c:pt>
                <c:pt idx="39">
                  <c:v>2.8316266146979269E-2</c:v>
                </c:pt>
                <c:pt idx="40">
                  <c:v>2.8451745114616424E-2</c:v>
                </c:pt>
                <c:pt idx="41">
                  <c:v>2.8601420483844755E-2</c:v>
                </c:pt>
                <c:pt idx="42">
                  <c:v>2.8748863331975551E-2</c:v>
                </c:pt>
                <c:pt idx="43">
                  <c:v>2.8925723996551002E-2</c:v>
                </c:pt>
                <c:pt idx="44">
                  <c:v>2.9110562155644809E-2</c:v>
                </c:pt>
                <c:pt idx="45">
                  <c:v>2.9315758953051219E-2</c:v>
                </c:pt>
                <c:pt idx="46">
                  <c:v>2.9528131975764323E-2</c:v>
                </c:pt>
                <c:pt idx="47">
                  <c:v>2.9761898026503697E-2</c:v>
                </c:pt>
                <c:pt idx="48">
                  <c:v>3.0010272213721725E-2</c:v>
                </c:pt>
                <c:pt idx="49">
                  <c:v>3.026432018569105E-2</c:v>
                </c:pt>
                <c:pt idx="50">
                  <c:v>3.0539543186012721E-2</c:v>
                </c:pt>
                <c:pt idx="51">
                  <c:v>3.0816515538466076E-2</c:v>
                </c:pt>
                <c:pt idx="52">
                  <c:v>3.1111958117763069E-2</c:v>
                </c:pt>
                <c:pt idx="53">
                  <c:v>3.1415017404977964E-2</c:v>
                </c:pt>
                <c:pt idx="54">
                  <c:v>3.1693804680063629E-2</c:v>
                </c:pt>
                <c:pt idx="55">
                  <c:v>3.2006409965272015E-2</c:v>
                </c:pt>
                <c:pt idx="56">
                  <c:v>3.2311248656228371E-2</c:v>
                </c:pt>
                <c:pt idx="57">
                  <c:v>3.2626899369418969E-2</c:v>
                </c:pt>
                <c:pt idx="58">
                  <c:v>3.2931328197319212E-2</c:v>
                </c:pt>
                <c:pt idx="59">
                  <c:v>3.3243086439748652E-2</c:v>
                </c:pt>
                <c:pt idx="60">
                  <c:v>3.3550207723870941E-2</c:v>
                </c:pt>
                <c:pt idx="61">
                  <c:v>3.3841625837430903E-2</c:v>
                </c:pt>
                <c:pt idx="62">
                  <c:v>3.4136662302415646E-2</c:v>
                </c:pt>
                <c:pt idx="63">
                  <c:v>3.4416504594004679E-2</c:v>
                </c:pt>
                <c:pt idx="64">
                  <c:v>3.4700040872267274E-2</c:v>
                </c:pt>
                <c:pt idx="65">
                  <c:v>3.4978086518201862E-2</c:v>
                </c:pt>
                <c:pt idx="66">
                  <c:v>3.5233434190738912E-2</c:v>
                </c:pt>
                <c:pt idx="67">
                  <c:v>3.550152998735423E-2</c:v>
                </c:pt>
                <c:pt idx="68">
                  <c:v>3.5756413534992454E-2</c:v>
                </c:pt>
                <c:pt idx="69">
                  <c:v>3.6015309083511401E-2</c:v>
                </c:pt>
                <c:pt idx="70">
                  <c:v>3.6261735780185045E-2</c:v>
                </c:pt>
                <c:pt idx="71">
                  <c:v>3.6512354082527836E-2</c:v>
                </c:pt>
                <c:pt idx="72">
                  <c:v>3.6759119639081114E-2</c:v>
                </c:pt>
                <c:pt idx="73">
                  <c:v>3.6994617053735343E-2</c:v>
                </c:pt>
                <c:pt idx="74">
                  <c:v>3.7235503538614843E-2</c:v>
                </c:pt>
                <c:pt idx="75">
                  <c:v>3.7467297931371588E-2</c:v>
                </c:pt>
                <c:pt idx="76">
                  <c:v>3.7706560458904408E-2</c:v>
                </c:pt>
                <c:pt idx="77">
                  <c:v>3.7946685822789122E-2</c:v>
                </c:pt>
                <c:pt idx="78">
                  <c:v>3.8165261165915169E-2</c:v>
                </c:pt>
                <c:pt idx="79">
                  <c:v>3.8410171741498571E-2</c:v>
                </c:pt>
                <c:pt idx="80">
                  <c:v>3.8651136622571483E-2</c:v>
                </c:pt>
                <c:pt idx="81">
                  <c:v>3.8905327402276854E-2</c:v>
                </c:pt>
                <c:pt idx="82">
                  <c:v>3.9157404572289459E-2</c:v>
                </c:pt>
                <c:pt idx="83">
                  <c:v>3.942528054477315E-2</c:v>
                </c:pt>
                <c:pt idx="84">
                  <c:v>3.9701799415468128E-2</c:v>
                </c:pt>
                <c:pt idx="85">
                  <c:v>3.9977833186269102E-2</c:v>
                </c:pt>
                <c:pt idx="86">
                  <c:v>4.0268267592103946E-2</c:v>
                </c:pt>
                <c:pt idx="87">
                  <c:v>4.0550084324565028E-2</c:v>
                </c:pt>
                <c:pt idx="88">
                  <c:v>4.0837599269914253E-2</c:v>
                </c:pt>
                <c:pt idx="89">
                  <c:v>4.1116812743866096E-2</c:v>
                </c:pt>
                <c:pt idx="90">
                  <c:v>4.1358048495204427E-2</c:v>
                </c:pt>
                <c:pt idx="91">
                  <c:v>4.1608768650046139E-2</c:v>
                </c:pt>
                <c:pt idx="92">
                  <c:v>4.1830843301480049E-2</c:v>
                </c:pt>
                <c:pt idx="93">
                  <c:v>4.2034605531231062E-2</c:v>
                </c:pt>
                <c:pt idx="94">
                  <c:v>4.2202628787170321E-2</c:v>
                </c:pt>
                <c:pt idx="95">
                  <c:v>4.2341642721643327E-2</c:v>
                </c:pt>
                <c:pt idx="96">
                  <c:v>4.2440933973395677E-2</c:v>
                </c:pt>
                <c:pt idx="97">
                  <c:v>4.2498192285896227E-2</c:v>
                </c:pt>
                <c:pt idx="98">
                  <c:v>4.2530486184934546E-2</c:v>
                </c:pt>
                <c:pt idx="99">
                  <c:v>4.255192201122926E-2</c:v>
                </c:pt>
                <c:pt idx="100">
                  <c:v>4.2580842132103884E-2</c:v>
                </c:pt>
                <c:pt idx="101">
                  <c:v>4.263383358625393E-2</c:v>
                </c:pt>
                <c:pt idx="102">
                  <c:v>4.2716841117025763E-2</c:v>
                </c:pt>
                <c:pt idx="103">
                  <c:v>4.286365521140463E-2</c:v>
                </c:pt>
                <c:pt idx="104">
                  <c:v>4.3076510287373804E-2</c:v>
                </c:pt>
                <c:pt idx="105">
                  <c:v>4.3386509996470493E-2</c:v>
                </c:pt>
                <c:pt idx="106">
                  <c:v>4.378984417194743E-2</c:v>
                </c:pt>
                <c:pt idx="107">
                  <c:v>4.4330315072308037E-2</c:v>
                </c:pt>
                <c:pt idx="108">
                  <c:v>4.5013696555125937E-2</c:v>
                </c:pt>
                <c:pt idx="109">
                  <c:v>4.5820599241021276E-2</c:v>
                </c:pt>
                <c:pt idx="110">
                  <c:v>4.6785033966138048E-2</c:v>
                </c:pt>
                <c:pt idx="111">
                  <c:v>4.781858483377939E-2</c:v>
                </c:pt>
                <c:pt idx="112">
                  <c:v>4.8962790349449614E-2</c:v>
                </c:pt>
                <c:pt idx="113">
                  <c:v>5.0156634553761452E-2</c:v>
                </c:pt>
                <c:pt idx="114">
                  <c:v>5.1293488744331678E-2</c:v>
                </c:pt>
                <c:pt idx="115">
                  <c:v>5.2503536681173517E-2</c:v>
                </c:pt>
                <c:pt idx="116">
                  <c:v>5.3643518403941222E-2</c:v>
                </c:pt>
                <c:pt idx="117">
                  <c:v>5.4762067811544156E-2</c:v>
                </c:pt>
                <c:pt idx="118">
                  <c:v>5.5760826119443968E-2</c:v>
                </c:pt>
                <c:pt idx="119">
                  <c:v>5.6679012329217696E-2</c:v>
                </c:pt>
                <c:pt idx="120">
                  <c:v>5.745365438002005E-2</c:v>
                </c:pt>
                <c:pt idx="121">
                  <c:v>5.8045878708991819E-2</c:v>
                </c:pt>
                <c:pt idx="122">
                  <c:v>5.8498379289285682E-2</c:v>
                </c:pt>
                <c:pt idx="123">
                  <c:v>5.8791085153110954E-2</c:v>
                </c:pt>
                <c:pt idx="124">
                  <c:v>5.8953040314830243E-2</c:v>
                </c:pt>
                <c:pt idx="125">
                  <c:v>5.8981871035830233E-2</c:v>
                </c:pt>
                <c:pt idx="126">
                  <c:v>5.890163317501261E-2</c:v>
                </c:pt>
                <c:pt idx="127">
                  <c:v>5.8704150338228782E-2</c:v>
                </c:pt>
                <c:pt idx="128">
                  <c:v>5.841325257051521E-2</c:v>
                </c:pt>
                <c:pt idx="129">
                  <c:v>5.8019076981594087E-2</c:v>
                </c:pt>
                <c:pt idx="130">
                  <c:v>5.7556176869378986E-2</c:v>
                </c:pt>
                <c:pt idx="131">
                  <c:v>5.7003222516921297E-2</c:v>
                </c:pt>
                <c:pt idx="132">
                  <c:v>5.6384107110789172E-2</c:v>
                </c:pt>
                <c:pt idx="133">
                  <c:v>5.5731191896366765E-2</c:v>
                </c:pt>
                <c:pt idx="134">
                  <c:v>5.5010479484908753E-2</c:v>
                </c:pt>
                <c:pt idx="135">
                  <c:v>5.4277590063775576E-2</c:v>
                </c:pt>
                <c:pt idx="136">
                  <c:v>5.3493194640854343E-2</c:v>
                </c:pt>
                <c:pt idx="137">
                  <c:v>5.2690965507017906E-2</c:v>
                </c:pt>
                <c:pt idx="138">
                  <c:v>5.1959187780708453E-2</c:v>
                </c:pt>
                <c:pt idx="139">
                  <c:v>5.1150069383153557E-2</c:v>
                </c:pt>
                <c:pt idx="140">
                  <c:v>5.037703836683928E-2</c:v>
                </c:pt>
                <c:pt idx="141">
                  <c:v>4.959808962267645E-2</c:v>
                </c:pt>
                <c:pt idx="142">
                  <c:v>4.8872600526492602E-2</c:v>
                </c:pt>
                <c:pt idx="143">
                  <c:v>4.8161735426946871E-2</c:v>
                </c:pt>
                <c:pt idx="144">
                  <c:v>4.7500000003722349E-2</c:v>
                </c:pt>
                <c:pt idx="145">
                  <c:v>4.6913826818649675E-2</c:v>
                </c:pt>
                <c:pt idx="146">
                  <c:v>4.6364136400112284E-2</c:v>
                </c:pt>
                <c:pt idx="147">
                  <c:v>4.588450624966349E-2</c:v>
                </c:pt>
                <c:pt idx="148">
                  <c:v>4.5440990332511387E-2</c:v>
                </c:pt>
                <c:pt idx="149">
                  <c:v>4.5048427445656007E-2</c:v>
                </c:pt>
                <c:pt idx="150">
                  <c:v>4.4735965542029223E-2</c:v>
                </c:pt>
                <c:pt idx="151">
                  <c:v>4.4434783850793844E-2</c:v>
                </c:pt>
                <c:pt idx="152">
                  <c:v>4.4186255508346706E-2</c:v>
                </c:pt>
                <c:pt idx="153">
                  <c:v>4.3971841267859857E-2</c:v>
                </c:pt>
                <c:pt idx="154">
                  <c:v>4.3803487911615854E-2</c:v>
                </c:pt>
                <c:pt idx="155">
                  <c:v>4.3668001185036734E-2</c:v>
                </c:pt>
                <c:pt idx="156">
                  <c:v>4.3569620659667727E-2</c:v>
                </c:pt>
                <c:pt idx="157">
                  <c:v>4.3507836630990109E-2</c:v>
                </c:pt>
                <c:pt idx="158">
                  <c:v>4.3476559461831432E-2</c:v>
                </c:pt>
                <c:pt idx="159">
                  <c:v>4.3475920637839546E-2</c:v>
                </c:pt>
                <c:pt idx="160">
                  <c:v>4.3503906884905318E-2</c:v>
                </c:pt>
                <c:pt idx="161">
                  <c:v>4.3559006103379136E-2</c:v>
                </c:pt>
                <c:pt idx="162">
                  <c:v>4.3633302479378251E-2</c:v>
                </c:pt>
                <c:pt idx="163">
                  <c:v>4.3735126470117132E-2</c:v>
                </c:pt>
                <c:pt idx="164">
                  <c:v>4.3853842524553967E-2</c:v>
                </c:pt>
                <c:pt idx="165">
                  <c:v>4.3995394352553251E-2</c:v>
                </c:pt>
                <c:pt idx="166">
                  <c:v>4.4148763191489297E-2</c:v>
                </c:pt>
                <c:pt idx="167">
                  <c:v>4.4322202930669866E-2</c:v>
                </c:pt>
                <c:pt idx="168">
                  <c:v>4.4508843495145681E-2</c:v>
                </c:pt>
                <c:pt idx="169">
                  <c:v>4.4700125225047779E-2</c:v>
                </c:pt>
                <c:pt idx="170">
                  <c:v>4.4906829534089171E-2</c:v>
                </c:pt>
                <c:pt idx="171">
                  <c:v>4.5113734275398068E-2</c:v>
                </c:pt>
                <c:pt idx="172">
                  <c:v>4.5332662393508423E-2</c:v>
                </c:pt>
                <c:pt idx="173">
                  <c:v>4.555479811304973E-2</c:v>
                </c:pt>
                <c:pt idx="174">
                  <c:v>4.5756509632204866E-2</c:v>
                </c:pt>
                <c:pt idx="175">
                  <c:v>4.5979156198004703E-2</c:v>
                </c:pt>
                <c:pt idx="176">
                  <c:v>4.6192098419715492E-2</c:v>
                </c:pt>
                <c:pt idx="177">
                  <c:v>4.6407561750722817E-2</c:v>
                </c:pt>
                <c:pt idx="178">
                  <c:v>4.6609758928577376E-2</c:v>
                </c:pt>
                <c:pt idx="179">
                  <c:v>4.6810199080491409E-2</c:v>
                </c:pt>
                <c:pt idx="180">
                  <c:v>4.7000000000050744E-2</c:v>
                </c:pt>
                <c:pt idx="181">
                  <c:v>4.7171987611510598E-2</c:v>
                </c:pt>
                <c:pt idx="182">
                  <c:v>4.7337506809296374E-2</c:v>
                </c:pt>
                <c:pt idx="183">
                  <c:v>4.7486129000862076E-2</c:v>
                </c:pt>
                <c:pt idx="184">
                  <c:v>4.7628023583817181E-2</c:v>
                </c:pt>
                <c:pt idx="185">
                  <c:v>4.7758310500971748E-2</c:v>
                </c:pt>
                <c:pt idx="186">
                  <c:v>4.7866235244797939E-2</c:v>
                </c:pt>
                <c:pt idx="187">
                  <c:v>4.7975171726627457E-2</c:v>
                </c:pt>
                <c:pt idx="188">
                  <c:v>4.8070281311948508E-2</c:v>
                </c:pt>
                <c:pt idx="189">
                  <c:v>4.8158165883934838E-2</c:v>
                </c:pt>
                <c:pt idx="190">
                  <c:v>4.8233405539970416E-2</c:v>
                </c:pt>
                <c:pt idx="191">
                  <c:v>4.8301277504600622E-2</c:v>
                </c:pt>
                <c:pt idx="192">
                  <c:v>4.8359377417346291E-2</c:v>
                </c:pt>
                <c:pt idx="193">
                  <c:v>4.840655167120117E-2</c:v>
                </c:pt>
                <c:pt idx="194">
                  <c:v>4.8446206454026315E-2</c:v>
                </c:pt>
                <c:pt idx="195">
                  <c:v>4.8476033465781318E-2</c:v>
                </c:pt>
                <c:pt idx="196">
                  <c:v>4.8498282418274058E-2</c:v>
                </c:pt>
                <c:pt idx="197">
                  <c:v>4.8512084082197968E-2</c:v>
                </c:pt>
                <c:pt idx="198">
                  <c:v>4.8517512740029738E-2</c:v>
                </c:pt>
                <c:pt idx="199">
                  <c:v>4.8515978863340803E-2</c:v>
                </c:pt>
                <c:pt idx="200">
                  <c:v>4.8507190740222812E-2</c:v>
                </c:pt>
                <c:pt idx="201">
                  <c:v>4.8490823738577521E-2</c:v>
                </c:pt>
                <c:pt idx="202">
                  <c:v>4.8468183869554142E-2</c:v>
                </c:pt>
                <c:pt idx="203">
                  <c:v>4.8438023048635828E-2</c:v>
                </c:pt>
                <c:pt idx="204">
                  <c:v>4.8401250550672036E-2</c:v>
                </c:pt>
                <c:pt idx="205">
                  <c:v>4.8359621880612762E-2</c:v>
                </c:pt>
                <c:pt idx="206">
                  <c:v>4.8310623039321557E-2</c:v>
                </c:pt>
                <c:pt idx="207">
                  <c:v>4.825766531035984E-2</c:v>
                </c:pt>
                <c:pt idx="208">
                  <c:v>4.8197479431240781E-2</c:v>
                </c:pt>
                <c:pt idx="209">
                  <c:v>4.8132006628551327E-2</c:v>
                </c:pt>
                <c:pt idx="210">
                  <c:v>4.8066209359872956E-2</c:v>
                </c:pt>
                <c:pt idx="211">
                  <c:v>4.7991266312780084E-2</c:v>
                </c:pt>
                <c:pt idx="212">
                  <c:v>4.7914454391254094E-2</c:v>
                </c:pt>
                <c:pt idx="213">
                  <c:v>4.7830914047973065E-2</c:v>
                </c:pt>
                <c:pt idx="214">
                  <c:v>4.7746285051139516E-2</c:v>
                </c:pt>
                <c:pt idx="215">
                  <c:v>4.7655186717157565E-2</c:v>
                </c:pt>
                <c:pt idx="216">
                  <c:v>4.756064572812678E-2</c:v>
                </c:pt>
                <c:pt idx="217">
                  <c:v>4.7466129405020284E-2</c:v>
                </c:pt>
                <c:pt idx="218">
                  <c:v>4.7365597901182145E-2</c:v>
                </c:pt>
                <c:pt idx="219">
                  <c:v>4.7265787194122978E-2</c:v>
                </c:pt>
                <c:pt idx="220">
                  <c:v>4.7160304474424111E-2</c:v>
                </c:pt>
                <c:pt idx="221">
                  <c:v>4.7052703864388729E-2</c:v>
                </c:pt>
                <c:pt idx="222">
                  <c:v>4.6953919106486386E-2</c:v>
                </c:pt>
                <c:pt idx="223">
                  <c:v>4.68430292207975E-2</c:v>
                </c:pt>
                <c:pt idx="224">
                  <c:v>4.6734439130142733E-2</c:v>
                </c:pt>
                <c:pt idx="225">
                  <c:v>4.662117073794661E-2</c:v>
                </c:pt>
                <c:pt idx="226">
                  <c:v>4.6510781758882819E-2</c:v>
                </c:pt>
                <c:pt idx="227">
                  <c:v>4.6396174166063821E-2</c:v>
                </c:pt>
                <c:pt idx="228">
                  <c:v>4.6281284290151992E-2</c:v>
                </c:pt>
                <c:pt idx="229">
                  <c:v>4.6170084584038332E-2</c:v>
                </c:pt>
                <c:pt idx="230">
                  <c:v>4.6055422979654169E-2</c:v>
                </c:pt>
                <c:pt idx="231">
                  <c:v>4.5944947070943029E-2</c:v>
                </c:pt>
                <c:pt idx="232">
                  <c:v>4.5831553046424521E-2</c:v>
                </c:pt>
                <c:pt idx="233">
                  <c:v>4.5719201493069801E-2</c:v>
                </c:pt>
                <c:pt idx="234">
                  <c:v>4.5618841962195025E-2</c:v>
                </c:pt>
                <c:pt idx="235">
                  <c:v>4.5509216031540185E-2</c:v>
                </c:pt>
                <c:pt idx="236">
                  <c:v>4.5404858212802823E-2</c:v>
                </c:pt>
                <c:pt idx="237">
                  <c:v>4.5299072563816933E-2</c:v>
                </c:pt>
                <c:pt idx="238">
                  <c:v>4.5198934037603895E-2</c:v>
                </c:pt>
                <c:pt idx="239">
                  <c:v>4.5098027976704591E-2</c:v>
                </c:pt>
                <c:pt idx="240">
                  <c:v>4.4999999999596196E-2</c:v>
                </c:pt>
                <c:pt idx="241">
                  <c:v>4.4908078940163625E-2</c:v>
                </c:pt>
                <c:pt idx="242">
                  <c:v>4.48161394391643E-2</c:v>
                </c:pt>
                <c:pt idx="243">
                  <c:v>4.47300645487533E-2</c:v>
                </c:pt>
                <c:pt idx="244">
                  <c:v>4.4644065239027052E-2</c:v>
                </c:pt>
                <c:pt idx="245">
                  <c:v>4.456100741138979E-2</c:v>
                </c:pt>
                <c:pt idx="246">
                  <c:v>4.4488472376630638E-2</c:v>
                </c:pt>
                <c:pt idx="247">
                  <c:v>4.4410868938176751E-2</c:v>
                </c:pt>
                <c:pt idx="248">
                  <c:v>4.4338426050431048E-2</c:v>
                </c:pt>
                <c:pt idx="249">
                  <c:v>4.4266263492233338E-2</c:v>
                </c:pt>
                <c:pt idx="250">
                  <c:v>4.4198988373460632E-2</c:v>
                </c:pt>
                <c:pt idx="251">
                  <c:v>4.4132064986880395E-2</c:v>
                </c:pt>
                <c:pt idx="252">
                  <c:v>4.4067726833811181E-2</c:v>
                </c:pt>
                <c:pt idx="253">
                  <c:v>4.4007876517331859E-2</c:v>
                </c:pt>
                <c:pt idx="254">
                  <c:v>4.3948473320868472E-2</c:v>
                </c:pt>
                <c:pt idx="255">
                  <c:v>4.3893301172089769E-2</c:v>
                </c:pt>
                <c:pt idx="256">
                  <c:v>4.3838631227969826E-2</c:v>
                </c:pt>
                <c:pt idx="257">
                  <c:v>4.3786289402158146E-2</c:v>
                </c:pt>
                <c:pt idx="258">
                  <c:v>4.3739385993095424E-2</c:v>
                </c:pt>
                <c:pt idx="259">
                  <c:v>4.3691402223846425E-2</c:v>
                </c:pt>
                <c:pt idx="260">
                  <c:v>4.3647037936604453E-2</c:v>
                </c:pt>
                <c:pt idx="261">
                  <c:v>4.3603284806512314E-2</c:v>
                </c:pt>
                <c:pt idx="262">
                  <c:v>4.3562917082314023E-2</c:v>
                </c:pt>
                <c:pt idx="263">
                  <c:v>4.3523192880385086E-2</c:v>
                </c:pt>
                <c:pt idx="264">
                  <c:v>4.3485438867069674E-2</c:v>
                </c:pt>
                <c:pt idx="265">
                  <c:v>4.3450729542650848E-2</c:v>
                </c:pt>
                <c:pt idx="266">
                  <c:v>4.3416700244525264E-2</c:v>
                </c:pt>
                <c:pt idx="267">
                  <c:v>4.3385497879363952E-2</c:v>
                </c:pt>
                <c:pt idx="268">
                  <c:v>4.3354991587617214E-2</c:v>
                </c:pt>
                <c:pt idx="269">
                  <c:v>4.3326198378025531E-2</c:v>
                </c:pt>
                <c:pt idx="270">
                  <c:v>4.3301620702449486E-2</c:v>
                </c:pt>
                <c:pt idx="271">
                  <c:v>4.3275943948522667E-2</c:v>
                </c:pt>
                <c:pt idx="272">
                  <c:v>4.3252583091979116E-2</c:v>
                </c:pt>
                <c:pt idx="273">
                  <c:v>4.3229930039467415E-2</c:v>
                </c:pt>
                <c:pt idx="274">
                  <c:v>4.3209397741305701E-2</c:v>
                </c:pt>
                <c:pt idx="275">
                  <c:v>4.3189566681360488E-2</c:v>
                </c:pt>
                <c:pt idx="276">
                  <c:v>4.3171092443501785E-2</c:v>
                </c:pt>
                <c:pt idx="277">
                  <c:v>4.3154456962370108E-2</c:v>
                </c:pt>
                <c:pt idx="278">
                  <c:v>4.3138500504006111E-2</c:v>
                </c:pt>
                <c:pt idx="279">
                  <c:v>4.312420398175236E-2</c:v>
                </c:pt>
                <c:pt idx="280">
                  <c:v>4.3110563594016209E-2</c:v>
                </c:pt>
                <c:pt idx="281">
                  <c:v>4.3098022921836766E-2</c:v>
                </c:pt>
                <c:pt idx="282">
                  <c:v>4.3087597766059076E-2</c:v>
                </c:pt>
                <c:pt idx="283">
                  <c:v>4.3077006186335587E-2</c:v>
                </c:pt>
                <c:pt idx="284">
                  <c:v>4.3067659885113838E-2</c:v>
                </c:pt>
                <c:pt idx="285">
                  <c:v>4.3058885066504113E-2</c:v>
                </c:pt>
                <c:pt idx="286">
                  <c:v>4.3051199320915036E-2</c:v>
                </c:pt>
                <c:pt idx="287">
                  <c:v>4.3044039558977502E-2</c:v>
                </c:pt>
                <c:pt idx="288">
                  <c:v>4.3037623263565382E-2</c:v>
                </c:pt>
                <c:pt idx="289">
                  <c:v>4.3032072751865276E-2</c:v>
                </c:pt>
                <c:pt idx="290">
                  <c:v>4.3026967293351037E-2</c:v>
                </c:pt>
                <c:pt idx="291">
                  <c:v>4.3022587739933602E-2</c:v>
                </c:pt>
                <c:pt idx="292">
                  <c:v>4.3018591416090192E-2</c:v>
                </c:pt>
                <c:pt idx="293">
                  <c:v>4.3015081445553528E-2</c:v>
                </c:pt>
                <c:pt idx="294">
                  <c:v>4.3012285856050367E-2</c:v>
                </c:pt>
                <c:pt idx="295">
                  <c:v>4.3009557612385445E-2</c:v>
                </c:pt>
                <c:pt idx="296">
                  <c:v>4.3007236989791094E-2</c:v>
                </c:pt>
                <c:pt idx="297">
                  <c:v>4.3005118569025669E-2</c:v>
                </c:pt>
                <c:pt idx="298">
                  <c:v>4.3003290499197926E-2</c:v>
                </c:pt>
                <c:pt idx="299">
                  <c:v>4.3001580199101434E-2</c:v>
                </c:pt>
                <c:pt idx="300">
                  <c:v>4.3000000001040574E-2</c:v>
                </c:pt>
                <c:pt idx="301">
                  <c:v>4.2998553253433644E-2</c:v>
                </c:pt>
                <c:pt idx="302">
                  <c:v>4.299713375946413E-2</c:v>
                </c:pt>
                <c:pt idx="303">
                  <c:v>4.299583186425246E-2</c:v>
                </c:pt>
                <c:pt idx="304">
                  <c:v>4.2994559491964346E-2</c:v>
                </c:pt>
                <c:pt idx="305">
                  <c:v>4.2993359914466386E-2</c:v>
                </c:pt>
                <c:pt idx="306">
                  <c:v>4.2992302462667976E-2</c:v>
                </c:pt>
                <c:pt idx="307">
                  <c:v>4.2991240032650806E-2</c:v>
                </c:pt>
                <c:pt idx="308">
                  <c:v>4.2990277502292257E-2</c:v>
                </c:pt>
                <c:pt idx="309">
                  <c:v>4.2989349415344651E-2</c:v>
                </c:pt>
                <c:pt idx="310">
                  <c:v>4.2988514417976957E-2</c:v>
                </c:pt>
                <c:pt idx="311">
                  <c:v>4.2987715551551987E-2</c:v>
                </c:pt>
                <c:pt idx="312">
                  <c:v>4.2986980393891136E-2</c:v>
                </c:pt>
                <c:pt idx="313">
                  <c:v>4.2986328358270771E-2</c:v>
                </c:pt>
                <c:pt idx="314">
                  <c:v>4.2985714691793159E-2</c:v>
                </c:pt>
                <c:pt idx="315">
                  <c:v>4.2985177750278498E-2</c:v>
                </c:pt>
                <c:pt idx="316">
                  <c:v>4.298468044799629E-2</c:v>
                </c:pt>
                <c:pt idx="317">
                  <c:v>4.2984240321954047E-2</c:v>
                </c:pt>
                <c:pt idx="318">
                  <c:v>4.2983890825248172E-2</c:v>
                </c:pt>
                <c:pt idx="319">
                  <c:v>4.2983555854637916E-2</c:v>
                </c:pt>
                <c:pt idx="320">
                  <c:v>4.2983282476715845E-2</c:v>
                </c:pt>
                <c:pt idx="321">
                  <c:v>4.2983051182726863E-2</c:v>
                </c:pt>
                <c:pt idx="322">
                  <c:v>4.2982875663882432E-2</c:v>
                </c:pt>
                <c:pt idx="323">
                  <c:v>4.2982742926188158E-2</c:v>
                </c:pt>
                <c:pt idx="324">
                  <c:v>4.2982658307573376E-2</c:v>
                </c:pt>
                <c:pt idx="325">
                  <c:v>4.2982620990917479E-2</c:v>
                </c:pt>
                <c:pt idx="326">
                  <c:v>4.29826271970375E-2</c:v>
                </c:pt>
                <c:pt idx="327">
                  <c:v>4.2982675293912649E-2</c:v>
                </c:pt>
                <c:pt idx="328">
                  <c:v>4.2982767202220475E-2</c:v>
                </c:pt>
                <c:pt idx="329">
                  <c:v>4.2982900697083597E-2</c:v>
                </c:pt>
                <c:pt idx="330">
                  <c:v>4.2983055914477049E-2</c:v>
                </c:pt>
                <c:pt idx="331">
                  <c:v>4.2983264904181341E-2</c:v>
                </c:pt>
                <c:pt idx="332">
                  <c:v>4.2983503103727866E-2</c:v>
                </c:pt>
                <c:pt idx="333">
                  <c:v>4.2983785103604864E-2</c:v>
                </c:pt>
                <c:pt idx="334">
                  <c:v>4.2984091479433814E-2</c:v>
                </c:pt>
                <c:pt idx="335">
                  <c:v>4.2984441369156946E-2</c:v>
                </c:pt>
                <c:pt idx="336">
                  <c:v>4.2984823792715725E-2</c:v>
                </c:pt>
                <c:pt idx="337">
                  <c:v>4.2985223613394498E-2</c:v>
                </c:pt>
                <c:pt idx="338">
                  <c:v>4.2985666197459901E-2</c:v>
                </c:pt>
                <c:pt idx="339">
                  <c:v>4.2986121755535775E-2</c:v>
                </c:pt>
                <c:pt idx="340">
                  <c:v>4.2986619368679028E-2</c:v>
                </c:pt>
                <c:pt idx="341">
                  <c:v>4.2987142987574591E-2</c:v>
                </c:pt>
                <c:pt idx="342">
                  <c:v>4.2987637181245576E-2</c:v>
                </c:pt>
                <c:pt idx="343">
                  <c:v>4.2988206634391402E-2</c:v>
                </c:pt>
                <c:pt idx="344">
                  <c:v>4.2988778825335403E-2</c:v>
                </c:pt>
                <c:pt idx="345">
                  <c:v>4.298939062220529E-2</c:v>
                </c:pt>
                <c:pt idx="346">
                  <c:v>4.2990001317738634E-2</c:v>
                </c:pt>
                <c:pt idx="347">
                  <c:v>4.2990650333565111E-2</c:v>
                </c:pt>
                <c:pt idx="348">
                  <c:v>4.2991316304644693E-2</c:v>
                </c:pt>
                <c:pt idx="349">
                  <c:v>4.2991975678807373E-2</c:v>
                </c:pt>
                <c:pt idx="350">
                  <c:v>4.2992671139504057E-2</c:v>
                </c:pt>
                <c:pt idx="351">
                  <c:v>4.2993356574929885E-2</c:v>
                </c:pt>
                <c:pt idx="352">
                  <c:v>4.2994076404917099E-2</c:v>
                </c:pt>
                <c:pt idx="353">
                  <c:v>4.2994806646531006E-2</c:v>
                </c:pt>
                <c:pt idx="354">
                  <c:v>4.2995498034946955E-2</c:v>
                </c:pt>
                <c:pt idx="355">
                  <c:v>4.2996244681145643E-2</c:v>
                </c:pt>
                <c:pt idx="356">
                  <c:v>4.2996973475034797E-2</c:v>
                </c:pt>
                <c:pt idx="357">
                  <c:v>4.2997731718573226E-2</c:v>
                </c:pt>
                <c:pt idx="358">
                  <c:v>4.2998469254320784E-2</c:v>
                </c:pt>
                <c:pt idx="359">
                  <c:v>4.2999233965990626E-2</c:v>
                </c:pt>
                <c:pt idx="360">
                  <c:v>4.2999999883357433E-2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FF-4DF4-A5F3-0640229F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60640"/>
        <c:axId val="184162560"/>
      </c:scatterChart>
      <c:scatterChart>
        <c:scatterStyle val="lineMarker"/>
        <c:varyColors val="0"/>
        <c:ser>
          <c:idx val="5"/>
          <c:order val="4"/>
          <c:tx>
            <c:strRef>
              <c:f>'YieldCurve (2)'!$I$25</c:f>
              <c:strCache>
                <c:ptCount val="1"/>
                <c:pt idx="0">
                  <c:v>Zero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(2)'!$I$26:$I$386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FF-4DF4-A5F3-0640229FCFC3}"/>
            </c:ext>
          </c:extLst>
        </c:ser>
        <c:ser>
          <c:idx val="4"/>
          <c:order val="5"/>
          <c:tx>
            <c:strRef>
              <c:f>'YieldCurve (2)'!$H$25</c:f>
              <c:strCache>
                <c:ptCount val="1"/>
                <c:pt idx="0">
                  <c:v>dP/dz_10y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'YieldCurve (2)'!$C$26:$C$386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(2)'!$H$26:$H$386</c:f>
              <c:numCache>
                <c:formatCode>0.0000</c:formatCode>
                <c:ptCount val="361"/>
                <c:pt idx="0">
                  <c:v>0</c:v>
                </c:pt>
                <c:pt idx="1">
                  <c:v>2.9939184464922164E-8</c:v>
                </c:pt>
                <c:pt idx="2">
                  <c:v>1.2218661638030426E-7</c:v>
                </c:pt>
                <c:pt idx="3">
                  <c:v>2.6661229890478921E-7</c:v>
                </c:pt>
                <c:pt idx="4">
                  <c:v>4.6587617097415546E-7</c:v>
                </c:pt>
                <c:pt idx="5">
                  <c:v>7.0626426929010222E-7</c:v>
                </c:pt>
                <c:pt idx="6">
                  <c:v>9.4842409481543655E-7</c:v>
                </c:pt>
                <c:pt idx="7">
                  <c:v>1.2304689156472648E-6</c:v>
                </c:pt>
                <c:pt idx="8">
                  <c:v>1.5014390841727732E-6</c:v>
                </c:pt>
                <c:pt idx="9">
                  <c:v>1.7599715240734781E-6</c:v>
                </c:pt>
                <c:pt idx="10">
                  <c:v>1.9684626151317275E-6</c:v>
                </c:pt>
                <c:pt idx="11">
                  <c:v>2.1165498687025774E-6</c:v>
                </c:pt>
                <c:pt idx="12">
                  <c:v>2.1690870211088509E-6</c:v>
                </c:pt>
                <c:pt idx="13">
                  <c:v>2.101478502325449E-6</c:v>
                </c:pt>
                <c:pt idx="14">
                  <c:v>1.8861441852813243E-6</c:v>
                </c:pt>
                <c:pt idx="15">
                  <c:v>1.5267383468575701E-6</c:v>
                </c:pt>
                <c:pt idx="16">
                  <c:v>1.0015126838958111E-6</c:v>
                </c:pt>
                <c:pt idx="17">
                  <c:v>3.3525180409554878E-7</c:v>
                </c:pt>
                <c:pt idx="18">
                  <c:v>-3.9059030454424715E-7</c:v>
                </c:pt>
                <c:pt idx="19">
                  <c:v>-1.2371475843764301E-6</c:v>
                </c:pt>
                <c:pt idx="20">
                  <c:v>-2.0764054253774589E-6</c:v>
                </c:pt>
                <c:pt idx="21">
                  <c:v>-2.8999333934187632E-6</c:v>
                </c:pt>
                <c:pt idx="22">
                  <c:v>-3.5814466170513981E-6</c:v>
                </c:pt>
                <c:pt idx="23">
                  <c:v>-4.0780584797950326E-6</c:v>
                </c:pt>
                <c:pt idx="24">
                  <c:v>-4.2618348961021013E-6</c:v>
                </c:pt>
                <c:pt idx="25">
                  <c:v>-4.0359490416363997E-6</c:v>
                </c:pt>
                <c:pt idx="26">
                  <c:v>-3.2942190086870937E-6</c:v>
                </c:pt>
                <c:pt idx="27">
                  <c:v>-2.0411616730164894E-6</c:v>
                </c:pt>
                <c:pt idx="28">
                  <c:v>-1.9590116195900009E-7</c:v>
                </c:pt>
                <c:pt idx="29">
                  <c:v>2.1575568220910668E-6</c:v>
                </c:pt>
                <c:pt idx="30">
                  <c:v>4.6375882689630998E-6</c:v>
                </c:pt>
                <c:pt idx="31">
                  <c:v>7.6408569360530976E-6</c:v>
                </c:pt>
                <c:pt idx="32">
                  <c:v>1.0629411506535291E-5</c:v>
                </c:pt>
                <c:pt idx="33">
                  <c:v>1.3570536105955711E-5</c:v>
                </c:pt>
                <c:pt idx="34">
                  <c:v>1.6009656300663977E-5</c:v>
                </c:pt>
                <c:pt idx="35">
                  <c:v>1.7788558492881634E-5</c:v>
                </c:pt>
                <c:pt idx="36">
                  <c:v>1.8443008964474927E-5</c:v>
                </c:pt>
                <c:pt idx="37">
                  <c:v>1.7619435832560981E-5</c:v>
                </c:pt>
                <c:pt idx="38">
                  <c:v>1.492988227491665E-5</c:v>
                </c:pt>
                <c:pt idx="39">
                  <c:v>1.0388723326038019E-5</c:v>
                </c:pt>
                <c:pt idx="40">
                  <c:v>3.7013664133667135E-6</c:v>
                </c:pt>
                <c:pt idx="41">
                  <c:v>-4.828594746264514E-6</c:v>
                </c:pt>
                <c:pt idx="42">
                  <c:v>-1.3818138211441067E-5</c:v>
                </c:pt>
                <c:pt idx="43">
                  <c:v>-2.4704941314901419E-5</c:v>
                </c:pt>
                <c:pt idx="44">
                  <c:v>-3.553858343163796E-5</c:v>
                </c:pt>
                <c:pt idx="45">
                  <c:v>-4.6199876047037236E-5</c:v>
                </c:pt>
                <c:pt idx="46">
                  <c:v>-5.5040461521826956E-5</c:v>
                </c:pt>
                <c:pt idx="47">
                  <c:v>-6.1486443092562126E-5</c:v>
                </c:pt>
                <c:pt idx="48">
                  <c:v>-6.3855268472856608E-5</c:v>
                </c:pt>
                <c:pt idx="49">
                  <c:v>-6.0866522166858061E-5</c:v>
                </c:pt>
                <c:pt idx="50">
                  <c:v>-5.1116123844785477E-5</c:v>
                </c:pt>
                <c:pt idx="51">
                  <c:v>-3.4659873948683639E-5</c:v>
                </c:pt>
                <c:pt idx="52">
                  <c:v>-1.0434855401975085E-5</c:v>
                </c:pt>
                <c:pt idx="53">
                  <c:v>2.0453573079670662E-5</c:v>
                </c:pt>
                <c:pt idx="54">
                  <c:v>5.2993861154870814E-5</c:v>
                </c:pt>
                <c:pt idx="55">
                  <c:v>9.2385139738304645E-5</c:v>
                </c:pt>
                <c:pt idx="56">
                  <c:v>1.3156446578843628E-4</c:v>
                </c:pt>
                <c:pt idx="57">
                  <c:v>1.7009711877902234E-4</c:v>
                </c:pt>
                <c:pt idx="58">
                  <c:v>2.0202304379379754E-4</c:v>
                </c:pt>
                <c:pt idx="59">
                  <c:v>2.2526776585207742E-4</c:v>
                </c:pt>
                <c:pt idx="60">
                  <c:v>2.3375731164065883E-4</c:v>
                </c:pt>
                <c:pt idx="61">
                  <c:v>2.228791482150605E-4</c:v>
                </c:pt>
                <c:pt idx="62">
                  <c:v>1.8756807232955808E-4</c:v>
                </c:pt>
                <c:pt idx="63">
                  <c:v>1.2804052684778355E-4</c:v>
                </c:pt>
                <c:pt idx="64">
                  <c:v>4.0454328820160868E-5</c:v>
                </c:pt>
                <c:pt idx="65">
                  <c:v>-7.1202232143630084E-5</c:v>
                </c:pt>
                <c:pt idx="66">
                  <c:v>-1.9326976949951558E-4</c:v>
                </c:pt>
                <c:pt idx="67">
                  <c:v>-3.3599847677479033E-4</c:v>
                </c:pt>
                <c:pt idx="68">
                  <c:v>-4.7774255896859685E-4</c:v>
                </c:pt>
                <c:pt idx="69">
                  <c:v>-6.1695536882622193E-4</c:v>
                </c:pt>
                <c:pt idx="70">
                  <c:v>-7.3213919729031574E-4</c:v>
                </c:pt>
                <c:pt idx="71">
                  <c:v>-8.1585303264297693E-4</c:v>
                </c:pt>
                <c:pt idx="72">
                  <c:v>-8.4625198419896464E-4</c:v>
                </c:pt>
                <c:pt idx="73">
                  <c:v>-8.0680183410786199E-4</c:v>
                </c:pt>
                <c:pt idx="74">
                  <c:v>-6.7934334152530695E-4</c:v>
                </c:pt>
                <c:pt idx="75">
                  <c:v>-4.648068791079929E-4</c:v>
                </c:pt>
                <c:pt idx="76">
                  <c:v>-1.4951027532683625E-4</c:v>
                </c:pt>
                <c:pt idx="77">
                  <c:v>2.5198798910830433E-4</c:v>
                </c:pt>
                <c:pt idx="78">
                  <c:v>6.744942684488997E-4</c:v>
                </c:pt>
                <c:pt idx="79">
                  <c:v>1.1854205331895962E-3</c:v>
                </c:pt>
                <c:pt idx="80">
                  <c:v>1.6930464217579377E-3</c:v>
                </c:pt>
                <c:pt idx="81">
                  <c:v>2.1917058544485002E-3</c:v>
                </c:pt>
                <c:pt idx="82">
                  <c:v>2.6042661196989947E-3</c:v>
                </c:pt>
                <c:pt idx="83">
                  <c:v>2.9039333682034929E-3</c:v>
                </c:pt>
                <c:pt idx="84">
                  <c:v>3.0123225927436437E-3</c:v>
                </c:pt>
                <c:pt idx="85">
                  <c:v>2.8701312121071076E-3</c:v>
                </c:pt>
                <c:pt idx="86">
                  <c:v>2.4122296507833596E-3</c:v>
                </c:pt>
                <c:pt idx="87">
                  <c:v>1.6421346656914082E-3</c:v>
                </c:pt>
                <c:pt idx="88">
                  <c:v>5.1092489188331314E-4</c:v>
                </c:pt>
                <c:pt idx="89">
                  <c:v>-9.2894235697027483E-4</c:v>
                </c:pt>
                <c:pt idx="90">
                  <c:v>-2.443565530474423E-3</c:v>
                </c:pt>
                <c:pt idx="91">
                  <c:v>-4.2744402907857193E-3</c:v>
                </c:pt>
                <c:pt idx="92">
                  <c:v>-6.0926988017517836E-3</c:v>
                </c:pt>
                <c:pt idx="93">
                  <c:v>-7.8779555894525899E-3</c:v>
                </c:pt>
                <c:pt idx="94">
                  <c:v>-9.354027275210175E-3</c:v>
                </c:pt>
                <c:pt idx="95">
                  <c:v>-1.0425031795624484E-2</c:v>
                </c:pt>
                <c:pt idx="96">
                  <c:v>-1.0810636886426916E-2</c:v>
                </c:pt>
                <c:pt idx="97">
                  <c:v>-1.0299073591368835E-2</c:v>
                </c:pt>
                <c:pt idx="98">
                  <c:v>-8.6576119193271239E-3</c:v>
                </c:pt>
                <c:pt idx="99">
                  <c:v>-5.8996217995987976E-3</c:v>
                </c:pt>
                <c:pt idx="100">
                  <c:v>-1.8505056829654087E-3</c:v>
                </c:pt>
                <c:pt idx="101">
                  <c:v>3.3014080131898993E-3</c:v>
                </c:pt>
                <c:pt idx="102">
                  <c:v>8.7191108302131504E-3</c:v>
                </c:pt>
                <c:pt idx="103">
                  <c:v>1.5266135353486643E-2</c:v>
                </c:pt>
                <c:pt idx="104">
                  <c:v>2.1766076589346817E-2</c:v>
                </c:pt>
                <c:pt idx="105">
                  <c:v>2.8145806122270578E-2</c:v>
                </c:pt>
                <c:pt idx="106">
                  <c:v>3.3418090310011195E-2</c:v>
                </c:pt>
                <c:pt idx="107">
                  <c:v>3.7240088803969229E-2</c:v>
                </c:pt>
                <c:pt idx="108">
                  <c:v>3.8610507316705345E-2</c:v>
                </c:pt>
                <c:pt idx="109">
                  <c:v>3.6765747580635999E-2</c:v>
                </c:pt>
                <c:pt idx="110">
                  <c:v>3.0758283860021773E-2</c:v>
                </c:pt>
                <c:pt idx="111">
                  <c:v>2.0338334431990734E-2</c:v>
                </c:pt>
                <c:pt idx="112">
                  <c:v>4.3127942058629465E-3</c:v>
                </c:pt>
                <c:pt idx="113">
                  <c:v>-1.7395086047933273E-2</c:v>
                </c:pt>
                <c:pt idx="114">
                  <c:v>-4.3003246683526175E-2</c:v>
                </c:pt>
                <c:pt idx="115">
                  <c:v>-7.6056766446297441E-2</c:v>
                </c:pt>
                <c:pt idx="116">
                  <c:v>-0.11349835504589345</c:v>
                </c:pt>
                <c:pt idx="117">
                  <c:v>-0.15753253566599401</c:v>
                </c:pt>
                <c:pt idx="118">
                  <c:v>-0.20489730540842466</c:v>
                </c:pt>
                <c:pt idx="119">
                  <c:v>-0.25816592048711895</c:v>
                </c:pt>
                <c:pt idx="120">
                  <c:v>-0.31509246855268014</c:v>
                </c:pt>
                <c:pt idx="121">
                  <c:v>-0.37283833459236249</c:v>
                </c:pt>
                <c:pt idx="122">
                  <c:v>-0.43436301742850736</c:v>
                </c:pt>
                <c:pt idx="123">
                  <c:v>-0.49490053209138019</c:v>
                </c:pt>
                <c:pt idx="124">
                  <c:v>-0.5577200765243151</c:v>
                </c:pt>
                <c:pt idx="125">
                  <c:v>-0.62009483581945135</c:v>
                </c:pt>
                <c:pt idx="126">
                  <c:v>-0.67550434335705845</c:v>
                </c:pt>
                <c:pt idx="127">
                  <c:v>-0.73527471615060236</c:v>
                </c:pt>
                <c:pt idx="128">
                  <c:v>-0.79105423419999488</c:v>
                </c:pt>
                <c:pt idx="129">
                  <c:v>-0.84610022813149666</c:v>
                </c:pt>
                <c:pt idx="130">
                  <c:v>-0.89647471340166263</c:v>
                </c:pt>
                <c:pt idx="131">
                  <c:v>-0.94518800879818121</c:v>
                </c:pt>
                <c:pt idx="132">
                  <c:v>-0.99020834694050208</c:v>
                </c:pt>
                <c:pt idx="133">
                  <c:v>-1.0300279793260203</c:v>
                </c:pt>
                <c:pt idx="134">
                  <c:v>-1.0671136678860882</c:v>
                </c:pt>
                <c:pt idx="135">
                  <c:v>-1.098941151063737</c:v>
                </c:pt>
                <c:pt idx="136">
                  <c:v>-1.1275438324764075</c:v>
                </c:pt>
                <c:pt idx="137">
                  <c:v>-1.1517497243544339</c:v>
                </c:pt>
                <c:pt idx="138">
                  <c:v>-1.1698389549117283</c:v>
                </c:pt>
                <c:pt idx="139">
                  <c:v>-1.1857361661728461</c:v>
                </c:pt>
                <c:pt idx="140">
                  <c:v>-1.1970771580665951</c:v>
                </c:pt>
                <c:pt idx="141">
                  <c:v>-1.2047560790849898</c:v>
                </c:pt>
                <c:pt idx="142">
                  <c:v>-1.2084507087999241</c:v>
                </c:pt>
                <c:pt idx="143">
                  <c:v>-1.2086303020785505</c:v>
                </c:pt>
                <c:pt idx="144">
                  <c:v>-1.2053809091886358</c:v>
                </c:pt>
                <c:pt idx="145">
                  <c:v>-1.1992645578373762</c:v>
                </c:pt>
                <c:pt idx="146">
                  <c:v>-1.1901894924312484</c:v>
                </c:pt>
                <c:pt idx="147">
                  <c:v>-1.1790319130837945</c:v>
                </c:pt>
                <c:pt idx="148">
                  <c:v>-1.1653373603769168</c:v>
                </c:pt>
                <c:pt idx="149">
                  <c:v>-1.1497220589696822</c:v>
                </c:pt>
                <c:pt idx="150">
                  <c:v>-1.1341907719004896</c:v>
                </c:pt>
                <c:pt idx="151">
                  <c:v>-1.1156505831488195</c:v>
                </c:pt>
                <c:pt idx="152">
                  <c:v>-1.0965835778149247</c:v>
                </c:pt>
                <c:pt idx="153">
                  <c:v>-1.0759417390219683</c:v>
                </c:pt>
                <c:pt idx="154">
                  <c:v>-1.0552583361947199</c:v>
                </c:pt>
                <c:pt idx="155">
                  <c:v>-1.0333526862148723</c:v>
                </c:pt>
                <c:pt idx="156">
                  <c:v>-1.0110945542263883</c:v>
                </c:pt>
                <c:pt idx="157">
                  <c:v>-0.98938731180919781</c:v>
                </c:pt>
                <c:pt idx="158">
                  <c:v>-0.96694613956777031</c:v>
                </c:pt>
                <c:pt idx="159">
                  <c:v>-0.94536324480382072</c:v>
                </c:pt>
                <c:pt idx="160">
                  <c:v>-0.9233393132539236</c:v>
                </c:pt>
                <c:pt idx="161">
                  <c:v>-0.90172878466693307</c:v>
                </c:pt>
                <c:pt idx="162">
                  <c:v>-0.88199368078595297</c:v>
                </c:pt>
                <c:pt idx="163">
                  <c:v>-0.8615157660350703</c:v>
                </c:pt>
                <c:pt idx="164">
                  <c:v>-0.84239779646124724</c:v>
                </c:pt>
                <c:pt idx="165">
                  <c:v>-0.82345114283451926</c:v>
                </c:pt>
                <c:pt idx="166">
                  <c:v>-0.80597058067048977</c:v>
                </c:pt>
                <c:pt idx="167">
                  <c:v>-0.78885629612621688</c:v>
                </c:pt>
                <c:pt idx="168">
                  <c:v>-0.77276299250966796</c:v>
                </c:pt>
                <c:pt idx="169">
                  <c:v>-0.75820524978472692</c:v>
                </c:pt>
                <c:pt idx="170">
                  <c:v>-0.74424866499573916</c:v>
                </c:pt>
                <c:pt idx="171">
                  <c:v>-0.73181920131776268</c:v>
                </c:pt>
                <c:pt idx="172">
                  <c:v>-0.72010563798152738</c:v>
                </c:pt>
                <c:pt idx="173">
                  <c:v>-0.7095491841397128</c:v>
                </c:pt>
                <c:pt idx="174">
                  <c:v>-0.70100840038521683</c:v>
                </c:pt>
                <c:pt idx="175">
                  <c:v>-0.69264434690408105</c:v>
                </c:pt>
                <c:pt idx="176">
                  <c:v>-0.68562590179003235</c:v>
                </c:pt>
                <c:pt idx="177">
                  <c:v>-0.6794591151747964</c:v>
                </c:pt>
                <c:pt idx="178">
                  <c:v>-0.67450897529102161</c:v>
                </c:pt>
                <c:pt idx="179">
                  <c:v>-0.67040301878201758</c:v>
                </c:pt>
                <c:pt idx="180">
                  <c:v>-0.66727150000651658</c:v>
                </c:pt>
                <c:pt idx="181">
                  <c:v>-0.66511278813845554</c:v>
                </c:pt>
                <c:pt idx="182">
                  <c:v>-0.66372212018306342</c:v>
                </c:pt>
                <c:pt idx="183">
                  <c:v>-0.66313241622957264</c:v>
                </c:pt>
                <c:pt idx="184">
                  <c:v>-0.66324693000692214</c:v>
                </c:pt>
                <c:pt idx="185">
                  <c:v>-0.66404074138639579</c:v>
                </c:pt>
                <c:pt idx="186">
                  <c:v>-0.66529570791142856</c:v>
                </c:pt>
                <c:pt idx="187">
                  <c:v>-0.66723166374206277</c:v>
                </c:pt>
                <c:pt idx="188">
                  <c:v>-0.66960509981942584</c:v>
                </c:pt>
                <c:pt idx="189">
                  <c:v>-0.67252591340035695</c:v>
                </c:pt>
                <c:pt idx="190">
                  <c:v>-0.67576109223974612</c:v>
                </c:pt>
                <c:pt idx="191">
                  <c:v>-0.67948149286314319</c:v>
                </c:pt>
                <c:pt idx="192">
                  <c:v>-0.68354166563407981</c:v>
                </c:pt>
                <c:pt idx="193">
                  <c:v>-0.68775431051681934</c:v>
                </c:pt>
                <c:pt idx="194">
                  <c:v>-0.69236055258756757</c:v>
                </c:pt>
                <c:pt idx="195">
                  <c:v>-0.69702676703476962</c:v>
                </c:pt>
                <c:pt idx="196">
                  <c:v>-0.70202757366002455</c:v>
                </c:pt>
                <c:pt idx="197">
                  <c:v>-0.70717493751548677</c:v>
                </c:pt>
                <c:pt idx="198">
                  <c:v>-0.7119216629303482</c:v>
                </c:pt>
                <c:pt idx="199">
                  <c:v>-0.71725482317589462</c:v>
                </c:pt>
                <c:pt idx="200">
                  <c:v>-0.72246547535332883</c:v>
                </c:pt>
                <c:pt idx="201">
                  <c:v>-0.72787215612692968</c:v>
                </c:pt>
                <c:pt idx="202">
                  <c:v>-0.73309984174003695</c:v>
                </c:pt>
                <c:pt idx="203">
                  <c:v>-0.73847110584722708</c:v>
                </c:pt>
                <c:pt idx="204">
                  <c:v>-0.74378627310670575</c:v>
                </c:pt>
                <c:pt idx="205">
                  <c:v>-0.74885419104076534</c:v>
                </c:pt>
                <c:pt idx="206">
                  <c:v>-0.75399096816675115</c:v>
                </c:pt>
                <c:pt idx="207">
                  <c:v>-0.75884565825328765</c:v>
                </c:pt>
                <c:pt idx="208">
                  <c:v>-0.76372280649245616</c:v>
                </c:pt>
                <c:pt idx="209">
                  <c:v>-0.76844021267888918</c:v>
                </c:pt>
                <c:pt idx="210">
                  <c:v>-0.77269359580515729</c:v>
                </c:pt>
                <c:pt idx="211">
                  <c:v>-0.77705474081058434</c:v>
                </c:pt>
                <c:pt idx="212">
                  <c:v>-0.78107927911097441</c:v>
                </c:pt>
                <c:pt idx="213">
                  <c:v>-0.78502260557985482</c:v>
                </c:pt>
                <c:pt idx="214">
                  <c:v>-0.78861908001128245</c:v>
                </c:pt>
                <c:pt idx="215">
                  <c:v>-0.79209788463194264</c:v>
                </c:pt>
                <c:pt idx="216">
                  <c:v>-0.79532564351051938</c:v>
                </c:pt>
                <c:pt idx="217">
                  <c:v>-0.79820218414713984</c:v>
                </c:pt>
                <c:pt idx="218">
                  <c:v>-0.80091203384768939</c:v>
                </c:pt>
                <c:pt idx="219">
                  <c:v>-0.8032744506596301</c:v>
                </c:pt>
                <c:pt idx="220">
                  <c:v>-0.80544179602035082</c:v>
                </c:pt>
                <c:pt idx="221">
                  <c:v>-0.80732666581432855</c:v>
                </c:pt>
                <c:pt idx="222">
                  <c:v>-0.80878367442861476</c:v>
                </c:pt>
                <c:pt idx="223">
                  <c:v>-0.81012301628057837</c:v>
                </c:pt>
                <c:pt idx="224">
                  <c:v>-0.81114411782961526</c:v>
                </c:pt>
                <c:pt idx="225">
                  <c:v>-0.81191479688517698</c:v>
                </c:pt>
                <c:pt idx="226">
                  <c:v>-0.81238597641077326</c:v>
                </c:pt>
                <c:pt idx="227">
                  <c:v>-0.81259065170066758</c:v>
                </c:pt>
                <c:pt idx="228">
                  <c:v>-0.81251101415238391</c:v>
                </c:pt>
                <c:pt idx="229">
                  <c:v>-0.81216649148159181</c:v>
                </c:pt>
                <c:pt idx="230">
                  <c:v>-0.81153833811215548</c:v>
                </c:pt>
                <c:pt idx="231">
                  <c:v>-0.81067192681962275</c:v>
                </c:pt>
                <c:pt idx="232">
                  <c:v>-0.80951538438125969</c:v>
                </c:pt>
                <c:pt idx="233">
                  <c:v>-0.8081001203441518</c:v>
                </c:pt>
                <c:pt idx="234">
                  <c:v>-0.80660583431740873</c:v>
                </c:pt>
                <c:pt idx="235">
                  <c:v>-0.80472012988959674</c:v>
                </c:pt>
                <c:pt idx="236">
                  <c:v>-0.8026722384432694</c:v>
                </c:pt>
                <c:pt idx="237">
                  <c:v>-0.80033536950220308</c:v>
                </c:pt>
                <c:pt idx="238">
                  <c:v>-0.79787030903274991</c:v>
                </c:pt>
                <c:pt idx="239">
                  <c:v>-0.79512390560475543</c:v>
                </c:pt>
                <c:pt idx="240">
                  <c:v>-0.79218715315486077</c:v>
                </c:pt>
                <c:pt idx="241">
                  <c:v>-0.78917603476600928</c:v>
                </c:pt>
                <c:pt idx="242">
                  <c:v>-0.78590249751406827</c:v>
                </c:pt>
                <c:pt idx="243">
                  <c:v>-0.78258953891571226</c:v>
                </c:pt>
                <c:pt idx="244">
                  <c:v>-0.77902822384797732</c:v>
                </c:pt>
                <c:pt idx="245">
                  <c:v>-0.77533844425871634</c:v>
                </c:pt>
                <c:pt idx="246">
                  <c:v>-0.77190485216641624</c:v>
                </c:pt>
                <c:pt idx="247">
                  <c:v>-0.76800187156709221</c:v>
                </c:pt>
                <c:pt idx="248">
                  <c:v>-0.76413297540496306</c:v>
                </c:pt>
                <c:pt idx="249">
                  <c:v>-0.76005027968369943</c:v>
                </c:pt>
                <c:pt idx="250">
                  <c:v>-0.75602644979967937</c:v>
                </c:pt>
                <c:pt idx="251">
                  <c:v>-0.75180255343200719</c:v>
                </c:pt>
                <c:pt idx="252">
                  <c:v>-0.74752075353449743</c:v>
                </c:pt>
                <c:pt idx="253">
                  <c:v>-0.74333029018288088</c:v>
                </c:pt>
                <c:pt idx="254">
                  <c:v>-0.7389600808513086</c:v>
                </c:pt>
                <c:pt idx="255">
                  <c:v>-0.73469968222507065</c:v>
                </c:pt>
                <c:pt idx="256">
                  <c:v>-0.73027268681658541</c:v>
                </c:pt>
                <c:pt idx="257">
                  <c:v>-0.72582811766428446</c:v>
                </c:pt>
                <c:pt idx="258">
                  <c:v>-0.72166073608684322</c:v>
                </c:pt>
                <c:pt idx="259">
                  <c:v>-0.71720221522833527</c:v>
                </c:pt>
                <c:pt idx="260">
                  <c:v>-0.71288986486536254</c:v>
                </c:pt>
                <c:pt idx="261">
                  <c:v>-0.70844225423288276</c:v>
                </c:pt>
                <c:pt idx="262">
                  <c:v>-0.70415184078603255</c:v>
                </c:pt>
                <c:pt idx="263">
                  <c:v>-0.69973806512586001</c:v>
                </c:pt>
                <c:pt idx="264">
                  <c:v>-0.69534952552827156</c:v>
                </c:pt>
                <c:pt idx="265">
                  <c:v>-0.69113131578093512</c:v>
                </c:pt>
                <c:pt idx="266">
                  <c:v>-0.68680683444846125</c:v>
                </c:pt>
                <c:pt idx="267">
                  <c:v>-0.68265923287636476</c:v>
                </c:pt>
                <c:pt idx="268">
                  <c:v>-0.67841607249037872</c:v>
                </c:pt>
                <c:pt idx="269">
                  <c:v>-0.6742201694239669</c:v>
                </c:pt>
                <c:pt idx="270">
                  <c:v>-0.67047396863642028</c:v>
                </c:pt>
                <c:pt idx="271">
                  <c:v>-0.66637782466708595</c:v>
                </c:pt>
                <c:pt idx="272">
                  <c:v>-0.66246812421622558</c:v>
                </c:pt>
                <c:pt idx="273">
                  <c:v>-0.65848701634528273</c:v>
                </c:pt>
                <c:pt idx="274">
                  <c:v>-0.65469378882881957</c:v>
                </c:pt>
                <c:pt idx="275">
                  <c:v>-0.6508378706383211</c:v>
                </c:pt>
                <c:pt idx="276">
                  <c:v>-0.6470488542162256</c:v>
                </c:pt>
                <c:pt idx="277">
                  <c:v>-0.64344754420681549</c:v>
                </c:pt>
                <c:pt idx="278">
                  <c:v>-0.639795462940701</c:v>
                </c:pt>
                <c:pt idx="279">
                  <c:v>-0.63632955435586891</c:v>
                </c:pt>
                <c:pt idx="280">
                  <c:v>-0.63281992212111948</c:v>
                </c:pt>
                <c:pt idx="281">
                  <c:v>-0.62938423462179927</c:v>
                </c:pt>
                <c:pt idx="282">
                  <c:v>-0.62634521874811999</c:v>
                </c:pt>
                <c:pt idx="283">
                  <c:v>-0.62305215604336883</c:v>
                </c:pt>
                <c:pt idx="284">
                  <c:v>-0.61993722647286087</c:v>
                </c:pt>
                <c:pt idx="285">
                  <c:v>-0.61679289373485768</c:v>
                </c:pt>
                <c:pt idx="286">
                  <c:v>-0.6138219477520912</c:v>
                </c:pt>
                <c:pt idx="287">
                  <c:v>-0.61082605651842092</c:v>
                </c:pt>
                <c:pt idx="288">
                  <c:v>-0.60790499592479619</c:v>
                </c:pt>
                <c:pt idx="289">
                  <c:v>-0.60514878161033736</c:v>
                </c:pt>
                <c:pt idx="290">
                  <c:v>-0.60237282796720137</c:v>
                </c:pt>
                <c:pt idx="291">
                  <c:v>-0.59975525253258</c:v>
                </c:pt>
                <c:pt idx="292">
                  <c:v>-0.59712035183616119</c:v>
                </c:pt>
                <c:pt idx="293">
                  <c:v>-0.59455512703204816</c:v>
                </c:pt>
                <c:pt idx="294">
                  <c:v>-0.59229671780551829</c:v>
                </c:pt>
                <c:pt idx="295">
                  <c:v>-0.58985955948761548</c:v>
                </c:pt>
                <c:pt idx="296">
                  <c:v>-0.58756252170011902</c:v>
                </c:pt>
                <c:pt idx="297">
                  <c:v>-0.585250433544654</c:v>
                </c:pt>
                <c:pt idx="298">
                  <c:v>-0.58307036119479294</c:v>
                </c:pt>
                <c:pt idx="299">
                  <c:v>-0.5808746152395905</c:v>
                </c:pt>
                <c:pt idx="300">
                  <c:v>-0.57873425198522455</c:v>
                </c:pt>
                <c:pt idx="301">
                  <c:v>-0.57671310192859426</c:v>
                </c:pt>
                <c:pt idx="302">
                  <c:v>-0.57467373346730688</c:v>
                </c:pt>
                <c:pt idx="303">
                  <c:v>-0.57274520512327065</c:v>
                </c:pt>
                <c:pt idx="304">
                  <c:v>-0.57079639329832843</c:v>
                </c:pt>
                <c:pt idx="305">
                  <c:v>-0.56888977833732812</c:v>
                </c:pt>
                <c:pt idx="306">
                  <c:v>-0.56714217288577617</c:v>
                </c:pt>
                <c:pt idx="307">
                  <c:v>-0.56531024341272551</c:v>
                </c:pt>
                <c:pt idx="308">
                  <c:v>-0.56357086507468623</c:v>
                </c:pt>
                <c:pt idx="309">
                  <c:v>-0.56180586333887117</c:v>
                </c:pt>
                <c:pt idx="310">
                  <c:v>-0.56012705053661849</c:v>
                </c:pt>
                <c:pt idx="311">
                  <c:v>-0.55842041937205211</c:v>
                </c:pt>
                <c:pt idx="312">
                  <c:v>-0.55674033594083627</c:v>
                </c:pt>
                <c:pt idx="313">
                  <c:v>-0.5551378289398945</c:v>
                </c:pt>
                <c:pt idx="314">
                  <c:v>-0.55350416668135116</c:v>
                </c:pt>
                <c:pt idx="315">
                  <c:v>-0.55194298817543008</c:v>
                </c:pt>
                <c:pt idx="316">
                  <c:v>-0.55034843759296792</c:v>
                </c:pt>
                <c:pt idx="317">
                  <c:v>-0.54877111432363734</c:v>
                </c:pt>
                <c:pt idx="318">
                  <c:v>-0.54735982337233979</c:v>
                </c:pt>
                <c:pt idx="319">
                  <c:v>-0.54581062792127821</c:v>
                </c:pt>
                <c:pt idx="320">
                  <c:v>-0.54432326981794232</c:v>
                </c:pt>
                <c:pt idx="321">
                  <c:v>-0.54279709867671166</c:v>
                </c:pt>
                <c:pt idx="322">
                  <c:v>-0.54132920044208666</c:v>
                </c:pt>
                <c:pt idx="323">
                  <c:v>-0.5398203311436478</c:v>
                </c:pt>
                <c:pt idx="324">
                  <c:v>-0.5383181990898267</c:v>
                </c:pt>
                <c:pt idx="325">
                  <c:v>-0.53686970115138233</c:v>
                </c:pt>
                <c:pt idx="326">
                  <c:v>-0.53537704528931473</c:v>
                </c:pt>
                <c:pt idx="327">
                  <c:v>-0.53393540764041791</c:v>
                </c:pt>
                <c:pt idx="328">
                  <c:v>-0.53244755481484662</c:v>
                </c:pt>
                <c:pt idx="329">
                  <c:v>-0.5309604796550571</c:v>
                </c:pt>
                <c:pt idx="330">
                  <c:v>-0.52961710631552195</c:v>
                </c:pt>
                <c:pt idx="331">
                  <c:v>-0.52812864310758934</c:v>
                </c:pt>
                <c:pt idx="332">
                  <c:v>-0.5266861646083254</c:v>
                </c:pt>
                <c:pt idx="333">
                  <c:v>-0.52519261938182571</c:v>
                </c:pt>
                <c:pt idx="334">
                  <c:v>-0.52374356086002383</c:v>
                </c:pt>
                <c:pt idx="335">
                  <c:v>-0.52224159010126336</c:v>
                </c:pt>
                <c:pt idx="336">
                  <c:v>-0.52073417103611352</c:v>
                </c:pt>
                <c:pt idx="337">
                  <c:v>-0.51926950735904365</c:v>
                </c:pt>
                <c:pt idx="338">
                  <c:v>-0.5177492920314275</c:v>
                </c:pt>
                <c:pt idx="339">
                  <c:v>-0.51627100968337225</c:v>
                </c:pt>
                <c:pt idx="340">
                  <c:v>-0.51473552965567992</c:v>
                </c:pt>
                <c:pt idx="341">
                  <c:v>-0.51319145234323127</c:v>
                </c:pt>
                <c:pt idx="342">
                  <c:v>-0.51178898741673362</c:v>
                </c:pt>
                <c:pt idx="343">
                  <c:v>-0.51022717365656889</c:v>
                </c:pt>
                <c:pt idx="344">
                  <c:v>-0.50870625895969024</c:v>
                </c:pt>
                <c:pt idx="345">
                  <c:v>-0.50712446790954213</c:v>
                </c:pt>
                <c:pt idx="346">
                  <c:v>-0.50558352309445498</c:v>
                </c:pt>
                <c:pt idx="347">
                  <c:v>-0.50398038908950893</c:v>
                </c:pt>
                <c:pt idx="348">
                  <c:v>-0.50236598013508327</c:v>
                </c:pt>
                <c:pt idx="349">
                  <c:v>-0.5007926885310876</c:v>
                </c:pt>
                <c:pt idx="350">
                  <c:v>-0.49915543137401541</c:v>
                </c:pt>
                <c:pt idx="351">
                  <c:v>-0.49755968320645549</c:v>
                </c:pt>
                <c:pt idx="352">
                  <c:v>-0.4958989332685404</c:v>
                </c:pt>
                <c:pt idx="353">
                  <c:v>-0.49422608449127825</c:v>
                </c:pt>
                <c:pt idx="354">
                  <c:v>-0.49265015308542215</c:v>
                </c:pt>
                <c:pt idx="355">
                  <c:v>-0.49095374191094887</c:v>
                </c:pt>
                <c:pt idx="356">
                  <c:v>-0.48930045258648858</c:v>
                </c:pt>
                <c:pt idx="357">
                  <c:v>-0.48758010074144154</c:v>
                </c:pt>
                <c:pt idx="358">
                  <c:v>-0.48590373983211643</c:v>
                </c:pt>
                <c:pt idx="359">
                  <c:v>-0.48415970865551272</c:v>
                </c:pt>
                <c:pt idx="360">
                  <c:v>-0.48240382092220591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EFF-4DF4-A5F3-0640229F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166272"/>
        <c:axId val="184164736"/>
      </c:scatterChart>
      <c:valAx>
        <c:axId val="184160640"/>
        <c:scaling>
          <c:orientation val="minMax"/>
          <c:max val="30.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 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4162560"/>
        <c:crosses val="autoZero"/>
        <c:crossBetween val="midCat"/>
      </c:valAx>
      <c:valAx>
        <c:axId val="184162560"/>
        <c:scaling>
          <c:orientation val="minMax"/>
          <c:max val="6.0000000000000012E-2"/>
          <c:min val="2.0000000000000004E-2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84160640"/>
        <c:crosses val="autoZero"/>
        <c:crossBetween val="midCat"/>
        <c:majorUnit val="1.0000000000000002E-2"/>
      </c:valAx>
      <c:valAx>
        <c:axId val="184164736"/>
        <c:scaling>
          <c:orientation val="minMax"/>
        </c:scaling>
        <c:delete val="0"/>
        <c:axPos val="r"/>
        <c:numFmt formatCode="#,##0.0" sourceLinked="0"/>
        <c:majorTickMark val="out"/>
        <c:minorTickMark val="none"/>
        <c:tickLblPos val="nextTo"/>
        <c:crossAx val="184166272"/>
        <c:crosses val="max"/>
        <c:crossBetween val="midCat"/>
      </c:valAx>
      <c:valAx>
        <c:axId val="184166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84164736"/>
        <c:crosses val="autoZero"/>
        <c:crossBetween val="midCat"/>
      </c:valAx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4"/>
        <c:delete val="1"/>
      </c:legendEntry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'YieldCurve (3)'!$F$7</c:f>
              <c:strCache>
                <c:ptCount val="1"/>
                <c:pt idx="0">
                  <c:v>Data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'YieldCurve (3)'!$D$8:$D$23</c:f>
              <c:numCache>
                <c:formatCode>0.00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5.0027397260273974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9.0054794520547947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25.016438356164382</c:v>
                </c:pt>
                <c:pt idx="15">
                  <c:v>30.021917808219179</c:v>
                </c:pt>
              </c:numCache>
            </c:numRef>
          </c:xVal>
          <c:yVal>
            <c:numRef>
              <c:f>'YieldCurve (3)'!$F$8:$F$23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3.3550207724486067E-2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4.5013696545744039E-2</c:v>
                </c:pt>
                <c:pt idx="10">
                  <c:v>5.7453654391084498E-2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62-4BD0-8AB6-6AFA8DC3CF57}"/>
            </c:ext>
          </c:extLst>
        </c:ser>
        <c:ser>
          <c:idx val="0"/>
          <c:order val="1"/>
          <c:tx>
            <c:strRef>
              <c:f>'YieldCurve (3)'!$D$26</c:f>
              <c:strCache>
                <c:ptCount val="1"/>
                <c:pt idx="0">
                  <c:v>Linear</c:v>
                </c:pt>
              </c:strCache>
            </c:strRef>
          </c:tx>
          <c:marker>
            <c:symbol val="none"/>
          </c:marker>
          <c:xVal>
            <c:numRef>
              <c:f>'YieldCurve (3)'!$C$27:$C$387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(3)'!$D$27:$D$387</c:f>
              <c:numCache>
                <c:formatCode>0.00%</c:formatCode>
                <c:ptCount val="361"/>
                <c:pt idx="0">
                  <c:v>2.7000000001030824E-2</c:v>
                </c:pt>
                <c:pt idx="1">
                  <c:v>2.6999999998810389E-2</c:v>
                </c:pt>
                <c:pt idx="2">
                  <c:v>2.6999999998810389E-2</c:v>
                </c:pt>
                <c:pt idx="3">
                  <c:v>2.6999999998810389E-2</c:v>
                </c:pt>
                <c:pt idx="4">
                  <c:v>2.7000000001030824E-2</c:v>
                </c:pt>
                <c:pt idx="5">
                  <c:v>2.6999999998810389E-2</c:v>
                </c:pt>
                <c:pt idx="6">
                  <c:v>2.6999999998810389E-2</c:v>
                </c:pt>
                <c:pt idx="7">
                  <c:v>2.6999999998810389E-2</c:v>
                </c:pt>
                <c:pt idx="8">
                  <c:v>2.6999999998810389E-2</c:v>
                </c:pt>
                <c:pt idx="9">
                  <c:v>2.6999999998810389E-2</c:v>
                </c:pt>
                <c:pt idx="10">
                  <c:v>2.7000000001030824E-2</c:v>
                </c:pt>
                <c:pt idx="11">
                  <c:v>2.7000000001030824E-2</c:v>
                </c:pt>
                <c:pt idx="12">
                  <c:v>2.7000006233806058E-2</c:v>
                </c:pt>
                <c:pt idx="13">
                  <c:v>2.704098360671154E-2</c:v>
                </c:pt>
                <c:pt idx="14">
                  <c:v>2.708333333351538E-2</c:v>
                </c:pt>
                <c:pt idx="15">
                  <c:v>2.7124316938854566E-2</c:v>
                </c:pt>
                <c:pt idx="16">
                  <c:v>2.7166666667525926E-2</c:v>
                </c:pt>
                <c:pt idx="17">
                  <c:v>2.7209016393797501E-2</c:v>
                </c:pt>
                <c:pt idx="18">
                  <c:v>2.7248633879573714E-2</c:v>
                </c:pt>
                <c:pt idx="19">
                  <c:v>2.7290983605498156E-2</c:v>
                </c:pt>
                <c:pt idx="20">
                  <c:v>2.7331967214427197E-2</c:v>
                </c:pt>
                <c:pt idx="21">
                  <c:v>2.7374316939998727E-2</c:v>
                </c:pt>
                <c:pt idx="22">
                  <c:v>2.7415300546365796E-2</c:v>
                </c:pt>
                <c:pt idx="23">
                  <c:v>2.7457650271584411E-2</c:v>
                </c:pt>
                <c:pt idx="24">
                  <c:v>2.7500000016607632E-2</c:v>
                </c:pt>
                <c:pt idx="25">
                  <c:v>2.7541095890123109E-2</c:v>
                </c:pt>
                <c:pt idx="26">
                  <c:v>2.7583561643897241E-2</c:v>
                </c:pt>
                <c:pt idx="27">
                  <c:v>2.7624657534832831E-2</c:v>
                </c:pt>
                <c:pt idx="28">
                  <c:v>2.7667123288252108E-2</c:v>
                </c:pt>
                <c:pt idx="29">
                  <c:v>2.770958904149105E-2</c:v>
                </c:pt>
                <c:pt idx="30">
                  <c:v>2.7747945206626275E-2</c:v>
                </c:pt>
                <c:pt idx="31">
                  <c:v>2.7790410959522005E-2</c:v>
                </c:pt>
                <c:pt idx="32">
                  <c:v>2.7831506849607526E-2</c:v>
                </c:pt>
                <c:pt idx="33">
                  <c:v>2.7873972602148404E-2</c:v>
                </c:pt>
                <c:pt idx="34">
                  <c:v>2.7915068494110962E-2</c:v>
                </c:pt>
                <c:pt idx="35">
                  <c:v>2.7957534246296989E-2</c:v>
                </c:pt>
                <c:pt idx="36">
                  <c:v>2.8000018878702574E-2</c:v>
                </c:pt>
                <c:pt idx="37">
                  <c:v>2.8165227854213968E-2</c:v>
                </c:pt>
                <c:pt idx="38">
                  <c:v>2.8335963301714107E-2</c:v>
                </c:pt>
                <c:pt idx="39">
                  <c:v>2.850119115429478E-2</c:v>
                </c:pt>
                <c:pt idx="40">
                  <c:v>2.8671926602720155E-2</c:v>
                </c:pt>
                <c:pt idx="41">
                  <c:v>2.8842662050450909E-2</c:v>
                </c:pt>
                <c:pt idx="42">
                  <c:v>2.8996874713420176E-2</c:v>
                </c:pt>
                <c:pt idx="43">
                  <c:v>2.9167610162264233E-2</c:v>
                </c:pt>
                <c:pt idx="44">
                  <c:v>2.9332838016646864E-2</c:v>
                </c:pt>
                <c:pt idx="45">
                  <c:v>2.9503573464195715E-2</c:v>
                </c:pt>
                <c:pt idx="46">
                  <c:v>2.9668801315247736E-2</c:v>
                </c:pt>
                <c:pt idx="47">
                  <c:v>2.9839536765942257E-2</c:v>
                </c:pt>
                <c:pt idx="48">
                  <c:v>3.0010291333925274E-2</c:v>
                </c:pt>
                <c:pt idx="49">
                  <c:v>3.0301225816836551E-2</c:v>
                </c:pt>
                <c:pt idx="50">
                  <c:v>3.0601877874931231E-2</c:v>
                </c:pt>
                <c:pt idx="51">
                  <c:v>3.0892831476376149E-2</c:v>
                </c:pt>
                <c:pt idx="52">
                  <c:v>3.1193483536668034E-2</c:v>
                </c:pt>
                <c:pt idx="53">
                  <c:v>3.1494135592361638E-2</c:v>
                </c:pt>
                <c:pt idx="54">
                  <c:v>3.1765692289870369E-2</c:v>
                </c:pt>
                <c:pt idx="55">
                  <c:v>3.2066344346123911E-2</c:v>
                </c:pt>
                <c:pt idx="56">
                  <c:v>3.2357297949368431E-2</c:v>
                </c:pt>
                <c:pt idx="57">
                  <c:v>3.2657950007819167E-2</c:v>
                </c:pt>
                <c:pt idx="58">
                  <c:v>3.2948903609393787E-2</c:v>
                </c:pt>
                <c:pt idx="59">
                  <c:v>3.3249555667821291E-2</c:v>
                </c:pt>
                <c:pt idx="60">
                  <c:v>3.3550203476171901E-2</c:v>
                </c:pt>
                <c:pt idx="61">
                  <c:v>3.3813233291904575E-2</c:v>
                </c:pt>
                <c:pt idx="62">
                  <c:v>3.4085026378710061E-2</c:v>
                </c:pt>
                <c:pt idx="63">
                  <c:v>3.4348051943778782E-2</c:v>
                </c:pt>
                <c:pt idx="64">
                  <c:v>3.4619845029370898E-2</c:v>
                </c:pt>
                <c:pt idx="65">
                  <c:v>3.4891638116457617E-2</c:v>
                </c:pt>
                <c:pt idx="66">
                  <c:v>3.5145896164423797E-2</c:v>
                </c:pt>
                <c:pt idx="67">
                  <c:v>3.5417689248315003E-2</c:v>
                </c:pt>
                <c:pt idx="68">
                  <c:v>3.5680714816078735E-2</c:v>
                </c:pt>
                <c:pt idx="69">
                  <c:v>3.595250790097701E-2</c:v>
                </c:pt>
                <c:pt idx="70">
                  <c:v>3.6215533467996275E-2</c:v>
                </c:pt>
                <c:pt idx="71">
                  <c:v>3.6487326553901606E-2</c:v>
                </c:pt>
                <c:pt idx="72">
                  <c:v>3.6759116421666613E-2</c:v>
                </c:pt>
                <c:pt idx="73">
                  <c:v>3.7000983730680136E-2</c:v>
                </c:pt>
                <c:pt idx="74">
                  <c:v>3.725090995955161E-2</c:v>
                </c:pt>
                <c:pt idx="75">
                  <c:v>3.7492774048137736E-2</c:v>
                </c:pt>
                <c:pt idx="76">
                  <c:v>3.7742700275820273E-2</c:v>
                </c:pt>
                <c:pt idx="77">
                  <c:v>3.7992626503917805E-2</c:v>
                </c:pt>
                <c:pt idx="78">
                  <c:v>3.8218366323205938E-2</c:v>
                </c:pt>
                <c:pt idx="79">
                  <c:v>3.8468292550517522E-2</c:v>
                </c:pt>
                <c:pt idx="80">
                  <c:v>3.871015664074566E-2</c:v>
                </c:pt>
                <c:pt idx="81">
                  <c:v>3.8960082869088732E-2</c:v>
                </c:pt>
                <c:pt idx="82">
                  <c:v>3.9201946958524421E-2</c:v>
                </c:pt>
                <c:pt idx="83">
                  <c:v>3.9451873185678554E-2</c:v>
                </c:pt>
                <c:pt idx="84">
                  <c:v>3.9701796870847059E-2</c:v>
                </c:pt>
                <c:pt idx="85">
                  <c:v>3.9926933760668741E-2</c:v>
                </c:pt>
                <c:pt idx="86">
                  <c:v>4.0159572587673692E-2</c:v>
                </c:pt>
                <c:pt idx="87">
                  <c:v>4.0384706933670446E-2</c:v>
                </c:pt>
                <c:pt idx="88">
                  <c:v>4.0617345761128E-2</c:v>
                </c:pt>
                <c:pt idx="89">
                  <c:v>4.0849984585393892E-2</c:v>
                </c:pt>
                <c:pt idx="90">
                  <c:v>4.1060109976776421E-2</c:v>
                </c:pt>
                <c:pt idx="91">
                  <c:v>4.1292748801844095E-2</c:v>
                </c:pt>
                <c:pt idx="92">
                  <c:v>4.1517883151194847E-2</c:v>
                </c:pt>
                <c:pt idx="93">
                  <c:v>4.1750521976715117E-2</c:v>
                </c:pt>
                <c:pt idx="94">
                  <c:v>4.1975656324641571E-2</c:v>
                </c:pt>
                <c:pt idx="95">
                  <c:v>4.2208295150614444E-2</c:v>
                </c:pt>
                <c:pt idx="96">
                  <c:v>4.2440931897287433E-2</c:v>
                </c:pt>
                <c:pt idx="97">
                  <c:v>4.2652393911431323E-2</c:v>
                </c:pt>
                <c:pt idx="98">
                  <c:v>4.2870902514181505E-2</c:v>
                </c:pt>
                <c:pt idx="99">
                  <c:v>4.3082362452006785E-2</c:v>
                </c:pt>
                <c:pt idx="100">
                  <c:v>4.3300871054243538E-2</c:v>
                </c:pt>
                <c:pt idx="101">
                  <c:v>4.3519379656146565E-2</c:v>
                </c:pt>
                <c:pt idx="102">
                  <c:v>4.3716742263078236E-2</c:v>
                </c:pt>
                <c:pt idx="103">
                  <c:v>4.3935250864775857E-2</c:v>
                </c:pt>
                <c:pt idx="104">
                  <c:v>4.4146710804519235E-2</c:v>
                </c:pt>
                <c:pt idx="105">
                  <c:v>4.436521940570342E-2</c:v>
                </c:pt>
                <c:pt idx="106">
                  <c:v>4.4576679340795552E-2</c:v>
                </c:pt>
                <c:pt idx="107">
                  <c:v>4.479518794368674E-2</c:v>
                </c:pt>
                <c:pt idx="108">
                  <c:v>4.501381946070241E-2</c:v>
                </c:pt>
                <c:pt idx="109">
                  <c:v>4.6033365223455455E-2</c:v>
                </c:pt>
                <c:pt idx="110">
                  <c:v>4.7087022852593613E-2</c:v>
                </c:pt>
                <c:pt idx="111">
                  <c:v>4.810669152711524E-2</c:v>
                </c:pt>
                <c:pt idx="112">
                  <c:v>4.9160349162059767E-2</c:v>
                </c:pt>
                <c:pt idx="113">
                  <c:v>5.0214006792565748E-2</c:v>
                </c:pt>
                <c:pt idx="114">
                  <c:v>5.1199686512773006E-2</c:v>
                </c:pt>
                <c:pt idx="115">
                  <c:v>5.2253344143784825E-2</c:v>
                </c:pt>
                <c:pt idx="116">
                  <c:v>5.3273012822196791E-2</c:v>
                </c:pt>
                <c:pt idx="117">
                  <c:v>5.4326670452353565E-2</c:v>
                </c:pt>
                <c:pt idx="118">
                  <c:v>5.5346339128075753E-2</c:v>
                </c:pt>
                <c:pt idx="119">
                  <c:v>5.6399996759597872E-2</c:v>
                </c:pt>
                <c:pt idx="120">
                  <c:v>5.7453437103961121E-2</c:v>
                </c:pt>
                <c:pt idx="121">
                  <c:v>5.7044600099918435E-2</c:v>
                </c:pt>
                <c:pt idx="122">
                  <c:v>5.6621910667339813E-2</c:v>
                </c:pt>
                <c:pt idx="123">
                  <c:v>5.6212856377640126E-2</c:v>
                </c:pt>
                <c:pt idx="124">
                  <c:v>5.5790166943211074E-2</c:v>
                </c:pt>
                <c:pt idx="125">
                  <c:v>5.53674775108993E-2</c:v>
                </c:pt>
                <c:pt idx="126">
                  <c:v>5.4985693508065335E-2</c:v>
                </c:pt>
                <c:pt idx="127">
                  <c:v>5.4563004075055821E-2</c:v>
                </c:pt>
                <c:pt idx="128">
                  <c:v>5.4153949785512155E-2</c:v>
                </c:pt>
                <c:pt idx="129">
                  <c:v>5.3731260352872658E-2</c:v>
                </c:pt>
                <c:pt idx="130">
                  <c:v>5.3322206060392244E-2</c:v>
                </c:pt>
                <c:pt idx="131">
                  <c:v>5.2899516628122756E-2</c:v>
                </c:pt>
                <c:pt idx="132">
                  <c:v>5.2476827195750114E-2</c:v>
                </c:pt>
                <c:pt idx="133">
                  <c:v>5.2067772905246994E-2</c:v>
                </c:pt>
                <c:pt idx="134">
                  <c:v>5.1645083473244383E-2</c:v>
                </c:pt>
                <c:pt idx="135">
                  <c:v>5.1236029182024939E-2</c:v>
                </c:pt>
                <c:pt idx="136">
                  <c:v>5.0813339748171912E-2</c:v>
                </c:pt>
                <c:pt idx="137">
                  <c:v>5.0390650316436164E-2</c:v>
                </c:pt>
                <c:pt idx="138">
                  <c:v>5.0008866312331812E-2</c:v>
                </c:pt>
                <c:pt idx="139">
                  <c:v>4.9586176879898344E-2</c:v>
                </c:pt>
                <c:pt idx="140">
                  <c:v>4.9177122588834971E-2</c:v>
                </c:pt>
                <c:pt idx="141">
                  <c:v>4.875443315677154E-2</c:v>
                </c:pt>
                <c:pt idx="142">
                  <c:v>4.8345378864991864E-2</c:v>
                </c:pt>
                <c:pt idx="143">
                  <c:v>4.7922689433298464E-2</c:v>
                </c:pt>
                <c:pt idx="144">
                  <c:v>4.7500060128674873E-2</c:v>
                </c:pt>
                <c:pt idx="145">
                  <c:v>4.7486313867660938E-2</c:v>
                </c:pt>
                <c:pt idx="146">
                  <c:v>4.7472171534223874E-2</c:v>
                </c:pt>
                <c:pt idx="147">
                  <c:v>4.7458485400344808E-2</c:v>
                </c:pt>
                <c:pt idx="148">
                  <c:v>4.7444343066868386E-2</c:v>
                </c:pt>
                <c:pt idx="149">
                  <c:v>4.7430200728931095E-2</c:v>
                </c:pt>
                <c:pt idx="150">
                  <c:v>4.7417427007476982E-2</c:v>
                </c:pt>
                <c:pt idx="151">
                  <c:v>4.7403284669501625E-2</c:v>
                </c:pt>
                <c:pt idx="152">
                  <c:v>4.7389598537748712E-2</c:v>
                </c:pt>
                <c:pt idx="153">
                  <c:v>4.7375456204174875E-2</c:v>
                </c:pt>
                <c:pt idx="154">
                  <c:v>4.7361770074604313E-2</c:v>
                </c:pt>
                <c:pt idx="155">
                  <c:v>4.7347627738770687E-2</c:v>
                </c:pt>
                <c:pt idx="156">
                  <c:v>4.7333485400696616E-2</c:v>
                </c:pt>
                <c:pt idx="157">
                  <c:v>4.7319799271068615E-2</c:v>
                </c:pt>
                <c:pt idx="158">
                  <c:v>4.7305656935175633E-2</c:v>
                </c:pt>
                <c:pt idx="159">
                  <c:v>4.7291970803289111E-2</c:v>
                </c:pt>
                <c:pt idx="160">
                  <c:v>4.7277828465136326E-2</c:v>
                </c:pt>
                <c:pt idx="161">
                  <c:v>4.7263686131404421E-2</c:v>
                </c:pt>
                <c:pt idx="162">
                  <c:v>4.7250456203488819E-2</c:v>
                </c:pt>
                <c:pt idx="163">
                  <c:v>4.7236313867497763E-2</c:v>
                </c:pt>
                <c:pt idx="164">
                  <c:v>4.7222627737736771E-2</c:v>
                </c:pt>
                <c:pt idx="165">
                  <c:v>4.7208485401706364E-2</c:v>
                </c:pt>
                <c:pt idx="166">
                  <c:v>4.7194799269686852E-2</c:v>
                </c:pt>
                <c:pt idx="167">
                  <c:v>4.7180656933617081E-2</c:v>
                </c:pt>
                <c:pt idx="168">
                  <c:v>4.7166514599747751E-2</c:v>
                </c:pt>
                <c:pt idx="169">
                  <c:v>4.7152828467670799E-2</c:v>
                </c:pt>
                <c:pt idx="170">
                  <c:v>4.7138686131541679E-2</c:v>
                </c:pt>
                <c:pt idx="171">
                  <c:v>4.7124999999426632E-2</c:v>
                </c:pt>
                <c:pt idx="172">
                  <c:v>4.7110857663258149E-2</c:v>
                </c:pt>
                <c:pt idx="173">
                  <c:v>4.7096715329290106E-2</c:v>
                </c:pt>
                <c:pt idx="174">
                  <c:v>4.7083941605189562E-2</c:v>
                </c:pt>
                <c:pt idx="175">
                  <c:v>4.7069799271183453E-2</c:v>
                </c:pt>
                <c:pt idx="176">
                  <c:v>4.7056113138974134E-2</c:v>
                </c:pt>
                <c:pt idx="177">
                  <c:v>4.7041970802708236E-2</c:v>
                </c:pt>
                <c:pt idx="178">
                  <c:v>4.7028284670460829E-2</c:v>
                </c:pt>
                <c:pt idx="179">
                  <c:v>4.7014142336376005E-2</c:v>
                </c:pt>
                <c:pt idx="180">
                  <c:v>4.6999997084618786E-2</c:v>
                </c:pt>
                <c:pt idx="181">
                  <c:v>4.6967141292135292E-2</c:v>
                </c:pt>
                <c:pt idx="182">
                  <c:v>4.693318729206622E-2</c:v>
                </c:pt>
                <c:pt idx="183">
                  <c:v>4.690032858615166E-2</c:v>
                </c:pt>
                <c:pt idx="184">
                  <c:v>4.6866374590296599E-2</c:v>
                </c:pt>
                <c:pt idx="185">
                  <c:v>4.6832420592105808E-2</c:v>
                </c:pt>
                <c:pt idx="186">
                  <c:v>4.6801752463319309E-2</c:v>
                </c:pt>
                <c:pt idx="187">
                  <c:v>4.6767798464909104E-2</c:v>
                </c:pt>
                <c:pt idx="188">
                  <c:v>4.6734939760671536E-2</c:v>
                </c:pt>
                <c:pt idx="189">
                  <c:v>4.6700985762034478E-2</c:v>
                </c:pt>
                <c:pt idx="190">
                  <c:v>4.6668127055356945E-2</c:v>
                </c:pt>
                <c:pt idx="191">
                  <c:v>4.6634173056493027E-2</c:v>
                </c:pt>
                <c:pt idx="192">
                  <c:v>4.6600219057513825E-2</c:v>
                </c:pt>
                <c:pt idx="193">
                  <c:v>4.6567360350505176E-2</c:v>
                </c:pt>
                <c:pt idx="194">
                  <c:v>4.6533406353519553E-2</c:v>
                </c:pt>
                <c:pt idx="195">
                  <c:v>4.6500547646291371E-2</c:v>
                </c:pt>
                <c:pt idx="196">
                  <c:v>4.6466593646858463E-2</c:v>
                </c:pt>
                <c:pt idx="197">
                  <c:v>4.6432639649530698E-2</c:v>
                </c:pt>
                <c:pt idx="198">
                  <c:v>4.6401971521738576E-2</c:v>
                </c:pt>
                <c:pt idx="199">
                  <c:v>4.6368017526411821E-2</c:v>
                </c:pt>
                <c:pt idx="200">
                  <c:v>4.6335158814199327E-2</c:v>
                </c:pt>
                <c:pt idx="201">
                  <c:v>4.6301204820866151E-2</c:v>
                </c:pt>
                <c:pt idx="202">
                  <c:v>4.6268346112874989E-2</c:v>
                </c:pt>
                <c:pt idx="203">
                  <c:v>4.6234392112653656E-2</c:v>
                </c:pt>
                <c:pt idx="204">
                  <c:v>4.6200438114537473E-2</c:v>
                </c:pt>
                <c:pt idx="205">
                  <c:v>4.616757940843564E-2</c:v>
                </c:pt>
                <c:pt idx="206">
                  <c:v>4.6133625410092596E-2</c:v>
                </c:pt>
                <c:pt idx="207">
                  <c:v>4.6100766701550784E-2</c:v>
                </c:pt>
                <c:pt idx="208">
                  <c:v>4.6066812707421766E-2</c:v>
                </c:pt>
                <c:pt idx="209">
                  <c:v>4.6032858706516147E-2</c:v>
                </c:pt>
                <c:pt idx="210">
                  <c:v>4.60010952897911E-2</c:v>
                </c:pt>
                <c:pt idx="211">
                  <c:v>4.5967141293103218E-2</c:v>
                </c:pt>
                <c:pt idx="212">
                  <c:v>4.5934282584014358E-2</c:v>
                </c:pt>
                <c:pt idx="213">
                  <c:v>4.5900328587099616E-2</c:v>
                </c:pt>
                <c:pt idx="214">
                  <c:v>4.5867469880011655E-2</c:v>
                </c:pt>
                <c:pt idx="215">
                  <c:v>4.5833515880649621E-2</c:v>
                </c:pt>
                <c:pt idx="216">
                  <c:v>4.5799561885613183E-2</c:v>
                </c:pt>
                <c:pt idx="217">
                  <c:v>4.5766703178194111E-2</c:v>
                </c:pt>
                <c:pt idx="218">
                  <c:v>4.5732749178489941E-2</c:v>
                </c:pt>
                <c:pt idx="219">
                  <c:v>4.5699890468630905E-2</c:v>
                </c:pt>
                <c:pt idx="220">
                  <c:v>4.5665936473140746E-2</c:v>
                </c:pt>
                <c:pt idx="221">
                  <c:v>4.5631982477535304E-2</c:v>
                </c:pt>
                <c:pt idx="222">
                  <c:v>4.5601314349508149E-2</c:v>
                </c:pt>
                <c:pt idx="223">
                  <c:v>4.5567360349242414E-2</c:v>
                </c:pt>
                <c:pt idx="224">
                  <c:v>4.5534501643280802E-2</c:v>
                </c:pt>
                <c:pt idx="225">
                  <c:v>4.5500547645008646E-2</c:v>
                </c:pt>
                <c:pt idx="226">
                  <c:v>4.5467688936607055E-2</c:v>
                </c:pt>
                <c:pt idx="227">
                  <c:v>4.5433734938108053E-2</c:v>
                </c:pt>
                <c:pt idx="228">
                  <c:v>4.539978094171418E-2</c:v>
                </c:pt>
                <c:pt idx="229">
                  <c:v>4.5366922232981492E-2</c:v>
                </c:pt>
                <c:pt idx="230">
                  <c:v>4.5332968236360772E-2</c:v>
                </c:pt>
                <c:pt idx="231">
                  <c:v>4.5300109529628971E-2</c:v>
                </c:pt>
                <c:pt idx="232">
                  <c:v>4.5266155530560973E-2</c:v>
                </c:pt>
                <c:pt idx="233">
                  <c:v>4.5232201531377671E-2</c:v>
                </c:pt>
                <c:pt idx="234">
                  <c:v>4.52015334043449E-2</c:v>
                </c:pt>
                <c:pt idx="235">
                  <c:v>4.5167579409383055E-2</c:v>
                </c:pt>
                <c:pt idx="236">
                  <c:v>4.5134720699887373E-2</c:v>
                </c:pt>
                <c:pt idx="237">
                  <c:v>4.5100766702478243E-2</c:v>
                </c:pt>
                <c:pt idx="238">
                  <c:v>4.50679079972039E-2</c:v>
                </c:pt>
                <c:pt idx="239">
                  <c:v>4.5033953997347477E-2</c:v>
                </c:pt>
                <c:pt idx="240">
                  <c:v>4.5000000001816629E-2</c:v>
                </c:pt>
                <c:pt idx="241">
                  <c:v>4.4967141291770311E-2</c:v>
                </c:pt>
                <c:pt idx="242">
                  <c:v>4.4933187293792178E-2</c:v>
                </c:pt>
                <c:pt idx="243">
                  <c:v>4.4900328585746753E-2</c:v>
                </c:pt>
                <c:pt idx="244">
                  <c:v>4.4866374587541766E-2</c:v>
                </c:pt>
                <c:pt idx="245">
                  <c:v>4.4832420591441921E-2</c:v>
                </c:pt>
                <c:pt idx="246">
                  <c:v>4.4801752465403535E-2</c:v>
                </c:pt>
                <c:pt idx="247">
                  <c:v>4.4767798464643398E-2</c:v>
                </c:pt>
                <c:pt idx="248">
                  <c:v>4.4734939758274965E-2</c:v>
                </c:pt>
                <c:pt idx="249">
                  <c:v>4.4700985761728845E-2</c:v>
                </c:pt>
                <c:pt idx="250">
                  <c:v>4.4668127052920441E-2</c:v>
                </c:pt>
                <c:pt idx="251">
                  <c:v>4.4634173053927036E-2</c:v>
                </c:pt>
                <c:pt idx="252">
                  <c:v>4.4600219059259212E-2</c:v>
                </c:pt>
                <c:pt idx="253">
                  <c:v>4.4567360350119697E-2</c:v>
                </c:pt>
                <c:pt idx="254">
                  <c:v>4.4533406353004588E-2</c:v>
                </c:pt>
                <c:pt idx="255">
                  <c:v>4.4500547645865973E-2</c:v>
                </c:pt>
                <c:pt idx="256">
                  <c:v>4.4466593648524004E-2</c:v>
                </c:pt>
                <c:pt idx="257">
                  <c:v>4.4432639648846306E-2</c:v>
                </c:pt>
                <c:pt idx="258">
                  <c:v>4.4400876231479279E-2</c:v>
                </c:pt>
                <c:pt idx="259">
                  <c:v>4.4366922233798886E-2</c:v>
                </c:pt>
                <c:pt idx="260">
                  <c:v>4.4334063526113229E-2</c:v>
                </c:pt>
                <c:pt idx="261">
                  <c:v>4.4300109530426415E-2</c:v>
                </c:pt>
                <c:pt idx="262">
                  <c:v>4.4267250820300773E-2</c:v>
                </c:pt>
                <c:pt idx="263">
                  <c:v>4.4233296824387106E-2</c:v>
                </c:pt>
                <c:pt idx="264">
                  <c:v>4.4199342826137709E-2</c:v>
                </c:pt>
                <c:pt idx="265">
                  <c:v>4.416648411790141E-2</c:v>
                </c:pt>
                <c:pt idx="266">
                  <c:v>4.413253011942516E-2</c:v>
                </c:pt>
                <c:pt idx="267">
                  <c:v>4.4099671413189746E-2</c:v>
                </c:pt>
                <c:pt idx="268">
                  <c:v>4.4065717416707083E-2</c:v>
                </c:pt>
                <c:pt idx="269">
                  <c:v>4.4031763415668251E-2</c:v>
                </c:pt>
                <c:pt idx="270">
                  <c:v>4.4001095289394832E-2</c:v>
                </c:pt>
                <c:pt idx="271">
                  <c:v>4.3967141292577464E-2</c:v>
                </c:pt>
                <c:pt idx="272">
                  <c:v>4.3934282588019041E-2</c:v>
                </c:pt>
                <c:pt idx="273">
                  <c:v>4.3900328586533942E-2</c:v>
                </c:pt>
                <c:pt idx="274">
                  <c:v>4.3867469877315109E-2</c:v>
                </c:pt>
                <c:pt idx="275">
                  <c:v>4.3833515882264466E-2</c:v>
                </c:pt>
                <c:pt idx="276">
                  <c:v>4.3799561882657649E-2</c:v>
                </c:pt>
                <c:pt idx="277">
                  <c:v>4.3766703177548591E-2</c:v>
                </c:pt>
                <c:pt idx="278">
                  <c:v>4.373274917993536E-2</c:v>
                </c:pt>
                <c:pt idx="279">
                  <c:v>4.3699890470165891E-2</c:v>
                </c:pt>
                <c:pt idx="280">
                  <c:v>4.3665936472325806E-2</c:v>
                </c:pt>
                <c:pt idx="281">
                  <c:v>4.3631982476590871E-2</c:v>
                </c:pt>
                <c:pt idx="282">
                  <c:v>4.3601314349091397E-2</c:v>
                </c:pt>
                <c:pt idx="283">
                  <c:v>4.3567360350916615E-2</c:v>
                </c:pt>
                <c:pt idx="284">
                  <c:v>4.3534501642824124E-2</c:v>
                </c:pt>
                <c:pt idx="285">
                  <c:v>4.3500547644422481E-2</c:v>
                </c:pt>
                <c:pt idx="286">
                  <c:v>4.3467688936110464E-2</c:v>
                </c:pt>
                <c:pt idx="287">
                  <c:v>4.3433734941922833E-2</c:v>
                </c:pt>
                <c:pt idx="288">
                  <c:v>4.3399780943179041E-2</c:v>
                </c:pt>
                <c:pt idx="289">
                  <c:v>4.3366922232315482E-2</c:v>
                </c:pt>
                <c:pt idx="290">
                  <c:v>4.3332968235565275E-2</c:v>
                </c:pt>
                <c:pt idx="291">
                  <c:v>4.3300109528923041E-2</c:v>
                </c:pt>
                <c:pt idx="292">
                  <c:v>4.3266155531945981E-2</c:v>
                </c:pt>
                <c:pt idx="293">
                  <c:v>4.3232201534853625E-2</c:v>
                </c:pt>
                <c:pt idx="294">
                  <c:v>4.3201533406128104E-2</c:v>
                </c:pt>
                <c:pt idx="295">
                  <c:v>4.3167579408816333E-2</c:v>
                </c:pt>
                <c:pt idx="296">
                  <c:v>4.3134720701630658E-2</c:v>
                </c:pt>
                <c:pt idx="297">
                  <c:v>4.3100766704092033E-2</c:v>
                </c:pt>
                <c:pt idx="298">
                  <c:v>4.3067907996686819E-2</c:v>
                </c:pt>
                <c:pt idx="299">
                  <c:v>4.3033953998921341E-2</c:v>
                </c:pt>
                <c:pt idx="300">
                  <c:v>4.3000004997022695E-2</c:v>
                </c:pt>
                <c:pt idx="301">
                  <c:v>4.2999999996599696E-2</c:v>
                </c:pt>
                <c:pt idx="302">
                  <c:v>4.3000000001040574E-2</c:v>
                </c:pt>
                <c:pt idx="303">
                  <c:v>4.3000000001040574E-2</c:v>
                </c:pt>
                <c:pt idx="304">
                  <c:v>4.3000000001040574E-2</c:v>
                </c:pt>
                <c:pt idx="305">
                  <c:v>4.2999999996599696E-2</c:v>
                </c:pt>
                <c:pt idx="306">
                  <c:v>4.3000000001040574E-2</c:v>
                </c:pt>
                <c:pt idx="307">
                  <c:v>4.2999999998820135E-2</c:v>
                </c:pt>
                <c:pt idx="308">
                  <c:v>4.3000000001040574E-2</c:v>
                </c:pt>
                <c:pt idx="309">
                  <c:v>4.3000000001040574E-2</c:v>
                </c:pt>
                <c:pt idx="310">
                  <c:v>4.2999999998820135E-2</c:v>
                </c:pt>
                <c:pt idx="311">
                  <c:v>4.2999999998820135E-2</c:v>
                </c:pt>
                <c:pt idx="312">
                  <c:v>4.3000000001040574E-2</c:v>
                </c:pt>
                <c:pt idx="313">
                  <c:v>4.2999999998820135E-2</c:v>
                </c:pt>
                <c:pt idx="314">
                  <c:v>4.2999999998820135E-2</c:v>
                </c:pt>
                <c:pt idx="315">
                  <c:v>4.3000000001040574E-2</c:v>
                </c:pt>
                <c:pt idx="316">
                  <c:v>4.2999999998820135E-2</c:v>
                </c:pt>
                <c:pt idx="317">
                  <c:v>4.3000000001040574E-2</c:v>
                </c:pt>
                <c:pt idx="318">
                  <c:v>4.3000000001040574E-2</c:v>
                </c:pt>
                <c:pt idx="319">
                  <c:v>4.2999999998820135E-2</c:v>
                </c:pt>
                <c:pt idx="320">
                  <c:v>4.3000000001040574E-2</c:v>
                </c:pt>
                <c:pt idx="321">
                  <c:v>4.2999999998820135E-2</c:v>
                </c:pt>
                <c:pt idx="322">
                  <c:v>4.2999999996599696E-2</c:v>
                </c:pt>
                <c:pt idx="323">
                  <c:v>4.2999999998820135E-2</c:v>
                </c:pt>
                <c:pt idx="324">
                  <c:v>4.2999999996599696E-2</c:v>
                </c:pt>
                <c:pt idx="325">
                  <c:v>4.2999999998820135E-2</c:v>
                </c:pt>
                <c:pt idx="326">
                  <c:v>4.3000000001040574E-2</c:v>
                </c:pt>
                <c:pt idx="327">
                  <c:v>4.2999999998820135E-2</c:v>
                </c:pt>
                <c:pt idx="328">
                  <c:v>4.2999999998820135E-2</c:v>
                </c:pt>
                <c:pt idx="329">
                  <c:v>4.3000000003261013E-2</c:v>
                </c:pt>
                <c:pt idx="330">
                  <c:v>4.2999999998820135E-2</c:v>
                </c:pt>
                <c:pt idx="331">
                  <c:v>4.3000000001040574E-2</c:v>
                </c:pt>
                <c:pt idx="332">
                  <c:v>4.2999999998820135E-2</c:v>
                </c:pt>
                <c:pt idx="333">
                  <c:v>4.2999999998820135E-2</c:v>
                </c:pt>
                <c:pt idx="334">
                  <c:v>4.3000000001040574E-2</c:v>
                </c:pt>
                <c:pt idx="335">
                  <c:v>4.3000000001040574E-2</c:v>
                </c:pt>
                <c:pt idx="336">
                  <c:v>4.3000000001040574E-2</c:v>
                </c:pt>
                <c:pt idx="337">
                  <c:v>4.3000000001040574E-2</c:v>
                </c:pt>
                <c:pt idx="338">
                  <c:v>4.2999999996599696E-2</c:v>
                </c:pt>
                <c:pt idx="339">
                  <c:v>4.2999999998820135E-2</c:v>
                </c:pt>
                <c:pt idx="340">
                  <c:v>4.3000000001040574E-2</c:v>
                </c:pt>
                <c:pt idx="341">
                  <c:v>4.2999999998820135E-2</c:v>
                </c:pt>
                <c:pt idx="342">
                  <c:v>4.3000000001040574E-2</c:v>
                </c:pt>
                <c:pt idx="343">
                  <c:v>4.2999999998820135E-2</c:v>
                </c:pt>
                <c:pt idx="344">
                  <c:v>4.2999999998820135E-2</c:v>
                </c:pt>
                <c:pt idx="345">
                  <c:v>4.3000000001040574E-2</c:v>
                </c:pt>
                <c:pt idx="346">
                  <c:v>4.3000000001040574E-2</c:v>
                </c:pt>
                <c:pt idx="347">
                  <c:v>4.2999999998820135E-2</c:v>
                </c:pt>
                <c:pt idx="348">
                  <c:v>4.3000000001040574E-2</c:v>
                </c:pt>
                <c:pt idx="349">
                  <c:v>4.3000000001040574E-2</c:v>
                </c:pt>
                <c:pt idx="350">
                  <c:v>4.3000000001040574E-2</c:v>
                </c:pt>
                <c:pt idx="351">
                  <c:v>4.2999999998820135E-2</c:v>
                </c:pt>
                <c:pt idx="352">
                  <c:v>4.2999999998820135E-2</c:v>
                </c:pt>
                <c:pt idx="353">
                  <c:v>4.2999999998820135E-2</c:v>
                </c:pt>
                <c:pt idx="354">
                  <c:v>4.2999999996599696E-2</c:v>
                </c:pt>
                <c:pt idx="355">
                  <c:v>4.3000000001040574E-2</c:v>
                </c:pt>
                <c:pt idx="356">
                  <c:v>4.2999999998820135E-2</c:v>
                </c:pt>
                <c:pt idx="357">
                  <c:v>4.3000000001040574E-2</c:v>
                </c:pt>
                <c:pt idx="358">
                  <c:v>4.3000000003261013E-2</c:v>
                </c:pt>
                <c:pt idx="359">
                  <c:v>4.3000000001040574E-2</c:v>
                </c:pt>
                <c:pt idx="360">
                  <c:v>4.2999999998820135E-2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62-4BD0-8AB6-6AFA8DC3CF57}"/>
            </c:ext>
          </c:extLst>
        </c:ser>
        <c:ser>
          <c:idx val="2"/>
          <c:order val="2"/>
          <c:tx>
            <c:strRef>
              <c:f>'YieldCurve (3)'!$F$26</c:f>
              <c:strCache>
                <c:ptCount val="1"/>
                <c:pt idx="0">
                  <c:v>Kruger Cubic</c:v>
                </c:pt>
              </c:strCache>
            </c:strRef>
          </c:tx>
          <c:spPr>
            <a:ln>
              <a:solidFill>
                <a:schemeClr val="bg2"/>
              </a:solidFill>
            </a:ln>
          </c:spPr>
          <c:marker>
            <c:symbol val="none"/>
          </c:marker>
          <c:xVal>
            <c:numRef>
              <c:f>'YieldCurve (3)'!$C$27:$C$387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(3)'!$F$27:$F$387</c:f>
              <c:numCache>
                <c:formatCode>0.00%</c:formatCode>
                <c:ptCount val="361"/>
                <c:pt idx="0">
                  <c:v>2.7000000001030824E-2</c:v>
                </c:pt>
                <c:pt idx="1">
                  <c:v>2.6999999998810389E-2</c:v>
                </c:pt>
                <c:pt idx="2">
                  <c:v>2.6999999998810389E-2</c:v>
                </c:pt>
                <c:pt idx="3">
                  <c:v>2.6999999998810389E-2</c:v>
                </c:pt>
                <c:pt idx="4">
                  <c:v>2.7000000001030824E-2</c:v>
                </c:pt>
                <c:pt idx="5">
                  <c:v>2.6999999998810389E-2</c:v>
                </c:pt>
                <c:pt idx="6">
                  <c:v>2.6999999998810389E-2</c:v>
                </c:pt>
                <c:pt idx="7">
                  <c:v>2.6999999998810389E-2</c:v>
                </c:pt>
                <c:pt idx="8">
                  <c:v>2.6999999998810389E-2</c:v>
                </c:pt>
                <c:pt idx="9">
                  <c:v>2.6999999998810389E-2</c:v>
                </c:pt>
                <c:pt idx="10">
                  <c:v>2.7000000001030824E-2</c:v>
                </c:pt>
                <c:pt idx="11">
                  <c:v>2.7000000001030824E-2</c:v>
                </c:pt>
                <c:pt idx="12">
                  <c:v>2.7000000001030824E-2</c:v>
                </c:pt>
                <c:pt idx="13">
                  <c:v>2.7006439052921064E-2</c:v>
                </c:pt>
                <c:pt idx="14">
                  <c:v>2.7025447129973488E-2</c:v>
                </c:pt>
                <c:pt idx="15">
                  <c:v>2.7054101910977523E-2</c:v>
                </c:pt>
                <c:pt idx="16">
                  <c:v>2.7092541926883495E-2</c:v>
                </c:pt>
                <c:pt idx="17">
                  <c:v>2.7138155940111403E-2</c:v>
                </c:pt>
                <c:pt idx="18">
                  <c:v>2.7185709196621027E-2</c:v>
                </c:pt>
                <c:pt idx="19">
                  <c:v>2.7240036968719884E-2</c:v>
                </c:pt>
                <c:pt idx="20">
                  <c:v>2.7294373484616264E-2</c:v>
                </c:pt>
                <c:pt idx="21">
                  <c:v>2.7350569392212771E-2</c:v>
                </c:pt>
                <c:pt idx="22">
                  <c:v>2.7403303147313068E-2</c:v>
                </c:pt>
                <c:pt idx="23">
                  <c:v>2.7454318554725788E-2</c:v>
                </c:pt>
                <c:pt idx="24">
                  <c:v>2.7499999998844116E-2</c:v>
                </c:pt>
                <c:pt idx="25">
                  <c:v>2.7539183387460375E-2</c:v>
                </c:pt>
                <c:pt idx="26">
                  <c:v>2.757648458671336E-2</c:v>
                </c:pt>
                <c:pt idx="27">
                  <c:v>2.7610524925478844E-2</c:v>
                </c:pt>
                <c:pt idx="28">
                  <c:v>2.7644647535868032E-2</c:v>
                </c:pt>
                <c:pt idx="29">
                  <c:v>2.7678791879806559E-2</c:v>
                </c:pt>
                <c:pt idx="30">
                  <c:v>2.7710568286571514E-2</c:v>
                </c:pt>
                <c:pt idx="31">
                  <c:v>2.774780198603306E-2</c:v>
                </c:pt>
                <c:pt idx="32">
                  <c:v>2.7786893660629572E-2</c:v>
                </c:pt>
                <c:pt idx="33">
                  <c:v>2.7831523198706284E-2</c:v>
                </c:pt>
                <c:pt idx="34">
                  <c:v>2.787983913082186E-2</c:v>
                </c:pt>
                <c:pt idx="35">
                  <c:v>2.7936136300507917E-2</c:v>
                </c:pt>
                <c:pt idx="36">
                  <c:v>2.8000000002743563E-2</c:v>
                </c:pt>
                <c:pt idx="37">
                  <c:v>2.8078054866282565E-2</c:v>
                </c:pt>
                <c:pt idx="38">
                  <c:v>2.8182862178491946E-2</c:v>
                </c:pt>
                <c:pt idx="39">
                  <c:v>2.8305415623909258E-2</c:v>
                </c:pt>
                <c:pt idx="40">
                  <c:v>2.8451540581030978E-2</c:v>
                </c:pt>
                <c:pt idx="41">
                  <c:v>2.8615088082876463E-2</c:v>
                </c:pt>
                <c:pt idx="42">
                  <c:v>2.877577949934686E-2</c:v>
                </c:pt>
                <c:pt idx="43">
                  <c:v>2.8965830032193794E-2</c:v>
                </c:pt>
                <c:pt idx="44">
                  <c:v>2.9159703505567604E-2</c:v>
                </c:pt>
                <c:pt idx="45">
                  <c:v>2.936797995611292E-2</c:v>
                </c:pt>
                <c:pt idx="46">
                  <c:v>2.9574977646781679E-2</c:v>
                </c:pt>
                <c:pt idx="47">
                  <c:v>2.9792151569349699E-2</c:v>
                </c:pt>
                <c:pt idx="48">
                  <c:v>3.0010272215942164E-2</c:v>
                </c:pt>
                <c:pt idx="49">
                  <c:v>3.023478404823899E-2</c:v>
                </c:pt>
                <c:pt idx="50">
                  <c:v>3.0492924672672572E-2</c:v>
                </c:pt>
                <c:pt idx="51">
                  <c:v>3.0764087546963529E-2</c:v>
                </c:pt>
                <c:pt idx="52">
                  <c:v>3.1062221262314664E-2</c:v>
                </c:pt>
                <c:pt idx="53">
                  <c:v>3.1374384397909509E-2</c:v>
                </c:pt>
                <c:pt idx="54">
                  <c:v>3.1664868118659192E-2</c:v>
                </c:pt>
                <c:pt idx="55">
                  <c:v>3.1992012188409955E-2</c:v>
                </c:pt>
                <c:pt idx="56">
                  <c:v>3.2310277900336241E-2</c:v>
                </c:pt>
                <c:pt idx="57">
                  <c:v>3.2636754029878853E-2</c:v>
                </c:pt>
                <c:pt idx="58">
                  <c:v>3.294642529556719E-2</c:v>
                </c:pt>
                <c:pt idx="59">
                  <c:v>3.3255807512724E-2</c:v>
                </c:pt>
                <c:pt idx="60">
                  <c:v>3.3550207723870941E-2</c:v>
                </c:pt>
                <c:pt idx="61">
                  <c:v>3.3825238201671944E-2</c:v>
                </c:pt>
                <c:pt idx="62">
                  <c:v>3.4106863367523402E-2</c:v>
                </c:pt>
                <c:pt idx="63">
                  <c:v>3.4377006505174564E-2</c:v>
                </c:pt>
                <c:pt idx="64">
                  <c:v>3.4653773949209182E-2</c:v>
                </c:pt>
                <c:pt idx="65">
                  <c:v>3.4928220281499923E-2</c:v>
                </c:pt>
                <c:pt idx="66">
                  <c:v>3.5182947174069744E-2</c:v>
                </c:pt>
                <c:pt idx="67">
                  <c:v>3.5453183541054673E-2</c:v>
                </c:pt>
                <c:pt idx="68">
                  <c:v>3.571276953155518E-2</c:v>
                </c:pt>
                <c:pt idx="69">
                  <c:v>3.5979107672062298E-2</c:v>
                </c:pt>
                <c:pt idx="70">
                  <c:v>3.6235107503868456E-2</c:v>
                </c:pt>
                <c:pt idx="71">
                  <c:v>3.6497932480192861E-2</c:v>
                </c:pt>
                <c:pt idx="72">
                  <c:v>3.6759119639081114E-2</c:v>
                </c:pt>
                <c:pt idx="73">
                  <c:v>3.7010176700796663E-2</c:v>
                </c:pt>
                <c:pt idx="74">
                  <c:v>3.7267660760058177E-2</c:v>
                </c:pt>
                <c:pt idx="75">
                  <c:v>3.7515021308668739E-2</c:v>
                </c:pt>
                <c:pt idx="76">
                  <c:v>3.7768813153454733E-2</c:v>
                </c:pt>
                <c:pt idx="77">
                  <c:v>3.8020826361324873E-2</c:v>
                </c:pt>
                <c:pt idx="78">
                  <c:v>3.8246977205172554E-2</c:v>
                </c:pt>
                <c:pt idx="79">
                  <c:v>3.8495787233380208E-2</c:v>
                </c:pt>
                <c:pt idx="80">
                  <c:v>3.8735059024394981E-2</c:v>
                </c:pt>
                <c:pt idx="81">
                  <c:v>3.8980808140866539E-2</c:v>
                </c:pt>
                <c:pt idx="82">
                  <c:v>3.9217241159969253E-2</c:v>
                </c:pt>
                <c:pt idx="83">
                  <c:v>3.946018438902954E-2</c:v>
                </c:pt>
                <c:pt idx="84">
                  <c:v>3.9701799413247689E-2</c:v>
                </c:pt>
                <c:pt idx="85">
                  <c:v>3.9934259593555337E-2</c:v>
                </c:pt>
                <c:pt idx="86">
                  <c:v>4.0172944197741062E-2</c:v>
                </c:pt>
                <c:pt idx="87">
                  <c:v>4.0402496464935905E-2</c:v>
                </c:pt>
                <c:pt idx="88">
                  <c:v>4.0638264005432551E-2</c:v>
                </c:pt>
                <c:pt idx="89">
                  <c:v>4.0872616387053758E-2</c:v>
                </c:pt>
                <c:pt idx="90">
                  <c:v>4.1083110865648052E-2</c:v>
                </c:pt>
                <c:pt idx="91">
                  <c:v>4.131489514838782E-2</c:v>
                </c:pt>
                <c:pt idx="92">
                  <c:v>4.1537979976318452E-2</c:v>
                </c:pt>
                <c:pt idx="93">
                  <c:v>4.17672817979804E-2</c:v>
                </c:pt>
                <c:pt idx="94">
                  <c:v>4.1988049194857865E-2</c:v>
                </c:pt>
                <c:pt idx="95">
                  <c:v>4.2215044123483619E-2</c:v>
                </c:pt>
                <c:pt idx="96">
                  <c:v>4.2440933975616116E-2</c:v>
                </c:pt>
                <c:pt idx="97">
                  <c:v>4.2647501017337448E-2</c:v>
                </c:pt>
                <c:pt idx="98">
                  <c:v>4.2840954955971983E-2</c:v>
                </c:pt>
                <c:pt idx="99">
                  <c:v>4.3014874920534407E-2</c:v>
                </c:pt>
                <c:pt idx="100">
                  <c:v>4.3187186422325483E-2</c:v>
                </c:pt>
                <c:pt idx="101">
                  <c:v>4.3358405355406152E-2</c:v>
                </c:pt>
                <c:pt idx="102">
                  <c:v>4.3517526091362238E-2</c:v>
                </c:pt>
                <c:pt idx="103">
                  <c:v>4.3704636097745143E-2</c:v>
                </c:pt>
                <c:pt idx="104">
                  <c:v>4.3902583743797581E-2</c:v>
                </c:pt>
                <c:pt idx="105">
                  <c:v>4.4130896380163702E-2</c:v>
                </c:pt>
                <c:pt idx="106">
                  <c:v>4.4380904193962026E-2</c:v>
                </c:pt>
                <c:pt idx="107">
                  <c:v>4.4675605219795245E-2</c:v>
                </c:pt>
                <c:pt idx="108">
                  <c:v>4.5013696559566815E-2</c:v>
                </c:pt>
                <c:pt idx="109">
                  <c:v>4.5545942590437448E-2</c:v>
                </c:pt>
                <c:pt idx="110">
                  <c:v>4.6429781438033772E-2</c:v>
                </c:pt>
                <c:pt idx="111">
                  <c:v>4.7538198388738719E-2</c:v>
                </c:pt>
                <c:pt idx="112">
                  <c:v>4.88719671517934E-2</c:v>
                </c:pt>
                <c:pt idx="113">
                  <c:v>5.0322909640317201E-2</c:v>
                </c:pt>
                <c:pt idx="114">
                  <c:v>5.17197705301395E-2</c:v>
                </c:pt>
                <c:pt idx="115">
                  <c:v>5.318408000373262E-2</c:v>
                </c:pt>
                <c:pt idx="116">
                  <c:v>5.4503509228489476E-2</c:v>
                </c:pt>
                <c:pt idx="117">
                  <c:v>5.5692899407360295E-2</c:v>
                </c:pt>
                <c:pt idx="118">
                  <c:v>5.6605522815782898E-2</c:v>
                </c:pt>
                <c:pt idx="119">
                  <c:v>5.7229100266707383E-2</c:v>
                </c:pt>
                <c:pt idx="120">
                  <c:v>5.7453654375579186E-2</c:v>
                </c:pt>
                <c:pt idx="121">
                  <c:v>5.7405648452260302E-2</c:v>
                </c:pt>
                <c:pt idx="122">
                  <c:v>5.7260888321223689E-2</c:v>
                </c:pt>
                <c:pt idx="123">
                  <c:v>5.7036959355499649E-2</c:v>
                </c:pt>
                <c:pt idx="124">
                  <c:v>5.6727547469693246E-2</c:v>
                </c:pt>
                <c:pt idx="125">
                  <c:v>5.6347593693364652E-2</c:v>
                </c:pt>
                <c:pt idx="126">
                  <c:v>5.595113951839429E-2</c:v>
                </c:pt>
                <c:pt idx="127">
                  <c:v>5.5461381410330378E-2</c:v>
                </c:pt>
                <c:pt idx="128">
                  <c:v>5.4944632230673356E-2</c:v>
                </c:pt>
                <c:pt idx="129">
                  <c:v>5.4375056546513464E-2</c:v>
                </c:pt>
                <c:pt idx="130">
                  <c:v>5.379764718724632E-2</c:v>
                </c:pt>
                <c:pt idx="131">
                  <c:v>5.3182524693907759E-2</c:v>
                </c:pt>
                <c:pt idx="132">
                  <c:v>5.2557389056172354E-2</c:v>
                </c:pt>
                <c:pt idx="133">
                  <c:v>5.1951221860871671E-2</c:v>
                </c:pt>
                <c:pt idx="134">
                  <c:v>5.1332226462875212E-2</c:v>
                </c:pt>
                <c:pt idx="135">
                  <c:v>5.0748584063123894E-2</c:v>
                </c:pt>
                <c:pt idx="136">
                  <c:v>5.0169999671232091E-2</c:v>
                </c:pt>
                <c:pt idx="137">
                  <c:v>4.9625085614079904E-2</c:v>
                </c:pt>
                <c:pt idx="138">
                  <c:v>4.91692076768383E-2</c:v>
                </c:pt>
                <c:pt idx="139">
                  <c:v>4.8712828668722195E-2</c:v>
                </c:pt>
                <c:pt idx="140">
                  <c:v>4.8327605763534724E-2</c:v>
                </c:pt>
                <c:pt idx="141">
                  <c:v>4.7996471941482093E-2</c:v>
                </c:pt>
                <c:pt idx="142">
                  <c:v>4.7749036681358707E-2</c:v>
                </c:pt>
                <c:pt idx="143">
                  <c:v>4.757741880453599E-2</c:v>
                </c:pt>
                <c:pt idx="144">
                  <c:v>4.7500000003722349E-2</c:v>
                </c:pt>
                <c:pt idx="145">
                  <c:v>4.747435513270689E-2</c:v>
                </c:pt>
                <c:pt idx="146">
                  <c:v>4.7449563930263165E-2</c:v>
                </c:pt>
                <c:pt idx="147">
                  <c:v>4.7427140620178922E-2</c:v>
                </c:pt>
                <c:pt idx="148">
                  <c:v>4.7405501305859826E-2</c:v>
                </c:pt>
                <c:pt idx="149">
                  <c:v>4.7385328065137212E-2</c:v>
                </c:pt>
                <c:pt idx="150">
                  <c:v>4.7368291125169867E-2</c:v>
                </c:pt>
                <c:pt idx="151">
                  <c:v>4.7350655500242311E-2</c:v>
                </c:pt>
                <c:pt idx="152">
                  <c:v>4.7334732799194146E-2</c:v>
                </c:pt>
                <c:pt idx="153">
                  <c:v>4.7319372503357403E-2</c:v>
                </c:pt>
                <c:pt idx="154">
                  <c:v>4.7305480395006726E-2</c:v>
                </c:pt>
                <c:pt idx="155">
                  <c:v>4.7292041324322125E-2</c:v>
                </c:pt>
                <c:pt idx="156">
                  <c:v>4.727944291273959E-2</c:v>
                </c:pt>
                <c:pt idx="157">
                  <c:v>4.7267965183830842E-2</c:v>
                </c:pt>
                <c:pt idx="158">
                  <c:v>4.7256753936041333E-2</c:v>
                </c:pt>
                <c:pt idx="159">
                  <c:v>4.7246447282583634E-2</c:v>
                </c:pt>
                <c:pt idx="160">
                  <c:v>4.7236269099075988E-2</c:v>
                </c:pt>
                <c:pt idx="161">
                  <c:v>4.7226480211202612E-2</c:v>
                </c:pt>
                <c:pt idx="162">
                  <c:v>4.7217594283426069E-2</c:v>
                </c:pt>
                <c:pt idx="163">
                  <c:v>4.7208299071635332E-2</c:v>
                </c:pt>
                <c:pt idx="164">
                  <c:v>4.719941969412756E-2</c:v>
                </c:pt>
                <c:pt idx="165">
                  <c:v>4.719027518106169E-2</c:v>
                </c:pt>
                <c:pt idx="166">
                  <c:v>4.7181370301835363E-2</c:v>
                </c:pt>
                <c:pt idx="167">
                  <c:v>4.717202238575214E-2</c:v>
                </c:pt>
                <c:pt idx="168">
                  <c:v>4.7162435399802465E-2</c:v>
                </c:pt>
                <c:pt idx="169">
                  <c:v>4.7152843899698073E-2</c:v>
                </c:pt>
                <c:pt idx="170">
                  <c:v>4.714251944712166E-2</c:v>
                </c:pt>
                <c:pt idx="171">
                  <c:v>4.7132042932444489E-2</c:v>
                </c:pt>
                <c:pt idx="172">
                  <c:v>4.7120626907051072E-2</c:v>
                </c:pt>
                <c:pt idx="173">
                  <c:v>4.7108520448300405E-2</c:v>
                </c:pt>
                <c:pt idx="174">
                  <c:v>4.7096916069990211E-2</c:v>
                </c:pt>
                <c:pt idx="175">
                  <c:v>4.7083242896280138E-2</c:v>
                </c:pt>
                <c:pt idx="176">
                  <c:v>4.7069101543705569E-2</c:v>
                </c:pt>
                <c:pt idx="177">
                  <c:v>4.7053460244674161E-2</c:v>
                </c:pt>
                <c:pt idx="178">
                  <c:v>4.7037242911331933E-2</c:v>
                </c:pt>
                <c:pt idx="179">
                  <c:v>4.701927938299201E-2</c:v>
                </c:pt>
                <c:pt idx="180">
                  <c:v>4.7000000000050744E-2</c:v>
                </c:pt>
                <c:pt idx="181">
                  <c:v>4.6980235238728067E-2</c:v>
                </c:pt>
                <c:pt idx="182">
                  <c:v>4.6958900478391852E-2</c:v>
                </c:pt>
                <c:pt idx="183">
                  <c:v>4.693739469117638E-2</c:v>
                </c:pt>
                <c:pt idx="184">
                  <c:v>4.6914307700614985E-2</c:v>
                </c:pt>
                <c:pt idx="185">
                  <c:v>4.6890366122054786E-2</c:v>
                </c:pt>
                <c:pt idx="186">
                  <c:v>4.6868027045163171E-2</c:v>
                </c:pt>
                <c:pt idx="187">
                  <c:v>4.684252580806824E-2</c:v>
                </c:pt>
                <c:pt idx="188">
                  <c:v>4.6817100121231386E-2</c:v>
                </c:pt>
                <c:pt idx="189">
                  <c:v>4.6790078473995189E-2</c:v>
                </c:pt>
                <c:pt idx="190">
                  <c:v>4.6763226732202678E-2</c:v>
                </c:pt>
                <c:pt idx="191">
                  <c:v>4.6734778326116444E-2</c:v>
                </c:pt>
                <c:pt idx="192">
                  <c:v>4.6705640732241642E-2</c:v>
                </c:pt>
                <c:pt idx="193">
                  <c:v>4.6676809649444324E-2</c:v>
                </c:pt>
                <c:pt idx="194">
                  <c:v>4.6646386540818298E-2</c:v>
                </c:pt>
                <c:pt idx="195">
                  <c:v>4.6616356720111496E-2</c:v>
                </c:pt>
                <c:pt idx="196">
                  <c:v>4.6584741743587177E-2</c:v>
                </c:pt>
                <c:pt idx="197">
                  <c:v>4.6552556956529934E-2</c:v>
                </c:pt>
                <c:pt idx="198">
                  <c:v>4.6523017176822827E-2</c:v>
                </c:pt>
                <c:pt idx="199">
                  <c:v>4.6489814723905697E-2</c:v>
                </c:pt>
                <c:pt idx="200">
                  <c:v>4.6457207392063694E-2</c:v>
                </c:pt>
                <c:pt idx="201">
                  <c:v>4.6423044900228826E-2</c:v>
                </c:pt>
                <c:pt idx="202">
                  <c:v>4.6389553805875484E-2</c:v>
                </c:pt>
                <c:pt idx="203">
                  <c:v>4.6354524919761268E-2</c:v>
                </c:pt>
                <c:pt idx="204">
                  <c:v>4.6319091625558591E-2</c:v>
                </c:pt>
                <c:pt idx="205">
                  <c:v>4.6284439067533954E-2</c:v>
                </c:pt>
                <c:pt idx="206">
                  <c:v>4.6248280620945471E-2</c:v>
                </c:pt>
                <c:pt idx="207">
                  <c:v>4.62129716241413E-2</c:v>
                </c:pt>
                <c:pt idx="208">
                  <c:v>4.6176181676472271E-2</c:v>
                </c:pt>
                <c:pt idx="209">
                  <c:v>4.6139106693544117E-2</c:v>
                </c:pt>
                <c:pt idx="210">
                  <c:v>4.6104187025349332E-2</c:v>
                </c:pt>
                <c:pt idx="211">
                  <c:v>4.6066629066277232E-2</c:v>
                </c:pt>
                <c:pt idx="212">
                  <c:v>4.6030078616498715E-2</c:v>
                </c:pt>
                <c:pt idx="213">
                  <c:v>4.599212251523923E-2</c:v>
                </c:pt>
                <c:pt idx="214">
                  <c:v>4.5955232080933522E-2</c:v>
                </c:pt>
                <c:pt idx="215">
                  <c:v>4.5916971491021336E-2</c:v>
                </c:pt>
                <c:pt idx="216">
                  <c:v>4.5878592049912813E-2</c:v>
                </c:pt>
                <c:pt idx="217">
                  <c:v>4.5841360269802352E-2</c:v>
                </c:pt>
                <c:pt idx="218">
                  <c:v>4.5802817579737379E-2</c:v>
                </c:pt>
                <c:pt idx="219">
                  <c:v>4.576547313442788E-2</c:v>
                </c:pt>
                <c:pt idx="220">
                  <c:v>4.5726860846727696E-2</c:v>
                </c:pt>
                <c:pt idx="221">
                  <c:v>4.5688249076239987E-2</c:v>
                </c:pt>
                <c:pt idx="222">
                  <c:v>4.5653394496329158E-2</c:v>
                </c:pt>
                <c:pt idx="223">
                  <c:v>4.5614850537670795E-2</c:v>
                </c:pt>
                <c:pt idx="224">
                  <c:v>4.5577617037960975E-2</c:v>
                </c:pt>
                <c:pt idx="225">
                  <c:v>4.5539235304060142E-2</c:v>
                </c:pt>
                <c:pt idx="226">
                  <c:v>4.5502204112428675E-2</c:v>
                </c:pt>
                <c:pt idx="227">
                  <c:v>4.5464078254616444E-2</c:v>
                </c:pt>
                <c:pt idx="228">
                  <c:v>4.542611832095661E-2</c:v>
                </c:pt>
                <c:pt idx="229">
                  <c:v>4.5389563665551705E-2</c:v>
                </c:pt>
                <c:pt idx="230">
                  <c:v>4.5352000849922566E-2</c:v>
                </c:pt>
                <c:pt idx="231">
                  <c:v>4.5315875815303698E-2</c:v>
                </c:pt>
                <c:pt idx="232">
                  <c:v>4.5278803771263657E-2</c:v>
                </c:pt>
                <c:pt idx="233">
                  <c:v>4.5242017019806104E-2</c:v>
                </c:pt>
                <c:pt idx="234">
                  <c:v>4.5209055615389522E-2</c:v>
                </c:pt>
                <c:pt idx="235">
                  <c:v>4.5172878668680576E-2</c:v>
                </c:pt>
                <c:pt idx="236">
                  <c:v>4.5138206975407207E-2</c:v>
                </c:pt>
                <c:pt idx="237">
                  <c:v>4.5102752620499807E-2</c:v>
                </c:pt>
                <c:pt idx="238">
                  <c:v>4.5068825523564775E-2</c:v>
                </c:pt>
                <c:pt idx="239">
                  <c:v>4.5034187409585022E-2</c:v>
                </c:pt>
                <c:pt idx="240">
                  <c:v>4.4999999999596196E-2</c:v>
                </c:pt>
                <c:pt idx="241">
                  <c:v>4.4966610314453301E-2</c:v>
                </c:pt>
                <c:pt idx="242">
                  <c:v>4.4931029887018185E-2</c:v>
                </c:pt>
                <c:pt idx="243">
                  <c:v>4.4895608935616636E-2</c:v>
                </c:pt>
                <c:pt idx="244">
                  <c:v>4.4858043211581232E-2</c:v>
                </c:pt>
                <c:pt idx="245">
                  <c:v>4.4819555688901995E-2</c:v>
                </c:pt>
                <c:pt idx="246">
                  <c:v>4.4784049308046886E-2</c:v>
                </c:pt>
                <c:pt idx="247">
                  <c:v>4.4743969623587808E-2</c:v>
                </c:pt>
                <c:pt idx="248">
                  <c:v>4.4704466874885912E-2</c:v>
                </c:pt>
                <c:pt idx="249">
                  <c:v>4.4662964683242982E-2</c:v>
                </c:pt>
                <c:pt idx="250">
                  <c:v>4.4622195321951441E-2</c:v>
                </c:pt>
                <c:pt idx="251">
                  <c:v>4.4579497973547745E-2</c:v>
                </c:pt>
                <c:pt idx="252">
                  <c:v>4.4536280385651175E-2</c:v>
                </c:pt>
                <c:pt idx="253">
                  <c:v>4.4494016872360792E-2</c:v>
                </c:pt>
                <c:pt idx="254">
                  <c:v>4.4449947018516955E-2</c:v>
                </c:pt>
                <c:pt idx="255">
                  <c:v>4.4406968746452502E-2</c:v>
                </c:pt>
                <c:pt idx="256">
                  <c:v>4.4362273983763439E-2</c:v>
                </c:pt>
                <c:pt idx="257">
                  <c:v>4.4317348772902686E-2</c:v>
                </c:pt>
                <c:pt idx="258">
                  <c:v>4.4275165349821406E-2</c:v>
                </c:pt>
                <c:pt idx="259">
                  <c:v>4.42299609120523E-2</c:v>
                </c:pt>
                <c:pt idx="260">
                  <c:v>4.4186158777262424E-2</c:v>
                </c:pt>
                <c:pt idx="261">
                  <c:v>4.414089594605853E-2</c:v>
                </c:pt>
                <c:pt idx="262">
                  <c:v>4.4097147314510594E-2</c:v>
                </c:pt>
                <c:pt idx="263">
                  <c:v>4.4052053444781157E-2</c:v>
                </c:pt>
                <c:pt idx="264">
                  <c:v>4.400713257347965E-2</c:v>
                </c:pt>
                <c:pt idx="265">
                  <c:v>4.3963880777288446E-2</c:v>
                </c:pt>
                <c:pt idx="266">
                  <c:v>4.3919471760566098E-2</c:v>
                </c:pt>
                <c:pt idx="267">
                  <c:v>4.3876825319325609E-2</c:v>
                </c:pt>
                <c:pt idx="268">
                  <c:v>4.3833155509891197E-2</c:v>
                </c:pt>
                <c:pt idx="269">
                  <c:v>4.3789948488046022E-2</c:v>
                </c:pt>
                <c:pt idx="270">
                  <c:v>4.375136941044544E-2</c:v>
                </c:pt>
                <c:pt idx="271">
                  <c:v>4.3709205407133384E-2</c:v>
                </c:pt>
                <c:pt idx="272">
                  <c:v>4.3669003883023673E-2</c:v>
                </c:pt>
                <c:pt idx="273">
                  <c:v>4.362814187885436E-2</c:v>
                </c:pt>
                <c:pt idx="274">
                  <c:v>4.358931035477772E-2</c:v>
                </c:pt>
                <c:pt idx="275">
                  <c:v>4.3549977700263864E-2</c:v>
                </c:pt>
                <c:pt idx="276">
                  <c:v>4.3511509383765842E-2</c:v>
                </c:pt>
                <c:pt idx="277">
                  <c:v>4.3475160258277565E-2</c:v>
                </c:pt>
                <c:pt idx="278">
                  <c:v>4.3438564186822494E-2</c:v>
                </c:pt>
                <c:pt idx="279">
                  <c:v>4.3404136917617027E-2</c:v>
                </c:pt>
                <c:pt idx="280">
                  <c:v>4.3369640443951168E-2</c:v>
                </c:pt>
                <c:pt idx="281">
                  <c:v>4.3336298104171354E-2</c:v>
                </c:pt>
                <c:pt idx="282">
                  <c:v>4.3307223292116087E-2</c:v>
                </c:pt>
                <c:pt idx="283">
                  <c:v>4.3276239759506091E-2</c:v>
                </c:pt>
                <c:pt idx="284">
                  <c:v>4.3247516293596432E-2</c:v>
                </c:pt>
                <c:pt idx="285">
                  <c:v>4.3219195146264711E-2</c:v>
                </c:pt>
                <c:pt idx="286">
                  <c:v>4.3193158199585281E-2</c:v>
                </c:pt>
                <c:pt idx="287">
                  <c:v>4.3167726794727516E-2</c:v>
                </c:pt>
                <c:pt idx="288">
                  <c:v>4.3143851072004392E-2</c:v>
                </c:pt>
                <c:pt idx="289">
                  <c:v>4.312228206297837E-2</c:v>
                </c:pt>
                <c:pt idx="290">
                  <c:v>4.3101638980358396E-2</c:v>
                </c:pt>
                <c:pt idx="291">
                  <c:v>4.3083308331303291E-2</c:v>
                </c:pt>
                <c:pt idx="292">
                  <c:v>4.3066125230436195E-2</c:v>
                </c:pt>
                <c:pt idx="293">
                  <c:v>4.3050787616462798E-2</c:v>
                </c:pt>
                <c:pt idx="294">
                  <c:v>4.3038569358248464E-2</c:v>
                </c:pt>
                <c:pt idx="295">
                  <c:v>4.302690632904662E-2</c:v>
                </c:pt>
                <c:pt idx="296">
                  <c:v>4.3017538382963065E-2</c:v>
                </c:pt>
                <c:pt idx="297">
                  <c:v>4.3009898134086087E-2</c:v>
                </c:pt>
                <c:pt idx="298">
                  <c:v>4.3004533206453283E-2</c:v>
                </c:pt>
                <c:pt idx="299">
                  <c:v>4.3001143088412706E-2</c:v>
                </c:pt>
                <c:pt idx="300">
                  <c:v>4.2999999998820135E-2</c:v>
                </c:pt>
                <c:pt idx="301">
                  <c:v>4.2999999998820135E-2</c:v>
                </c:pt>
                <c:pt idx="302">
                  <c:v>4.3000000001040574E-2</c:v>
                </c:pt>
                <c:pt idx="303">
                  <c:v>4.2999999998820135E-2</c:v>
                </c:pt>
                <c:pt idx="304">
                  <c:v>4.3000000001040574E-2</c:v>
                </c:pt>
                <c:pt idx="305">
                  <c:v>4.2999999996599696E-2</c:v>
                </c:pt>
                <c:pt idx="306">
                  <c:v>4.3000000001040574E-2</c:v>
                </c:pt>
                <c:pt idx="307">
                  <c:v>4.2999999998820135E-2</c:v>
                </c:pt>
                <c:pt idx="308">
                  <c:v>4.3000000001040574E-2</c:v>
                </c:pt>
                <c:pt idx="309">
                  <c:v>4.3000000001040574E-2</c:v>
                </c:pt>
                <c:pt idx="310">
                  <c:v>4.2999999998820135E-2</c:v>
                </c:pt>
                <c:pt idx="311">
                  <c:v>4.2999999996599696E-2</c:v>
                </c:pt>
                <c:pt idx="312">
                  <c:v>4.3000000001040574E-2</c:v>
                </c:pt>
                <c:pt idx="313">
                  <c:v>4.2999999996599696E-2</c:v>
                </c:pt>
                <c:pt idx="314">
                  <c:v>4.3000000001040574E-2</c:v>
                </c:pt>
                <c:pt idx="315">
                  <c:v>4.2999999998820135E-2</c:v>
                </c:pt>
                <c:pt idx="316">
                  <c:v>4.2999999996599696E-2</c:v>
                </c:pt>
                <c:pt idx="317">
                  <c:v>4.2999999998820135E-2</c:v>
                </c:pt>
                <c:pt idx="318">
                  <c:v>4.3000000001040574E-2</c:v>
                </c:pt>
                <c:pt idx="319">
                  <c:v>4.2999999998820135E-2</c:v>
                </c:pt>
                <c:pt idx="320">
                  <c:v>4.3000000001040574E-2</c:v>
                </c:pt>
                <c:pt idx="321">
                  <c:v>4.2999999998820135E-2</c:v>
                </c:pt>
                <c:pt idx="322">
                  <c:v>4.2999999998820135E-2</c:v>
                </c:pt>
                <c:pt idx="323">
                  <c:v>4.3000000001040574E-2</c:v>
                </c:pt>
                <c:pt idx="324">
                  <c:v>4.2999999998820135E-2</c:v>
                </c:pt>
                <c:pt idx="325">
                  <c:v>4.3000000001040574E-2</c:v>
                </c:pt>
                <c:pt idx="326">
                  <c:v>4.3000000001040574E-2</c:v>
                </c:pt>
                <c:pt idx="327">
                  <c:v>4.3000000001040574E-2</c:v>
                </c:pt>
                <c:pt idx="328">
                  <c:v>4.2999999998820135E-2</c:v>
                </c:pt>
                <c:pt idx="329">
                  <c:v>4.3000000001040574E-2</c:v>
                </c:pt>
                <c:pt idx="330">
                  <c:v>4.2999999998820135E-2</c:v>
                </c:pt>
                <c:pt idx="331">
                  <c:v>4.2999999998820135E-2</c:v>
                </c:pt>
                <c:pt idx="332">
                  <c:v>4.2999999998820135E-2</c:v>
                </c:pt>
                <c:pt idx="333">
                  <c:v>4.3000000001040574E-2</c:v>
                </c:pt>
                <c:pt idx="334">
                  <c:v>4.3000000001040574E-2</c:v>
                </c:pt>
                <c:pt idx="335">
                  <c:v>4.3000000001040574E-2</c:v>
                </c:pt>
                <c:pt idx="336">
                  <c:v>4.3000000001040574E-2</c:v>
                </c:pt>
                <c:pt idx="337">
                  <c:v>4.3000000001040574E-2</c:v>
                </c:pt>
                <c:pt idx="338">
                  <c:v>4.2999999998820135E-2</c:v>
                </c:pt>
                <c:pt idx="339">
                  <c:v>4.2999999998820135E-2</c:v>
                </c:pt>
                <c:pt idx="340">
                  <c:v>4.3000000001040574E-2</c:v>
                </c:pt>
                <c:pt idx="341">
                  <c:v>4.2999999998820135E-2</c:v>
                </c:pt>
                <c:pt idx="342">
                  <c:v>4.2999999998820135E-2</c:v>
                </c:pt>
                <c:pt idx="343">
                  <c:v>4.2999999998820135E-2</c:v>
                </c:pt>
                <c:pt idx="344">
                  <c:v>4.2999999996599696E-2</c:v>
                </c:pt>
                <c:pt idx="345">
                  <c:v>4.2999999998820135E-2</c:v>
                </c:pt>
                <c:pt idx="346">
                  <c:v>4.3000000001040574E-2</c:v>
                </c:pt>
                <c:pt idx="347">
                  <c:v>4.2999999998820135E-2</c:v>
                </c:pt>
                <c:pt idx="348">
                  <c:v>4.2999999998820135E-2</c:v>
                </c:pt>
                <c:pt idx="349">
                  <c:v>4.3000000001040574E-2</c:v>
                </c:pt>
                <c:pt idx="350">
                  <c:v>4.3000000001040574E-2</c:v>
                </c:pt>
                <c:pt idx="351">
                  <c:v>4.3000000001040574E-2</c:v>
                </c:pt>
                <c:pt idx="352">
                  <c:v>4.2999999998820135E-2</c:v>
                </c:pt>
                <c:pt idx="353">
                  <c:v>4.3000000001040574E-2</c:v>
                </c:pt>
                <c:pt idx="354">
                  <c:v>4.2999999998820135E-2</c:v>
                </c:pt>
                <c:pt idx="355">
                  <c:v>4.3000000001040574E-2</c:v>
                </c:pt>
                <c:pt idx="356">
                  <c:v>4.2999999998820135E-2</c:v>
                </c:pt>
                <c:pt idx="357">
                  <c:v>4.3000000001040574E-2</c:v>
                </c:pt>
                <c:pt idx="358">
                  <c:v>4.3000000001040574E-2</c:v>
                </c:pt>
                <c:pt idx="359">
                  <c:v>4.3000000001040574E-2</c:v>
                </c:pt>
                <c:pt idx="360">
                  <c:v>4.2999999998820135E-2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62-4BD0-8AB6-6AFA8DC3CF57}"/>
            </c:ext>
          </c:extLst>
        </c:ser>
        <c:ser>
          <c:idx val="1"/>
          <c:order val="3"/>
          <c:tx>
            <c:strRef>
              <c:f>'YieldCurve (3)'!$E$26</c:f>
              <c:strCache>
                <c:ptCount val="1"/>
                <c:pt idx="0">
                  <c:v>C2 Cubic</c:v>
                </c:pt>
              </c:strCache>
            </c:strRef>
          </c:tx>
          <c:marker>
            <c:symbol val="none"/>
          </c:marker>
          <c:xVal>
            <c:numRef>
              <c:f>'YieldCurve (3)'!$C$27:$C$387</c:f>
              <c:numCache>
                <c:formatCode>0.00</c:formatCode>
                <c:ptCount val="361"/>
                <c:pt idx="0">
                  <c:v>0</c:v>
                </c:pt>
                <c:pt idx="1">
                  <c:v>8.2191780821917804E-2</c:v>
                </c:pt>
                <c:pt idx="2">
                  <c:v>0.16712328767123288</c:v>
                </c:pt>
                <c:pt idx="3">
                  <c:v>0.24931506849315069</c:v>
                </c:pt>
                <c:pt idx="4">
                  <c:v>0.33424657534246577</c:v>
                </c:pt>
                <c:pt idx="5">
                  <c:v>0.41917808219178082</c:v>
                </c:pt>
                <c:pt idx="6">
                  <c:v>0.49589041095890413</c:v>
                </c:pt>
                <c:pt idx="7">
                  <c:v>0.58082191780821912</c:v>
                </c:pt>
                <c:pt idx="8">
                  <c:v>0.66301369863013704</c:v>
                </c:pt>
                <c:pt idx="9">
                  <c:v>0.74794520547945209</c:v>
                </c:pt>
                <c:pt idx="10">
                  <c:v>0.83013698630136989</c:v>
                </c:pt>
                <c:pt idx="11">
                  <c:v>0.91506849315068495</c:v>
                </c:pt>
                <c:pt idx="12">
                  <c:v>1</c:v>
                </c:pt>
                <c:pt idx="13">
                  <c:v>1.0821917808219179</c:v>
                </c:pt>
                <c:pt idx="14">
                  <c:v>1.167123287671233</c:v>
                </c:pt>
                <c:pt idx="15">
                  <c:v>1.2493150684931507</c:v>
                </c:pt>
                <c:pt idx="16">
                  <c:v>1.3342465753424657</c:v>
                </c:pt>
                <c:pt idx="17">
                  <c:v>1.4191780821917808</c:v>
                </c:pt>
                <c:pt idx="18">
                  <c:v>1.4986301369863013</c:v>
                </c:pt>
                <c:pt idx="19">
                  <c:v>1.5835616438356164</c:v>
                </c:pt>
                <c:pt idx="20">
                  <c:v>1.6657534246575343</c:v>
                </c:pt>
                <c:pt idx="21">
                  <c:v>1.7506849315068493</c:v>
                </c:pt>
                <c:pt idx="22">
                  <c:v>1.832876712328767</c:v>
                </c:pt>
                <c:pt idx="23">
                  <c:v>1.9178082191780821</c:v>
                </c:pt>
                <c:pt idx="24">
                  <c:v>2.0027397260273974</c:v>
                </c:pt>
                <c:pt idx="25">
                  <c:v>2.0849315068493151</c:v>
                </c:pt>
                <c:pt idx="26">
                  <c:v>2.1698630136986301</c:v>
                </c:pt>
                <c:pt idx="27">
                  <c:v>2.2520547945205478</c:v>
                </c:pt>
                <c:pt idx="28">
                  <c:v>2.3369863013698629</c:v>
                </c:pt>
                <c:pt idx="29">
                  <c:v>2.4219178082191779</c:v>
                </c:pt>
                <c:pt idx="30">
                  <c:v>2.4986301369863013</c:v>
                </c:pt>
                <c:pt idx="31">
                  <c:v>2.5835616438356164</c:v>
                </c:pt>
                <c:pt idx="32">
                  <c:v>2.6657534246575341</c:v>
                </c:pt>
                <c:pt idx="33">
                  <c:v>2.7506849315068491</c:v>
                </c:pt>
                <c:pt idx="34">
                  <c:v>2.8328767123287673</c:v>
                </c:pt>
                <c:pt idx="35">
                  <c:v>2.9178082191780823</c:v>
                </c:pt>
                <c:pt idx="36">
                  <c:v>3.0027397260273974</c:v>
                </c:pt>
                <c:pt idx="37">
                  <c:v>3.0849315068493151</c:v>
                </c:pt>
                <c:pt idx="38">
                  <c:v>3.1698630136986301</c:v>
                </c:pt>
                <c:pt idx="39">
                  <c:v>3.2520547945205478</c:v>
                </c:pt>
                <c:pt idx="40">
                  <c:v>3.3369863013698629</c:v>
                </c:pt>
                <c:pt idx="41">
                  <c:v>3.4219178082191779</c:v>
                </c:pt>
                <c:pt idx="42">
                  <c:v>3.4986301369863013</c:v>
                </c:pt>
                <c:pt idx="43">
                  <c:v>3.5835616438356164</c:v>
                </c:pt>
                <c:pt idx="44">
                  <c:v>3.6657534246575341</c:v>
                </c:pt>
                <c:pt idx="45">
                  <c:v>3.7506849315068491</c:v>
                </c:pt>
                <c:pt idx="46">
                  <c:v>3.8328767123287673</c:v>
                </c:pt>
                <c:pt idx="47">
                  <c:v>3.9178082191780823</c:v>
                </c:pt>
                <c:pt idx="48">
                  <c:v>4.0027397260273974</c:v>
                </c:pt>
                <c:pt idx="49">
                  <c:v>4.0849315068493155</c:v>
                </c:pt>
                <c:pt idx="50">
                  <c:v>4.1698630136986301</c:v>
                </c:pt>
                <c:pt idx="51">
                  <c:v>4.2520547945205482</c:v>
                </c:pt>
                <c:pt idx="52">
                  <c:v>4.3369863013698629</c:v>
                </c:pt>
                <c:pt idx="53">
                  <c:v>4.4219178082191783</c:v>
                </c:pt>
                <c:pt idx="54">
                  <c:v>4.4986301369863018</c:v>
                </c:pt>
                <c:pt idx="55">
                  <c:v>4.5835616438356164</c:v>
                </c:pt>
                <c:pt idx="56">
                  <c:v>4.6657534246575345</c:v>
                </c:pt>
                <c:pt idx="57">
                  <c:v>4.7506849315068491</c:v>
                </c:pt>
                <c:pt idx="58">
                  <c:v>4.8328767123287673</c:v>
                </c:pt>
                <c:pt idx="59">
                  <c:v>4.9178082191780819</c:v>
                </c:pt>
                <c:pt idx="60">
                  <c:v>5.0027397260273974</c:v>
                </c:pt>
                <c:pt idx="61">
                  <c:v>5.0849315068493155</c:v>
                </c:pt>
                <c:pt idx="62">
                  <c:v>5.1698630136986301</c:v>
                </c:pt>
                <c:pt idx="63">
                  <c:v>5.2520547945205482</c:v>
                </c:pt>
                <c:pt idx="64">
                  <c:v>5.3369863013698629</c:v>
                </c:pt>
                <c:pt idx="65">
                  <c:v>5.4219178082191783</c:v>
                </c:pt>
                <c:pt idx="66">
                  <c:v>5.5013698630136982</c:v>
                </c:pt>
                <c:pt idx="67">
                  <c:v>5.5863013698630137</c:v>
                </c:pt>
                <c:pt idx="68">
                  <c:v>5.6684931506849319</c:v>
                </c:pt>
                <c:pt idx="69">
                  <c:v>5.7534246575342465</c:v>
                </c:pt>
                <c:pt idx="70">
                  <c:v>5.8356164383561646</c:v>
                </c:pt>
                <c:pt idx="71">
                  <c:v>5.9205479452054792</c:v>
                </c:pt>
                <c:pt idx="72">
                  <c:v>6.0054794520547947</c:v>
                </c:pt>
                <c:pt idx="73">
                  <c:v>6.087671232876712</c:v>
                </c:pt>
                <c:pt idx="74">
                  <c:v>6.1726027397260275</c:v>
                </c:pt>
                <c:pt idx="75">
                  <c:v>6.2547945205479456</c:v>
                </c:pt>
                <c:pt idx="76">
                  <c:v>6.3397260273972602</c:v>
                </c:pt>
                <c:pt idx="77">
                  <c:v>6.4246575342465757</c:v>
                </c:pt>
                <c:pt idx="78">
                  <c:v>6.5013698630136982</c:v>
                </c:pt>
                <c:pt idx="79">
                  <c:v>6.5863013698630137</c:v>
                </c:pt>
                <c:pt idx="80">
                  <c:v>6.6684931506849319</c:v>
                </c:pt>
                <c:pt idx="81">
                  <c:v>6.7534246575342465</c:v>
                </c:pt>
                <c:pt idx="82">
                  <c:v>6.8356164383561646</c:v>
                </c:pt>
                <c:pt idx="83">
                  <c:v>6.9205479452054792</c:v>
                </c:pt>
                <c:pt idx="84">
                  <c:v>7.0054794520547947</c:v>
                </c:pt>
                <c:pt idx="85">
                  <c:v>7.087671232876712</c:v>
                </c:pt>
                <c:pt idx="86">
                  <c:v>7.1726027397260275</c:v>
                </c:pt>
                <c:pt idx="87">
                  <c:v>7.2547945205479456</c:v>
                </c:pt>
                <c:pt idx="88">
                  <c:v>7.3397260273972602</c:v>
                </c:pt>
                <c:pt idx="89">
                  <c:v>7.4246575342465757</c:v>
                </c:pt>
                <c:pt idx="90">
                  <c:v>7.5013698630136982</c:v>
                </c:pt>
                <c:pt idx="91">
                  <c:v>7.5863013698630137</c:v>
                </c:pt>
                <c:pt idx="92">
                  <c:v>7.6684931506849319</c:v>
                </c:pt>
                <c:pt idx="93">
                  <c:v>7.7534246575342465</c:v>
                </c:pt>
                <c:pt idx="94">
                  <c:v>7.8356164383561646</c:v>
                </c:pt>
                <c:pt idx="95">
                  <c:v>7.9205479452054792</c:v>
                </c:pt>
                <c:pt idx="96">
                  <c:v>8.0054794520547947</c:v>
                </c:pt>
                <c:pt idx="97">
                  <c:v>8.087671232876712</c:v>
                </c:pt>
                <c:pt idx="98">
                  <c:v>8.1726027397260275</c:v>
                </c:pt>
                <c:pt idx="99">
                  <c:v>8.2547945205479447</c:v>
                </c:pt>
                <c:pt idx="100">
                  <c:v>8.3397260273972602</c:v>
                </c:pt>
                <c:pt idx="101">
                  <c:v>8.4246575342465757</c:v>
                </c:pt>
                <c:pt idx="102">
                  <c:v>8.5013698630136982</c:v>
                </c:pt>
                <c:pt idx="103">
                  <c:v>8.5863013698630137</c:v>
                </c:pt>
                <c:pt idx="104">
                  <c:v>8.668493150684931</c:v>
                </c:pt>
                <c:pt idx="105">
                  <c:v>8.7534246575342465</c:v>
                </c:pt>
                <c:pt idx="106">
                  <c:v>8.8356164383561637</c:v>
                </c:pt>
                <c:pt idx="107">
                  <c:v>8.9205479452054792</c:v>
                </c:pt>
                <c:pt idx="108">
                  <c:v>9.0054794520547947</c:v>
                </c:pt>
                <c:pt idx="109">
                  <c:v>9.087671232876712</c:v>
                </c:pt>
                <c:pt idx="110">
                  <c:v>9.1726027397260275</c:v>
                </c:pt>
                <c:pt idx="111">
                  <c:v>9.2547945205479447</c:v>
                </c:pt>
                <c:pt idx="112">
                  <c:v>9.3397260273972602</c:v>
                </c:pt>
                <c:pt idx="113">
                  <c:v>9.4246575342465757</c:v>
                </c:pt>
                <c:pt idx="114">
                  <c:v>9.5041095890410965</c:v>
                </c:pt>
                <c:pt idx="115">
                  <c:v>9.5890410958904102</c:v>
                </c:pt>
                <c:pt idx="116">
                  <c:v>9.6712328767123292</c:v>
                </c:pt>
                <c:pt idx="117">
                  <c:v>9.7561643835616429</c:v>
                </c:pt>
                <c:pt idx="118">
                  <c:v>9.838356164383562</c:v>
                </c:pt>
                <c:pt idx="119">
                  <c:v>9.9232876712328775</c:v>
                </c:pt>
                <c:pt idx="120">
                  <c:v>10.008219178082191</c:v>
                </c:pt>
                <c:pt idx="121">
                  <c:v>10.09041095890411</c:v>
                </c:pt>
                <c:pt idx="122">
                  <c:v>10.175342465753424</c:v>
                </c:pt>
                <c:pt idx="123">
                  <c:v>10.257534246575343</c:v>
                </c:pt>
                <c:pt idx="124">
                  <c:v>10.342465753424657</c:v>
                </c:pt>
                <c:pt idx="125">
                  <c:v>10.427397260273972</c:v>
                </c:pt>
                <c:pt idx="126">
                  <c:v>10.504109589041096</c:v>
                </c:pt>
                <c:pt idx="127">
                  <c:v>10.58904109589041</c:v>
                </c:pt>
                <c:pt idx="128">
                  <c:v>10.671232876712329</c:v>
                </c:pt>
                <c:pt idx="129">
                  <c:v>10.756164383561643</c:v>
                </c:pt>
                <c:pt idx="130">
                  <c:v>10.838356164383562</c:v>
                </c:pt>
                <c:pt idx="131">
                  <c:v>10.923287671232877</c:v>
                </c:pt>
                <c:pt idx="132">
                  <c:v>11.008219178082191</c:v>
                </c:pt>
                <c:pt idx="133">
                  <c:v>11.09041095890411</c:v>
                </c:pt>
                <c:pt idx="134">
                  <c:v>11.175342465753424</c:v>
                </c:pt>
                <c:pt idx="135">
                  <c:v>11.257534246575343</c:v>
                </c:pt>
                <c:pt idx="136">
                  <c:v>11.342465753424657</c:v>
                </c:pt>
                <c:pt idx="137">
                  <c:v>11.427397260273972</c:v>
                </c:pt>
                <c:pt idx="138">
                  <c:v>11.504109589041096</c:v>
                </c:pt>
                <c:pt idx="139">
                  <c:v>11.58904109589041</c:v>
                </c:pt>
                <c:pt idx="140">
                  <c:v>11.671232876712329</c:v>
                </c:pt>
                <c:pt idx="141">
                  <c:v>11.756164383561643</c:v>
                </c:pt>
                <c:pt idx="142">
                  <c:v>11.838356164383562</c:v>
                </c:pt>
                <c:pt idx="143">
                  <c:v>11.923287671232877</c:v>
                </c:pt>
                <c:pt idx="144">
                  <c:v>12.008219178082191</c:v>
                </c:pt>
                <c:pt idx="145">
                  <c:v>12.09041095890411</c:v>
                </c:pt>
                <c:pt idx="146">
                  <c:v>12.175342465753424</c:v>
                </c:pt>
                <c:pt idx="147">
                  <c:v>12.257534246575343</c:v>
                </c:pt>
                <c:pt idx="148">
                  <c:v>12.342465753424657</c:v>
                </c:pt>
                <c:pt idx="149">
                  <c:v>12.427397260273972</c:v>
                </c:pt>
                <c:pt idx="150">
                  <c:v>12.504109589041096</c:v>
                </c:pt>
                <c:pt idx="151">
                  <c:v>12.58904109589041</c:v>
                </c:pt>
                <c:pt idx="152">
                  <c:v>12.671232876712329</c:v>
                </c:pt>
                <c:pt idx="153">
                  <c:v>12.756164383561643</c:v>
                </c:pt>
                <c:pt idx="154">
                  <c:v>12.838356164383562</c:v>
                </c:pt>
                <c:pt idx="155">
                  <c:v>12.923287671232877</c:v>
                </c:pt>
                <c:pt idx="156">
                  <c:v>13.008219178082191</c:v>
                </c:pt>
                <c:pt idx="157">
                  <c:v>13.09041095890411</c:v>
                </c:pt>
                <c:pt idx="158">
                  <c:v>13.175342465753424</c:v>
                </c:pt>
                <c:pt idx="159">
                  <c:v>13.257534246575343</c:v>
                </c:pt>
                <c:pt idx="160">
                  <c:v>13.342465753424657</c:v>
                </c:pt>
                <c:pt idx="161">
                  <c:v>13.427397260273972</c:v>
                </c:pt>
                <c:pt idx="162">
                  <c:v>13.506849315068493</c:v>
                </c:pt>
                <c:pt idx="163">
                  <c:v>13.591780821917808</c:v>
                </c:pt>
                <c:pt idx="164">
                  <c:v>13.673972602739726</c:v>
                </c:pt>
                <c:pt idx="165">
                  <c:v>13.758904109589041</c:v>
                </c:pt>
                <c:pt idx="166">
                  <c:v>13.841095890410958</c:v>
                </c:pt>
                <c:pt idx="167">
                  <c:v>13.926027397260274</c:v>
                </c:pt>
                <c:pt idx="168">
                  <c:v>14.010958904109589</c:v>
                </c:pt>
                <c:pt idx="169">
                  <c:v>14.093150684931507</c:v>
                </c:pt>
                <c:pt idx="170">
                  <c:v>14.178082191780822</c:v>
                </c:pt>
                <c:pt idx="171">
                  <c:v>14.260273972602739</c:v>
                </c:pt>
                <c:pt idx="172">
                  <c:v>14.345205479452055</c:v>
                </c:pt>
                <c:pt idx="173">
                  <c:v>14.43013698630137</c:v>
                </c:pt>
                <c:pt idx="174">
                  <c:v>14.506849315068493</c:v>
                </c:pt>
                <c:pt idx="175">
                  <c:v>14.591780821917808</c:v>
                </c:pt>
                <c:pt idx="176">
                  <c:v>14.673972602739726</c:v>
                </c:pt>
                <c:pt idx="177">
                  <c:v>14.758904109589041</c:v>
                </c:pt>
                <c:pt idx="178">
                  <c:v>14.841095890410958</c:v>
                </c:pt>
                <c:pt idx="179">
                  <c:v>14.926027397260274</c:v>
                </c:pt>
                <c:pt idx="180">
                  <c:v>15.010958904109589</c:v>
                </c:pt>
                <c:pt idx="181">
                  <c:v>15.093150684931507</c:v>
                </c:pt>
                <c:pt idx="182">
                  <c:v>15.178082191780822</c:v>
                </c:pt>
                <c:pt idx="183">
                  <c:v>15.260273972602739</c:v>
                </c:pt>
                <c:pt idx="184">
                  <c:v>15.345205479452055</c:v>
                </c:pt>
                <c:pt idx="185">
                  <c:v>15.43013698630137</c:v>
                </c:pt>
                <c:pt idx="186">
                  <c:v>15.506849315068493</c:v>
                </c:pt>
                <c:pt idx="187">
                  <c:v>15.591780821917808</c:v>
                </c:pt>
                <c:pt idx="188">
                  <c:v>15.673972602739726</c:v>
                </c:pt>
                <c:pt idx="189">
                  <c:v>15.758904109589041</c:v>
                </c:pt>
                <c:pt idx="190">
                  <c:v>15.841095890410958</c:v>
                </c:pt>
                <c:pt idx="191">
                  <c:v>15.926027397260274</c:v>
                </c:pt>
                <c:pt idx="192">
                  <c:v>16.010958904109589</c:v>
                </c:pt>
                <c:pt idx="193">
                  <c:v>16.093150684931508</c:v>
                </c:pt>
                <c:pt idx="194">
                  <c:v>16.17808219178082</c:v>
                </c:pt>
                <c:pt idx="195">
                  <c:v>16.260273972602739</c:v>
                </c:pt>
                <c:pt idx="196">
                  <c:v>16.345205479452055</c:v>
                </c:pt>
                <c:pt idx="197">
                  <c:v>16.43013698630137</c:v>
                </c:pt>
                <c:pt idx="198">
                  <c:v>16.506849315068493</c:v>
                </c:pt>
                <c:pt idx="199">
                  <c:v>16.591780821917808</c:v>
                </c:pt>
                <c:pt idx="200">
                  <c:v>16.673972602739727</c:v>
                </c:pt>
                <c:pt idx="201">
                  <c:v>16.758904109589039</c:v>
                </c:pt>
                <c:pt idx="202">
                  <c:v>16.841095890410958</c:v>
                </c:pt>
                <c:pt idx="203">
                  <c:v>16.926027397260274</c:v>
                </c:pt>
                <c:pt idx="204">
                  <c:v>17.010958904109589</c:v>
                </c:pt>
                <c:pt idx="205">
                  <c:v>17.093150684931508</c:v>
                </c:pt>
                <c:pt idx="206">
                  <c:v>17.17808219178082</c:v>
                </c:pt>
                <c:pt idx="207">
                  <c:v>17.260273972602739</c:v>
                </c:pt>
                <c:pt idx="208">
                  <c:v>17.345205479452055</c:v>
                </c:pt>
                <c:pt idx="209">
                  <c:v>17.43013698630137</c:v>
                </c:pt>
                <c:pt idx="210">
                  <c:v>17.509589041095889</c:v>
                </c:pt>
                <c:pt idx="211">
                  <c:v>17.594520547945205</c:v>
                </c:pt>
                <c:pt idx="212">
                  <c:v>17.676712328767124</c:v>
                </c:pt>
                <c:pt idx="213">
                  <c:v>17.761643835616439</c:v>
                </c:pt>
                <c:pt idx="214">
                  <c:v>17.843835616438355</c:v>
                </c:pt>
                <c:pt idx="215">
                  <c:v>17.92876712328767</c:v>
                </c:pt>
                <c:pt idx="216">
                  <c:v>18.013698630136986</c:v>
                </c:pt>
                <c:pt idx="217">
                  <c:v>18.095890410958905</c:v>
                </c:pt>
                <c:pt idx="218">
                  <c:v>18.18082191780822</c:v>
                </c:pt>
                <c:pt idx="219">
                  <c:v>18.263013698630136</c:v>
                </c:pt>
                <c:pt idx="220">
                  <c:v>18.347945205479451</c:v>
                </c:pt>
                <c:pt idx="221">
                  <c:v>18.432876712328767</c:v>
                </c:pt>
                <c:pt idx="222">
                  <c:v>18.509589041095889</c:v>
                </c:pt>
                <c:pt idx="223">
                  <c:v>18.594520547945205</c:v>
                </c:pt>
                <c:pt idx="224">
                  <c:v>18.676712328767124</c:v>
                </c:pt>
                <c:pt idx="225">
                  <c:v>18.761643835616439</c:v>
                </c:pt>
                <c:pt idx="226">
                  <c:v>18.843835616438355</c:v>
                </c:pt>
                <c:pt idx="227">
                  <c:v>18.92876712328767</c:v>
                </c:pt>
                <c:pt idx="228">
                  <c:v>19.013698630136986</c:v>
                </c:pt>
                <c:pt idx="229">
                  <c:v>19.095890410958905</c:v>
                </c:pt>
                <c:pt idx="230">
                  <c:v>19.18082191780822</c:v>
                </c:pt>
                <c:pt idx="231">
                  <c:v>19.263013698630136</c:v>
                </c:pt>
                <c:pt idx="232">
                  <c:v>19.347945205479451</c:v>
                </c:pt>
                <c:pt idx="233">
                  <c:v>19.432876712328767</c:v>
                </c:pt>
                <c:pt idx="234">
                  <c:v>19.509589041095889</c:v>
                </c:pt>
                <c:pt idx="235">
                  <c:v>19.594520547945205</c:v>
                </c:pt>
                <c:pt idx="236">
                  <c:v>19.676712328767124</c:v>
                </c:pt>
                <c:pt idx="237">
                  <c:v>19.761643835616439</c:v>
                </c:pt>
                <c:pt idx="238">
                  <c:v>19.843835616438355</c:v>
                </c:pt>
                <c:pt idx="239">
                  <c:v>19.92876712328767</c:v>
                </c:pt>
                <c:pt idx="240">
                  <c:v>20.013698630136986</c:v>
                </c:pt>
                <c:pt idx="241">
                  <c:v>20.095890410958905</c:v>
                </c:pt>
                <c:pt idx="242">
                  <c:v>20.18082191780822</c:v>
                </c:pt>
                <c:pt idx="243">
                  <c:v>20.263013698630136</c:v>
                </c:pt>
                <c:pt idx="244">
                  <c:v>20.347945205479451</c:v>
                </c:pt>
                <c:pt idx="245">
                  <c:v>20.432876712328767</c:v>
                </c:pt>
                <c:pt idx="246">
                  <c:v>20.509589041095889</c:v>
                </c:pt>
                <c:pt idx="247">
                  <c:v>20.594520547945205</c:v>
                </c:pt>
                <c:pt idx="248">
                  <c:v>20.676712328767124</c:v>
                </c:pt>
                <c:pt idx="249">
                  <c:v>20.761643835616439</c:v>
                </c:pt>
                <c:pt idx="250">
                  <c:v>20.843835616438355</c:v>
                </c:pt>
                <c:pt idx="251">
                  <c:v>20.92876712328767</c:v>
                </c:pt>
                <c:pt idx="252">
                  <c:v>21.013698630136986</c:v>
                </c:pt>
                <c:pt idx="253">
                  <c:v>21.095890410958905</c:v>
                </c:pt>
                <c:pt idx="254">
                  <c:v>21.18082191780822</c:v>
                </c:pt>
                <c:pt idx="255">
                  <c:v>21.263013698630136</c:v>
                </c:pt>
                <c:pt idx="256">
                  <c:v>21.347945205479451</c:v>
                </c:pt>
                <c:pt idx="257">
                  <c:v>21.432876712328767</c:v>
                </c:pt>
                <c:pt idx="258">
                  <c:v>21.512328767123286</c:v>
                </c:pt>
                <c:pt idx="259">
                  <c:v>21.597260273972601</c:v>
                </c:pt>
                <c:pt idx="260">
                  <c:v>21.67945205479452</c:v>
                </c:pt>
                <c:pt idx="261">
                  <c:v>21.764383561643836</c:v>
                </c:pt>
                <c:pt idx="262">
                  <c:v>21.846575342465755</c:v>
                </c:pt>
                <c:pt idx="263">
                  <c:v>21.931506849315067</c:v>
                </c:pt>
                <c:pt idx="264">
                  <c:v>22.016438356164382</c:v>
                </c:pt>
                <c:pt idx="265">
                  <c:v>22.098630136986301</c:v>
                </c:pt>
                <c:pt idx="266">
                  <c:v>22.183561643835617</c:v>
                </c:pt>
                <c:pt idx="267">
                  <c:v>22.265753424657536</c:v>
                </c:pt>
                <c:pt idx="268">
                  <c:v>22.350684931506848</c:v>
                </c:pt>
                <c:pt idx="269">
                  <c:v>22.435616438356163</c:v>
                </c:pt>
                <c:pt idx="270">
                  <c:v>22.512328767123286</c:v>
                </c:pt>
                <c:pt idx="271">
                  <c:v>22.597260273972601</c:v>
                </c:pt>
                <c:pt idx="272">
                  <c:v>22.67945205479452</c:v>
                </c:pt>
                <c:pt idx="273">
                  <c:v>22.764383561643836</c:v>
                </c:pt>
                <c:pt idx="274">
                  <c:v>22.846575342465755</c:v>
                </c:pt>
                <c:pt idx="275">
                  <c:v>22.931506849315067</c:v>
                </c:pt>
                <c:pt idx="276">
                  <c:v>23.016438356164382</c:v>
                </c:pt>
                <c:pt idx="277">
                  <c:v>23.098630136986301</c:v>
                </c:pt>
                <c:pt idx="278">
                  <c:v>23.183561643835617</c:v>
                </c:pt>
                <c:pt idx="279">
                  <c:v>23.265753424657536</c:v>
                </c:pt>
                <c:pt idx="280">
                  <c:v>23.350684931506848</c:v>
                </c:pt>
                <c:pt idx="281">
                  <c:v>23.435616438356163</c:v>
                </c:pt>
                <c:pt idx="282">
                  <c:v>23.512328767123286</c:v>
                </c:pt>
                <c:pt idx="283">
                  <c:v>23.597260273972601</c:v>
                </c:pt>
                <c:pt idx="284">
                  <c:v>23.67945205479452</c:v>
                </c:pt>
                <c:pt idx="285">
                  <c:v>23.764383561643836</c:v>
                </c:pt>
                <c:pt idx="286">
                  <c:v>23.846575342465755</c:v>
                </c:pt>
                <c:pt idx="287">
                  <c:v>23.931506849315067</c:v>
                </c:pt>
                <c:pt idx="288">
                  <c:v>24.016438356164382</c:v>
                </c:pt>
                <c:pt idx="289">
                  <c:v>24.098630136986301</c:v>
                </c:pt>
                <c:pt idx="290">
                  <c:v>24.183561643835617</c:v>
                </c:pt>
                <c:pt idx="291">
                  <c:v>24.265753424657536</c:v>
                </c:pt>
                <c:pt idx="292">
                  <c:v>24.350684931506848</c:v>
                </c:pt>
                <c:pt idx="293">
                  <c:v>24.435616438356163</c:v>
                </c:pt>
                <c:pt idx="294">
                  <c:v>24.512328767123286</c:v>
                </c:pt>
                <c:pt idx="295">
                  <c:v>24.597260273972601</c:v>
                </c:pt>
                <c:pt idx="296">
                  <c:v>24.67945205479452</c:v>
                </c:pt>
                <c:pt idx="297">
                  <c:v>24.764383561643836</c:v>
                </c:pt>
                <c:pt idx="298">
                  <c:v>24.846575342465755</c:v>
                </c:pt>
                <c:pt idx="299">
                  <c:v>24.931506849315067</c:v>
                </c:pt>
                <c:pt idx="300">
                  <c:v>25.016438356164382</c:v>
                </c:pt>
                <c:pt idx="301">
                  <c:v>25.098630136986301</c:v>
                </c:pt>
                <c:pt idx="302">
                  <c:v>25.183561643835617</c:v>
                </c:pt>
                <c:pt idx="303">
                  <c:v>25.265753424657536</c:v>
                </c:pt>
                <c:pt idx="304">
                  <c:v>25.350684931506848</c:v>
                </c:pt>
                <c:pt idx="305">
                  <c:v>25.435616438356163</c:v>
                </c:pt>
                <c:pt idx="306">
                  <c:v>25.515068493150686</c:v>
                </c:pt>
                <c:pt idx="307">
                  <c:v>25.6</c:v>
                </c:pt>
                <c:pt idx="308">
                  <c:v>25.682191780821917</c:v>
                </c:pt>
                <c:pt idx="309">
                  <c:v>25.767123287671232</c:v>
                </c:pt>
                <c:pt idx="310">
                  <c:v>25.849315068493151</c:v>
                </c:pt>
                <c:pt idx="311">
                  <c:v>25.934246575342467</c:v>
                </c:pt>
                <c:pt idx="312">
                  <c:v>26.019178082191782</c:v>
                </c:pt>
                <c:pt idx="313">
                  <c:v>26.101369863013698</c:v>
                </c:pt>
                <c:pt idx="314">
                  <c:v>26.186301369863013</c:v>
                </c:pt>
                <c:pt idx="315">
                  <c:v>26.268493150684932</c:v>
                </c:pt>
                <c:pt idx="316">
                  <c:v>26.353424657534248</c:v>
                </c:pt>
                <c:pt idx="317">
                  <c:v>26.438356164383563</c:v>
                </c:pt>
                <c:pt idx="318">
                  <c:v>26.515068493150686</c:v>
                </c:pt>
                <c:pt idx="319">
                  <c:v>26.6</c:v>
                </c:pt>
                <c:pt idx="320">
                  <c:v>26.682191780821917</c:v>
                </c:pt>
                <c:pt idx="321">
                  <c:v>26.767123287671232</c:v>
                </c:pt>
                <c:pt idx="322">
                  <c:v>26.849315068493151</c:v>
                </c:pt>
                <c:pt idx="323">
                  <c:v>26.934246575342467</c:v>
                </c:pt>
                <c:pt idx="324">
                  <c:v>27.019178082191782</c:v>
                </c:pt>
                <c:pt idx="325">
                  <c:v>27.101369863013698</c:v>
                </c:pt>
                <c:pt idx="326">
                  <c:v>27.186301369863013</c:v>
                </c:pt>
                <c:pt idx="327">
                  <c:v>27.268493150684932</c:v>
                </c:pt>
                <c:pt idx="328">
                  <c:v>27.353424657534248</c:v>
                </c:pt>
                <c:pt idx="329">
                  <c:v>27.438356164383563</c:v>
                </c:pt>
                <c:pt idx="330">
                  <c:v>27.515068493150686</c:v>
                </c:pt>
                <c:pt idx="331">
                  <c:v>27.6</c:v>
                </c:pt>
                <c:pt idx="332">
                  <c:v>27.682191780821917</c:v>
                </c:pt>
                <c:pt idx="333">
                  <c:v>27.767123287671232</c:v>
                </c:pt>
                <c:pt idx="334">
                  <c:v>27.849315068493151</c:v>
                </c:pt>
                <c:pt idx="335">
                  <c:v>27.934246575342467</c:v>
                </c:pt>
                <c:pt idx="336">
                  <c:v>28.019178082191782</c:v>
                </c:pt>
                <c:pt idx="337">
                  <c:v>28.101369863013698</c:v>
                </c:pt>
                <c:pt idx="338">
                  <c:v>28.186301369863013</c:v>
                </c:pt>
                <c:pt idx="339">
                  <c:v>28.268493150684932</c:v>
                </c:pt>
                <c:pt idx="340">
                  <c:v>28.353424657534248</c:v>
                </c:pt>
                <c:pt idx="341">
                  <c:v>28.438356164383563</c:v>
                </c:pt>
                <c:pt idx="342">
                  <c:v>28.515068493150686</c:v>
                </c:pt>
                <c:pt idx="343">
                  <c:v>28.6</c:v>
                </c:pt>
                <c:pt idx="344">
                  <c:v>28.682191780821917</c:v>
                </c:pt>
                <c:pt idx="345">
                  <c:v>28.767123287671232</c:v>
                </c:pt>
                <c:pt idx="346">
                  <c:v>28.849315068493151</c:v>
                </c:pt>
                <c:pt idx="347">
                  <c:v>28.934246575342467</c:v>
                </c:pt>
                <c:pt idx="348">
                  <c:v>29.019178082191782</c:v>
                </c:pt>
                <c:pt idx="349">
                  <c:v>29.101369863013698</c:v>
                </c:pt>
                <c:pt idx="350">
                  <c:v>29.186301369863013</c:v>
                </c:pt>
                <c:pt idx="351">
                  <c:v>29.268493150684932</c:v>
                </c:pt>
                <c:pt idx="352">
                  <c:v>29.353424657534248</c:v>
                </c:pt>
                <c:pt idx="353">
                  <c:v>29.438356164383563</c:v>
                </c:pt>
                <c:pt idx="354">
                  <c:v>29.517808219178082</c:v>
                </c:pt>
                <c:pt idx="355">
                  <c:v>29.602739726027398</c:v>
                </c:pt>
                <c:pt idx="356">
                  <c:v>29.684931506849313</c:v>
                </c:pt>
                <c:pt idx="357">
                  <c:v>29.769863013698629</c:v>
                </c:pt>
                <c:pt idx="358">
                  <c:v>29.852054794520548</c:v>
                </c:pt>
                <c:pt idx="359">
                  <c:v>29.936986301369863</c:v>
                </c:pt>
                <c:pt idx="360">
                  <c:v>30.021917808219179</c:v>
                </c:pt>
              </c:numCache>
            </c:numRef>
          </c:xVal>
          <c:yVal>
            <c:numRef>
              <c:f>'YieldCurve (3)'!$E$27:$E$387</c:f>
              <c:numCache>
                <c:formatCode>0.00%</c:formatCode>
                <c:ptCount val="361"/>
                <c:pt idx="0">
                  <c:v>2.6999992289442519E-2</c:v>
                </c:pt>
                <c:pt idx="1">
                  <c:v>2.6987409473091001E-2</c:v>
                </c:pt>
                <c:pt idx="2">
                  <c:v>2.6974945032824105E-2</c:v>
                </c:pt>
                <c:pt idx="3">
                  <c:v>2.6963939013101582E-2</c:v>
                </c:pt>
                <c:pt idx="4">
                  <c:v>2.695420944886499E-2</c:v>
                </c:pt>
                <c:pt idx="5">
                  <c:v>2.6946710965033861E-2</c:v>
                </c:pt>
                <c:pt idx="6">
                  <c:v>2.6942327358932185E-2</c:v>
                </c:pt>
                <c:pt idx="7">
                  <c:v>2.6940641363246198E-2</c:v>
                </c:pt>
                <c:pt idx="8">
                  <c:v>2.694269533470094E-2</c:v>
                </c:pt>
                <c:pt idx="9">
                  <c:v>2.6949177973866558E-2</c:v>
                </c:pt>
                <c:pt idx="10">
                  <c:v>2.6960199221383277E-2</c:v>
                </c:pt>
                <c:pt idx="11">
                  <c:v>2.6977045589104243E-2</c:v>
                </c:pt>
                <c:pt idx="12">
                  <c:v>2.7000000001030824E-2</c:v>
                </c:pt>
                <c:pt idx="13">
                  <c:v>2.7028326774263048E-2</c:v>
                </c:pt>
                <c:pt idx="14">
                  <c:v>2.7063201554041114E-2</c:v>
                </c:pt>
                <c:pt idx="15">
                  <c:v>2.7101441916826233E-2</c:v>
                </c:pt>
                <c:pt idx="16">
                  <c:v>2.7144623118226439E-2</c:v>
                </c:pt>
                <c:pt idx="17">
                  <c:v>2.7190540503274272E-2</c:v>
                </c:pt>
                <c:pt idx="18">
                  <c:v>2.7235085989256218E-2</c:v>
                </c:pt>
                <c:pt idx="19">
                  <c:v>2.7283456054139635E-2</c:v>
                </c:pt>
                <c:pt idx="20">
                  <c:v>2.733008395491901E-2</c:v>
                </c:pt>
                <c:pt idx="21">
                  <c:v>2.7377104107303936E-2</c:v>
                </c:pt>
                <c:pt idx="22">
                  <c:v>2.7420550521303589E-2</c:v>
                </c:pt>
                <c:pt idx="23">
                  <c:v>2.7462345518427814E-2</c:v>
                </c:pt>
                <c:pt idx="24">
                  <c:v>2.7499999998844116E-2</c:v>
                </c:pt>
                <c:pt idx="25">
                  <c:v>2.7531951041557732E-2</c:v>
                </c:pt>
                <c:pt idx="26">
                  <c:v>2.7561470460418926E-2</c:v>
                </c:pt>
                <c:pt idx="27">
                  <c:v>2.758816517319004E-2</c:v>
                </c:pt>
                <c:pt idx="28">
                  <c:v>2.761539375736145E-2</c:v>
                </c:pt>
                <c:pt idx="29">
                  <c:v>2.7643865368145865E-2</c:v>
                </c:pt>
                <c:pt idx="30">
                  <c:v>2.7671999463101921E-2</c:v>
                </c:pt>
                <c:pt idx="31">
                  <c:v>2.7707318737175544E-2</c:v>
                </c:pt>
                <c:pt idx="32">
                  <c:v>2.7747149947198603E-2</c:v>
                </c:pt>
                <c:pt idx="33">
                  <c:v>2.779572743865763E-2</c:v>
                </c:pt>
                <c:pt idx="34">
                  <c:v>2.785142857170339E-2</c:v>
                </c:pt>
                <c:pt idx="35">
                  <c:v>2.7919545686885022E-2</c:v>
                </c:pt>
                <c:pt idx="36">
                  <c:v>2.800000000052312E-2</c:v>
                </c:pt>
                <c:pt idx="37">
                  <c:v>2.8090897716968113E-2</c:v>
                </c:pt>
                <c:pt idx="38">
                  <c:v>2.8198617626542348E-2</c:v>
                </c:pt>
                <c:pt idx="39">
                  <c:v>2.8316266146979269E-2</c:v>
                </c:pt>
                <c:pt idx="40">
                  <c:v>2.8451745114616424E-2</c:v>
                </c:pt>
                <c:pt idx="41">
                  <c:v>2.8601420483844755E-2</c:v>
                </c:pt>
                <c:pt idx="42">
                  <c:v>2.8748863331975551E-2</c:v>
                </c:pt>
                <c:pt idx="43">
                  <c:v>2.8925723996551002E-2</c:v>
                </c:pt>
                <c:pt idx="44">
                  <c:v>2.9110562155644809E-2</c:v>
                </c:pt>
                <c:pt idx="45">
                  <c:v>2.9315758953051219E-2</c:v>
                </c:pt>
                <c:pt idx="46">
                  <c:v>2.9528131975764323E-2</c:v>
                </c:pt>
                <c:pt idx="47">
                  <c:v>2.9761898026503697E-2</c:v>
                </c:pt>
                <c:pt idx="48">
                  <c:v>3.0010272213721725E-2</c:v>
                </c:pt>
                <c:pt idx="49">
                  <c:v>3.026432018569105E-2</c:v>
                </c:pt>
                <c:pt idx="50">
                  <c:v>3.0539543186012721E-2</c:v>
                </c:pt>
                <c:pt idx="51">
                  <c:v>3.0816515538466076E-2</c:v>
                </c:pt>
                <c:pt idx="52">
                  <c:v>3.1111958117763069E-2</c:v>
                </c:pt>
                <c:pt idx="53">
                  <c:v>3.1415017404977964E-2</c:v>
                </c:pt>
                <c:pt idx="54">
                  <c:v>3.1693804680063629E-2</c:v>
                </c:pt>
                <c:pt idx="55">
                  <c:v>3.2006409965272015E-2</c:v>
                </c:pt>
                <c:pt idx="56">
                  <c:v>3.2311248656228371E-2</c:v>
                </c:pt>
                <c:pt idx="57">
                  <c:v>3.2626899369418969E-2</c:v>
                </c:pt>
                <c:pt idx="58">
                  <c:v>3.2931328197319212E-2</c:v>
                </c:pt>
                <c:pt idx="59">
                  <c:v>3.3243086439748652E-2</c:v>
                </c:pt>
                <c:pt idx="60">
                  <c:v>3.3550207723870941E-2</c:v>
                </c:pt>
                <c:pt idx="61">
                  <c:v>3.3841625837430903E-2</c:v>
                </c:pt>
                <c:pt idx="62">
                  <c:v>3.4136662302415646E-2</c:v>
                </c:pt>
                <c:pt idx="63">
                  <c:v>3.4416504594004679E-2</c:v>
                </c:pt>
                <c:pt idx="64">
                  <c:v>3.4700040872267274E-2</c:v>
                </c:pt>
                <c:pt idx="65">
                  <c:v>3.4978086518201862E-2</c:v>
                </c:pt>
                <c:pt idx="66">
                  <c:v>3.5233434190738912E-2</c:v>
                </c:pt>
                <c:pt idx="67">
                  <c:v>3.550152998735423E-2</c:v>
                </c:pt>
                <c:pt idx="68">
                  <c:v>3.5756413534992454E-2</c:v>
                </c:pt>
                <c:pt idx="69">
                  <c:v>3.6015309083511401E-2</c:v>
                </c:pt>
                <c:pt idx="70">
                  <c:v>3.6261735780185045E-2</c:v>
                </c:pt>
                <c:pt idx="71">
                  <c:v>3.6512354082527836E-2</c:v>
                </c:pt>
                <c:pt idx="72">
                  <c:v>3.6759119639081114E-2</c:v>
                </c:pt>
                <c:pt idx="73">
                  <c:v>3.6994617053735343E-2</c:v>
                </c:pt>
                <c:pt idx="74">
                  <c:v>3.7235503538614843E-2</c:v>
                </c:pt>
                <c:pt idx="75">
                  <c:v>3.7467297931371588E-2</c:v>
                </c:pt>
                <c:pt idx="76">
                  <c:v>3.7706560458904408E-2</c:v>
                </c:pt>
                <c:pt idx="77">
                  <c:v>3.7946685822789122E-2</c:v>
                </c:pt>
                <c:pt idx="78">
                  <c:v>3.8165261165915169E-2</c:v>
                </c:pt>
                <c:pt idx="79">
                  <c:v>3.8410171741498571E-2</c:v>
                </c:pt>
                <c:pt idx="80">
                  <c:v>3.8651136622571483E-2</c:v>
                </c:pt>
                <c:pt idx="81">
                  <c:v>3.8905327402276854E-2</c:v>
                </c:pt>
                <c:pt idx="82">
                  <c:v>3.9157404572289459E-2</c:v>
                </c:pt>
                <c:pt idx="83">
                  <c:v>3.942528054477315E-2</c:v>
                </c:pt>
                <c:pt idx="84">
                  <c:v>3.9701799415468128E-2</c:v>
                </c:pt>
                <c:pt idx="85">
                  <c:v>3.9977833186269102E-2</c:v>
                </c:pt>
                <c:pt idx="86">
                  <c:v>4.0268267592103946E-2</c:v>
                </c:pt>
                <c:pt idx="87">
                  <c:v>4.0550084324565028E-2</c:v>
                </c:pt>
                <c:pt idx="88">
                  <c:v>4.0837599269914253E-2</c:v>
                </c:pt>
                <c:pt idx="89">
                  <c:v>4.1116812743866096E-2</c:v>
                </c:pt>
                <c:pt idx="90">
                  <c:v>4.1358048495204427E-2</c:v>
                </c:pt>
                <c:pt idx="91">
                  <c:v>4.1608768650046139E-2</c:v>
                </c:pt>
                <c:pt idx="92">
                  <c:v>4.1830843301480049E-2</c:v>
                </c:pt>
                <c:pt idx="93">
                  <c:v>4.2034605531231062E-2</c:v>
                </c:pt>
                <c:pt idx="94">
                  <c:v>4.2202628787170321E-2</c:v>
                </c:pt>
                <c:pt idx="95">
                  <c:v>4.2341642721643327E-2</c:v>
                </c:pt>
                <c:pt idx="96">
                  <c:v>4.2440933973395677E-2</c:v>
                </c:pt>
                <c:pt idx="97">
                  <c:v>4.2498192285896227E-2</c:v>
                </c:pt>
                <c:pt idx="98">
                  <c:v>4.2530486184934546E-2</c:v>
                </c:pt>
                <c:pt idx="99">
                  <c:v>4.255192201122926E-2</c:v>
                </c:pt>
                <c:pt idx="100">
                  <c:v>4.2580842132103884E-2</c:v>
                </c:pt>
                <c:pt idx="101">
                  <c:v>4.263383358625393E-2</c:v>
                </c:pt>
                <c:pt idx="102">
                  <c:v>4.2716841117025763E-2</c:v>
                </c:pt>
                <c:pt idx="103">
                  <c:v>4.286365521140463E-2</c:v>
                </c:pt>
                <c:pt idx="104">
                  <c:v>4.3076510287373804E-2</c:v>
                </c:pt>
                <c:pt idx="105">
                  <c:v>4.3386509996470493E-2</c:v>
                </c:pt>
                <c:pt idx="106">
                  <c:v>4.378984417194743E-2</c:v>
                </c:pt>
                <c:pt idx="107">
                  <c:v>4.4330315072308037E-2</c:v>
                </c:pt>
                <c:pt idx="108">
                  <c:v>4.5013696555125937E-2</c:v>
                </c:pt>
                <c:pt idx="109">
                  <c:v>4.5820599241021276E-2</c:v>
                </c:pt>
                <c:pt idx="110">
                  <c:v>4.6785033966138048E-2</c:v>
                </c:pt>
                <c:pt idx="111">
                  <c:v>4.781858483377939E-2</c:v>
                </c:pt>
                <c:pt idx="112">
                  <c:v>4.8962790349449614E-2</c:v>
                </c:pt>
                <c:pt idx="113">
                  <c:v>5.0156634553761452E-2</c:v>
                </c:pt>
                <c:pt idx="114">
                  <c:v>5.1293488744331678E-2</c:v>
                </c:pt>
                <c:pt idx="115">
                  <c:v>5.2503536681173517E-2</c:v>
                </c:pt>
                <c:pt idx="116">
                  <c:v>5.3643518403941222E-2</c:v>
                </c:pt>
                <c:pt idx="117">
                  <c:v>5.4762067811544156E-2</c:v>
                </c:pt>
                <c:pt idx="118">
                  <c:v>5.5760826119443968E-2</c:v>
                </c:pt>
                <c:pt idx="119">
                  <c:v>5.6679012329217696E-2</c:v>
                </c:pt>
                <c:pt idx="120">
                  <c:v>5.745365438002005E-2</c:v>
                </c:pt>
                <c:pt idx="121">
                  <c:v>5.8045878708991819E-2</c:v>
                </c:pt>
                <c:pt idx="122">
                  <c:v>5.8498379289285682E-2</c:v>
                </c:pt>
                <c:pt idx="123">
                  <c:v>5.8791085153110954E-2</c:v>
                </c:pt>
                <c:pt idx="124">
                  <c:v>5.8953040314830243E-2</c:v>
                </c:pt>
                <c:pt idx="125">
                  <c:v>5.8981871035830233E-2</c:v>
                </c:pt>
                <c:pt idx="126">
                  <c:v>5.890163317501261E-2</c:v>
                </c:pt>
                <c:pt idx="127">
                  <c:v>5.8704150338228782E-2</c:v>
                </c:pt>
                <c:pt idx="128">
                  <c:v>5.841325257051521E-2</c:v>
                </c:pt>
                <c:pt idx="129">
                  <c:v>5.8019076981594087E-2</c:v>
                </c:pt>
                <c:pt idx="130">
                  <c:v>5.7556176869378986E-2</c:v>
                </c:pt>
                <c:pt idx="131">
                  <c:v>5.7003222516921297E-2</c:v>
                </c:pt>
                <c:pt idx="132">
                  <c:v>5.6384107110789172E-2</c:v>
                </c:pt>
                <c:pt idx="133">
                  <c:v>5.5731191896366765E-2</c:v>
                </c:pt>
                <c:pt idx="134">
                  <c:v>5.5010479484908753E-2</c:v>
                </c:pt>
                <c:pt idx="135">
                  <c:v>5.4277590063775576E-2</c:v>
                </c:pt>
                <c:pt idx="136">
                  <c:v>5.3493194640854343E-2</c:v>
                </c:pt>
                <c:pt idx="137">
                  <c:v>5.2690965507017906E-2</c:v>
                </c:pt>
                <c:pt idx="138">
                  <c:v>5.1959187780708453E-2</c:v>
                </c:pt>
                <c:pt idx="139">
                  <c:v>5.1150069383153557E-2</c:v>
                </c:pt>
                <c:pt idx="140">
                  <c:v>5.037703836683928E-2</c:v>
                </c:pt>
                <c:pt idx="141">
                  <c:v>4.959808962267645E-2</c:v>
                </c:pt>
                <c:pt idx="142">
                  <c:v>4.8872600526492602E-2</c:v>
                </c:pt>
                <c:pt idx="143">
                  <c:v>4.8161735426946871E-2</c:v>
                </c:pt>
                <c:pt idx="144">
                  <c:v>4.7500000003722349E-2</c:v>
                </c:pt>
                <c:pt idx="145">
                  <c:v>4.6913826818649675E-2</c:v>
                </c:pt>
                <c:pt idx="146">
                  <c:v>4.6364136400112284E-2</c:v>
                </c:pt>
                <c:pt idx="147">
                  <c:v>4.588450624966349E-2</c:v>
                </c:pt>
                <c:pt idx="148">
                  <c:v>4.5440990332511387E-2</c:v>
                </c:pt>
                <c:pt idx="149">
                  <c:v>4.5048427445656007E-2</c:v>
                </c:pt>
                <c:pt idx="150">
                  <c:v>4.4735965542029223E-2</c:v>
                </c:pt>
                <c:pt idx="151">
                  <c:v>4.4434783850793844E-2</c:v>
                </c:pt>
                <c:pt idx="152">
                  <c:v>4.4186255508346706E-2</c:v>
                </c:pt>
                <c:pt idx="153">
                  <c:v>4.3971841267859857E-2</c:v>
                </c:pt>
                <c:pt idx="154">
                  <c:v>4.3803487911615854E-2</c:v>
                </c:pt>
                <c:pt idx="155">
                  <c:v>4.3668001185036734E-2</c:v>
                </c:pt>
                <c:pt idx="156">
                  <c:v>4.3569620659667727E-2</c:v>
                </c:pt>
                <c:pt idx="157">
                  <c:v>4.3507836630990109E-2</c:v>
                </c:pt>
                <c:pt idx="158">
                  <c:v>4.3476559461831432E-2</c:v>
                </c:pt>
                <c:pt idx="159">
                  <c:v>4.3475920637839546E-2</c:v>
                </c:pt>
                <c:pt idx="160">
                  <c:v>4.3503906884905318E-2</c:v>
                </c:pt>
                <c:pt idx="161">
                  <c:v>4.3559006103379136E-2</c:v>
                </c:pt>
                <c:pt idx="162">
                  <c:v>4.3633302479378251E-2</c:v>
                </c:pt>
                <c:pt idx="163">
                  <c:v>4.3735126470117132E-2</c:v>
                </c:pt>
                <c:pt idx="164">
                  <c:v>4.3853842524553967E-2</c:v>
                </c:pt>
                <c:pt idx="165">
                  <c:v>4.3995394352553251E-2</c:v>
                </c:pt>
                <c:pt idx="166">
                  <c:v>4.4148763191489297E-2</c:v>
                </c:pt>
                <c:pt idx="167">
                  <c:v>4.4322202930669866E-2</c:v>
                </c:pt>
                <c:pt idx="168">
                  <c:v>4.4508843495145681E-2</c:v>
                </c:pt>
                <c:pt idx="169">
                  <c:v>4.4700125225047779E-2</c:v>
                </c:pt>
                <c:pt idx="170">
                  <c:v>4.4906829534089171E-2</c:v>
                </c:pt>
                <c:pt idx="171">
                  <c:v>4.5113734275398068E-2</c:v>
                </c:pt>
                <c:pt idx="172">
                  <c:v>4.5332662393508423E-2</c:v>
                </c:pt>
                <c:pt idx="173">
                  <c:v>4.555479811304973E-2</c:v>
                </c:pt>
                <c:pt idx="174">
                  <c:v>4.5756509632204866E-2</c:v>
                </c:pt>
                <c:pt idx="175">
                  <c:v>4.5979156198004703E-2</c:v>
                </c:pt>
                <c:pt idx="176">
                  <c:v>4.6192098419715492E-2</c:v>
                </c:pt>
                <c:pt idx="177">
                  <c:v>4.6407561750722817E-2</c:v>
                </c:pt>
                <c:pt idx="178">
                  <c:v>4.6609758928577376E-2</c:v>
                </c:pt>
                <c:pt idx="179">
                  <c:v>4.6810199080491409E-2</c:v>
                </c:pt>
                <c:pt idx="180">
                  <c:v>4.7000000000050744E-2</c:v>
                </c:pt>
                <c:pt idx="181">
                  <c:v>4.7171987611510598E-2</c:v>
                </c:pt>
                <c:pt idx="182">
                  <c:v>4.7337506809296374E-2</c:v>
                </c:pt>
                <c:pt idx="183">
                  <c:v>4.7486129000862076E-2</c:v>
                </c:pt>
                <c:pt idx="184">
                  <c:v>4.7628023583817181E-2</c:v>
                </c:pt>
                <c:pt idx="185">
                  <c:v>4.7758310500971748E-2</c:v>
                </c:pt>
                <c:pt idx="186">
                  <c:v>4.7866235244797939E-2</c:v>
                </c:pt>
                <c:pt idx="187">
                  <c:v>4.7975171726627457E-2</c:v>
                </c:pt>
                <c:pt idx="188">
                  <c:v>4.8070281311948508E-2</c:v>
                </c:pt>
                <c:pt idx="189">
                  <c:v>4.8158165883934838E-2</c:v>
                </c:pt>
                <c:pt idx="190">
                  <c:v>4.8233405539970416E-2</c:v>
                </c:pt>
                <c:pt idx="191">
                  <c:v>4.8301277504600622E-2</c:v>
                </c:pt>
                <c:pt idx="192">
                  <c:v>4.8359377417346291E-2</c:v>
                </c:pt>
                <c:pt idx="193">
                  <c:v>4.840655167120117E-2</c:v>
                </c:pt>
                <c:pt idx="194">
                  <c:v>4.8446206454026315E-2</c:v>
                </c:pt>
                <c:pt idx="195">
                  <c:v>4.8476033465781318E-2</c:v>
                </c:pt>
                <c:pt idx="196">
                  <c:v>4.8498282418274058E-2</c:v>
                </c:pt>
                <c:pt idx="197">
                  <c:v>4.8512084082197968E-2</c:v>
                </c:pt>
                <c:pt idx="198">
                  <c:v>4.8517512740029738E-2</c:v>
                </c:pt>
                <c:pt idx="199">
                  <c:v>4.8515978863340803E-2</c:v>
                </c:pt>
                <c:pt idx="200">
                  <c:v>4.8507190740222812E-2</c:v>
                </c:pt>
                <c:pt idx="201">
                  <c:v>4.8490823738577521E-2</c:v>
                </c:pt>
                <c:pt idx="202">
                  <c:v>4.8468183869554142E-2</c:v>
                </c:pt>
                <c:pt idx="203">
                  <c:v>4.8438023048635828E-2</c:v>
                </c:pt>
                <c:pt idx="204">
                  <c:v>4.8401250550672036E-2</c:v>
                </c:pt>
                <c:pt idx="205">
                  <c:v>4.8359621880612762E-2</c:v>
                </c:pt>
                <c:pt idx="206">
                  <c:v>4.8310623039321557E-2</c:v>
                </c:pt>
                <c:pt idx="207">
                  <c:v>4.825766531035984E-2</c:v>
                </c:pt>
                <c:pt idx="208">
                  <c:v>4.8197479431240781E-2</c:v>
                </c:pt>
                <c:pt idx="209">
                  <c:v>4.8132006628551327E-2</c:v>
                </c:pt>
                <c:pt idx="210">
                  <c:v>4.8066209359872956E-2</c:v>
                </c:pt>
                <c:pt idx="211">
                  <c:v>4.7991266312780084E-2</c:v>
                </c:pt>
                <c:pt idx="212">
                  <c:v>4.7914454391254094E-2</c:v>
                </c:pt>
                <c:pt idx="213">
                  <c:v>4.7830914047973065E-2</c:v>
                </c:pt>
                <c:pt idx="214">
                  <c:v>4.7746285051139516E-2</c:v>
                </c:pt>
                <c:pt idx="215">
                  <c:v>4.7655186717157565E-2</c:v>
                </c:pt>
                <c:pt idx="216">
                  <c:v>4.756064572812678E-2</c:v>
                </c:pt>
                <c:pt idx="217">
                  <c:v>4.7466129405020284E-2</c:v>
                </c:pt>
                <c:pt idx="218">
                  <c:v>4.7365597901182145E-2</c:v>
                </c:pt>
                <c:pt idx="219">
                  <c:v>4.7265787194122978E-2</c:v>
                </c:pt>
                <c:pt idx="220">
                  <c:v>4.7160304474424111E-2</c:v>
                </c:pt>
                <c:pt idx="221">
                  <c:v>4.7052703864388729E-2</c:v>
                </c:pt>
                <c:pt idx="222">
                  <c:v>4.6953919106486386E-2</c:v>
                </c:pt>
                <c:pt idx="223">
                  <c:v>4.68430292207975E-2</c:v>
                </c:pt>
                <c:pt idx="224">
                  <c:v>4.6734439130142733E-2</c:v>
                </c:pt>
                <c:pt idx="225">
                  <c:v>4.662117073794661E-2</c:v>
                </c:pt>
                <c:pt idx="226">
                  <c:v>4.6510781758882819E-2</c:v>
                </c:pt>
                <c:pt idx="227">
                  <c:v>4.6396174166063821E-2</c:v>
                </c:pt>
                <c:pt idx="228">
                  <c:v>4.6281284290151992E-2</c:v>
                </c:pt>
                <c:pt idx="229">
                  <c:v>4.6170084584038332E-2</c:v>
                </c:pt>
                <c:pt idx="230">
                  <c:v>4.6055422979654169E-2</c:v>
                </c:pt>
                <c:pt idx="231">
                  <c:v>4.5944947070943029E-2</c:v>
                </c:pt>
                <c:pt idx="232">
                  <c:v>4.5831553046424521E-2</c:v>
                </c:pt>
                <c:pt idx="233">
                  <c:v>4.5719201493069801E-2</c:v>
                </c:pt>
                <c:pt idx="234">
                  <c:v>4.5618841962195025E-2</c:v>
                </c:pt>
                <c:pt idx="235">
                  <c:v>4.5509216031540185E-2</c:v>
                </c:pt>
                <c:pt idx="236">
                  <c:v>4.5404858212802823E-2</c:v>
                </c:pt>
                <c:pt idx="237">
                  <c:v>4.5299072563816933E-2</c:v>
                </c:pt>
                <c:pt idx="238">
                  <c:v>4.5198934037603895E-2</c:v>
                </c:pt>
                <c:pt idx="239">
                  <c:v>4.5098027976704591E-2</c:v>
                </c:pt>
                <c:pt idx="240">
                  <c:v>4.4999999999596196E-2</c:v>
                </c:pt>
                <c:pt idx="241">
                  <c:v>4.4908078940163625E-2</c:v>
                </c:pt>
                <c:pt idx="242">
                  <c:v>4.48161394391643E-2</c:v>
                </c:pt>
                <c:pt idx="243">
                  <c:v>4.47300645487533E-2</c:v>
                </c:pt>
                <c:pt idx="244">
                  <c:v>4.4644065239027052E-2</c:v>
                </c:pt>
                <c:pt idx="245">
                  <c:v>4.456100741138979E-2</c:v>
                </c:pt>
                <c:pt idx="246">
                  <c:v>4.4488472376630638E-2</c:v>
                </c:pt>
                <c:pt idx="247">
                  <c:v>4.4410868938176751E-2</c:v>
                </c:pt>
                <c:pt idx="248">
                  <c:v>4.4338426050431048E-2</c:v>
                </c:pt>
                <c:pt idx="249">
                  <c:v>4.4266263492233338E-2</c:v>
                </c:pt>
                <c:pt idx="250">
                  <c:v>4.4198988373460632E-2</c:v>
                </c:pt>
                <c:pt idx="251">
                  <c:v>4.4132064986880395E-2</c:v>
                </c:pt>
                <c:pt idx="252">
                  <c:v>4.4067726833811181E-2</c:v>
                </c:pt>
                <c:pt idx="253">
                  <c:v>4.4007876517331859E-2</c:v>
                </c:pt>
                <c:pt idx="254">
                  <c:v>4.3948473320868472E-2</c:v>
                </c:pt>
                <c:pt idx="255">
                  <c:v>4.3893301172089769E-2</c:v>
                </c:pt>
                <c:pt idx="256">
                  <c:v>4.3838631227969826E-2</c:v>
                </c:pt>
                <c:pt idx="257">
                  <c:v>4.3786289402158146E-2</c:v>
                </c:pt>
                <c:pt idx="258">
                  <c:v>4.3739385993095424E-2</c:v>
                </c:pt>
                <c:pt idx="259">
                  <c:v>4.3691402223846425E-2</c:v>
                </c:pt>
                <c:pt idx="260">
                  <c:v>4.3647037936604453E-2</c:v>
                </c:pt>
                <c:pt idx="261">
                  <c:v>4.3603284806512314E-2</c:v>
                </c:pt>
                <c:pt idx="262">
                  <c:v>4.3562917082314023E-2</c:v>
                </c:pt>
                <c:pt idx="263">
                  <c:v>4.3523192880385086E-2</c:v>
                </c:pt>
                <c:pt idx="264">
                  <c:v>4.3485438867069674E-2</c:v>
                </c:pt>
                <c:pt idx="265">
                  <c:v>4.3450729542650848E-2</c:v>
                </c:pt>
                <c:pt idx="266">
                  <c:v>4.3416700244525264E-2</c:v>
                </c:pt>
                <c:pt idx="267">
                  <c:v>4.3385497879363952E-2</c:v>
                </c:pt>
                <c:pt idx="268">
                  <c:v>4.3354991587617214E-2</c:v>
                </c:pt>
                <c:pt idx="269">
                  <c:v>4.3326198378025531E-2</c:v>
                </c:pt>
                <c:pt idx="270">
                  <c:v>4.3301620702449486E-2</c:v>
                </c:pt>
                <c:pt idx="271">
                  <c:v>4.3275943948522667E-2</c:v>
                </c:pt>
                <c:pt idx="272">
                  <c:v>4.3252583091979116E-2</c:v>
                </c:pt>
                <c:pt idx="273">
                  <c:v>4.3229930039467415E-2</c:v>
                </c:pt>
                <c:pt idx="274">
                  <c:v>4.3209397741305701E-2</c:v>
                </c:pt>
                <c:pt idx="275">
                  <c:v>4.3189566681360488E-2</c:v>
                </c:pt>
                <c:pt idx="276">
                  <c:v>4.3171092443501785E-2</c:v>
                </c:pt>
                <c:pt idx="277">
                  <c:v>4.3154456962370108E-2</c:v>
                </c:pt>
                <c:pt idx="278">
                  <c:v>4.3138500504006111E-2</c:v>
                </c:pt>
                <c:pt idx="279">
                  <c:v>4.312420398175236E-2</c:v>
                </c:pt>
                <c:pt idx="280">
                  <c:v>4.3110563594016209E-2</c:v>
                </c:pt>
                <c:pt idx="281">
                  <c:v>4.3098022921836766E-2</c:v>
                </c:pt>
                <c:pt idx="282">
                  <c:v>4.3087597766059076E-2</c:v>
                </c:pt>
                <c:pt idx="283">
                  <c:v>4.3077006186335587E-2</c:v>
                </c:pt>
                <c:pt idx="284">
                  <c:v>4.3067659885113838E-2</c:v>
                </c:pt>
                <c:pt idx="285">
                  <c:v>4.3058885066504113E-2</c:v>
                </c:pt>
                <c:pt idx="286">
                  <c:v>4.3051199320915036E-2</c:v>
                </c:pt>
                <c:pt idx="287">
                  <c:v>4.3044039558977502E-2</c:v>
                </c:pt>
                <c:pt idx="288">
                  <c:v>4.3037623263565382E-2</c:v>
                </c:pt>
                <c:pt idx="289">
                  <c:v>4.3032072751865276E-2</c:v>
                </c:pt>
                <c:pt idx="290">
                  <c:v>4.3026967293351037E-2</c:v>
                </c:pt>
                <c:pt idx="291">
                  <c:v>4.3022587739933602E-2</c:v>
                </c:pt>
                <c:pt idx="292">
                  <c:v>4.3018591416090192E-2</c:v>
                </c:pt>
                <c:pt idx="293">
                  <c:v>4.3015081445553528E-2</c:v>
                </c:pt>
                <c:pt idx="294">
                  <c:v>4.3012285856050367E-2</c:v>
                </c:pt>
                <c:pt idx="295">
                  <c:v>4.3009557612385445E-2</c:v>
                </c:pt>
                <c:pt idx="296">
                  <c:v>4.3007236989791094E-2</c:v>
                </c:pt>
                <c:pt idx="297">
                  <c:v>4.3005118569025669E-2</c:v>
                </c:pt>
                <c:pt idx="298">
                  <c:v>4.3003290499197926E-2</c:v>
                </c:pt>
                <c:pt idx="299">
                  <c:v>4.3001580199101434E-2</c:v>
                </c:pt>
                <c:pt idx="300">
                  <c:v>4.3000000001040574E-2</c:v>
                </c:pt>
                <c:pt idx="301">
                  <c:v>4.2998553253433644E-2</c:v>
                </c:pt>
                <c:pt idx="302">
                  <c:v>4.299713375946413E-2</c:v>
                </c:pt>
                <c:pt idx="303">
                  <c:v>4.299583186425246E-2</c:v>
                </c:pt>
                <c:pt idx="304">
                  <c:v>4.2994559491964346E-2</c:v>
                </c:pt>
                <c:pt idx="305">
                  <c:v>4.2993359914466386E-2</c:v>
                </c:pt>
                <c:pt idx="306">
                  <c:v>4.2992302462667976E-2</c:v>
                </c:pt>
                <c:pt idx="307">
                  <c:v>4.2991240032650806E-2</c:v>
                </c:pt>
                <c:pt idx="308">
                  <c:v>4.2990277502292257E-2</c:v>
                </c:pt>
                <c:pt idx="309">
                  <c:v>4.2989349415344651E-2</c:v>
                </c:pt>
                <c:pt idx="310">
                  <c:v>4.2988514417976957E-2</c:v>
                </c:pt>
                <c:pt idx="311">
                  <c:v>4.2987715551551987E-2</c:v>
                </c:pt>
                <c:pt idx="312">
                  <c:v>4.2986980393891136E-2</c:v>
                </c:pt>
                <c:pt idx="313">
                  <c:v>4.2986328358270771E-2</c:v>
                </c:pt>
                <c:pt idx="314">
                  <c:v>4.2985714691793159E-2</c:v>
                </c:pt>
                <c:pt idx="315">
                  <c:v>4.2985177750278498E-2</c:v>
                </c:pt>
                <c:pt idx="316">
                  <c:v>4.298468044799629E-2</c:v>
                </c:pt>
                <c:pt idx="317">
                  <c:v>4.2984240321954047E-2</c:v>
                </c:pt>
                <c:pt idx="318">
                  <c:v>4.2983890825248172E-2</c:v>
                </c:pt>
                <c:pt idx="319">
                  <c:v>4.2983555854637916E-2</c:v>
                </c:pt>
                <c:pt idx="320">
                  <c:v>4.2983282476715845E-2</c:v>
                </c:pt>
                <c:pt idx="321">
                  <c:v>4.2983051182726863E-2</c:v>
                </c:pt>
                <c:pt idx="322">
                  <c:v>4.2982875663882432E-2</c:v>
                </c:pt>
                <c:pt idx="323">
                  <c:v>4.2982742926188158E-2</c:v>
                </c:pt>
                <c:pt idx="324">
                  <c:v>4.2982658307573376E-2</c:v>
                </c:pt>
                <c:pt idx="325">
                  <c:v>4.2982620990917479E-2</c:v>
                </c:pt>
                <c:pt idx="326">
                  <c:v>4.29826271970375E-2</c:v>
                </c:pt>
                <c:pt idx="327">
                  <c:v>4.2982675293912649E-2</c:v>
                </c:pt>
                <c:pt idx="328">
                  <c:v>4.2982767202220475E-2</c:v>
                </c:pt>
                <c:pt idx="329">
                  <c:v>4.2982900697083597E-2</c:v>
                </c:pt>
                <c:pt idx="330">
                  <c:v>4.2983055914477049E-2</c:v>
                </c:pt>
                <c:pt idx="331">
                  <c:v>4.2983264904181341E-2</c:v>
                </c:pt>
                <c:pt idx="332">
                  <c:v>4.2983503103727866E-2</c:v>
                </c:pt>
                <c:pt idx="333">
                  <c:v>4.2983785103604864E-2</c:v>
                </c:pt>
                <c:pt idx="334">
                  <c:v>4.2984091479433814E-2</c:v>
                </c:pt>
                <c:pt idx="335">
                  <c:v>4.2984441369156946E-2</c:v>
                </c:pt>
                <c:pt idx="336">
                  <c:v>4.2984823792715725E-2</c:v>
                </c:pt>
                <c:pt idx="337">
                  <c:v>4.2985223613394498E-2</c:v>
                </c:pt>
                <c:pt idx="338">
                  <c:v>4.2985666197459901E-2</c:v>
                </c:pt>
                <c:pt idx="339">
                  <c:v>4.2986121755535775E-2</c:v>
                </c:pt>
                <c:pt idx="340">
                  <c:v>4.2986619368679028E-2</c:v>
                </c:pt>
                <c:pt idx="341">
                  <c:v>4.2987142987574591E-2</c:v>
                </c:pt>
                <c:pt idx="342">
                  <c:v>4.2987637181245576E-2</c:v>
                </c:pt>
                <c:pt idx="343">
                  <c:v>4.2988206634391402E-2</c:v>
                </c:pt>
                <c:pt idx="344">
                  <c:v>4.2988778825335403E-2</c:v>
                </c:pt>
                <c:pt idx="345">
                  <c:v>4.298939062220529E-2</c:v>
                </c:pt>
                <c:pt idx="346">
                  <c:v>4.2990001317738634E-2</c:v>
                </c:pt>
                <c:pt idx="347">
                  <c:v>4.2990650333565111E-2</c:v>
                </c:pt>
                <c:pt idx="348">
                  <c:v>4.2991316304644693E-2</c:v>
                </c:pt>
                <c:pt idx="349">
                  <c:v>4.2991975678807373E-2</c:v>
                </c:pt>
                <c:pt idx="350">
                  <c:v>4.2992671139504057E-2</c:v>
                </c:pt>
                <c:pt idx="351">
                  <c:v>4.2993356574929885E-2</c:v>
                </c:pt>
                <c:pt idx="352">
                  <c:v>4.2994076404917099E-2</c:v>
                </c:pt>
                <c:pt idx="353">
                  <c:v>4.2994806646531006E-2</c:v>
                </c:pt>
                <c:pt idx="354">
                  <c:v>4.2995498034946955E-2</c:v>
                </c:pt>
                <c:pt idx="355">
                  <c:v>4.2996244681145643E-2</c:v>
                </c:pt>
                <c:pt idx="356">
                  <c:v>4.2996973475034797E-2</c:v>
                </c:pt>
                <c:pt idx="357">
                  <c:v>4.2997731718573226E-2</c:v>
                </c:pt>
                <c:pt idx="358">
                  <c:v>4.2998469254320784E-2</c:v>
                </c:pt>
                <c:pt idx="359">
                  <c:v>4.2999233965990626E-2</c:v>
                </c:pt>
                <c:pt idx="360">
                  <c:v>4.2999999883357433E-2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62-4BD0-8AB6-6AFA8DC3C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56160"/>
        <c:axId val="164158080"/>
      </c:scatterChart>
      <c:valAx>
        <c:axId val="164156160"/>
        <c:scaling>
          <c:orientation val="minMax"/>
          <c:max val="25.1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 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64158080"/>
        <c:crosses val="autoZero"/>
        <c:crossBetween val="midCat"/>
      </c:valAx>
      <c:valAx>
        <c:axId val="164158080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64156160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3"/>
          <c:order val="0"/>
          <c:tx>
            <c:strRef>
              <c:f>'YieldCurve (3)'!$F$7</c:f>
              <c:strCache>
                <c:ptCount val="1"/>
                <c:pt idx="0">
                  <c:v>Data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'YieldCurve (3)'!$D$8:$D$23</c:f>
              <c:numCache>
                <c:formatCode>0.00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2.0027397260273974</c:v>
                </c:pt>
                <c:pt idx="3">
                  <c:v>3.0027397260273974</c:v>
                </c:pt>
                <c:pt idx="4">
                  <c:v>4.0027397260273974</c:v>
                </c:pt>
                <c:pt idx="5">
                  <c:v>5.0027397260273974</c:v>
                </c:pt>
                <c:pt idx="6">
                  <c:v>6.0054794520547947</c:v>
                </c:pt>
                <c:pt idx="7">
                  <c:v>7.0054794520547947</c:v>
                </c:pt>
                <c:pt idx="8">
                  <c:v>8.0054794520547947</c:v>
                </c:pt>
                <c:pt idx="9">
                  <c:v>9.0054794520547947</c:v>
                </c:pt>
                <c:pt idx="10">
                  <c:v>10.008219178082191</c:v>
                </c:pt>
                <c:pt idx="11">
                  <c:v>12.008219178082191</c:v>
                </c:pt>
                <c:pt idx="12">
                  <c:v>15.010958904109589</c:v>
                </c:pt>
                <c:pt idx="13">
                  <c:v>20.013698630136986</c:v>
                </c:pt>
                <c:pt idx="14">
                  <c:v>25.016438356164382</c:v>
                </c:pt>
                <c:pt idx="15">
                  <c:v>30.021917808219179</c:v>
                </c:pt>
              </c:numCache>
            </c:numRef>
          </c:xVal>
          <c:yVal>
            <c:numRef>
              <c:f>'YieldCurve (3)'!$F$8:$F$23</c:f>
              <c:numCache>
                <c:formatCode>0.00%</c:formatCode>
                <c:ptCount val="16"/>
                <c:pt idx="0">
                  <c:v>2.7E-2</c:v>
                </c:pt>
                <c:pt idx="1">
                  <c:v>2.7E-2</c:v>
                </c:pt>
                <c:pt idx="2">
                  <c:v>2.75E-2</c:v>
                </c:pt>
                <c:pt idx="3">
                  <c:v>2.8000000000000001E-2</c:v>
                </c:pt>
                <c:pt idx="4">
                  <c:v>3.0010272213963077E-2</c:v>
                </c:pt>
                <c:pt idx="5">
                  <c:v>3.3550207724486067E-2</c:v>
                </c:pt>
                <c:pt idx="6">
                  <c:v>3.6759119640061136E-2</c:v>
                </c:pt>
                <c:pt idx="7">
                  <c:v>3.9701799414035746E-2</c:v>
                </c:pt>
                <c:pt idx="8">
                  <c:v>4.2440933975495032E-2</c:v>
                </c:pt>
                <c:pt idx="9">
                  <c:v>4.5013696545744039E-2</c:v>
                </c:pt>
                <c:pt idx="10">
                  <c:v>5.7453654391084498E-2</c:v>
                </c:pt>
                <c:pt idx="11">
                  <c:v>4.7500000000000001E-2</c:v>
                </c:pt>
                <c:pt idx="12">
                  <c:v>4.7E-2</c:v>
                </c:pt>
                <c:pt idx="13">
                  <c:v>4.4999999999999998E-2</c:v>
                </c:pt>
                <c:pt idx="14">
                  <c:v>4.2999999999999997E-2</c:v>
                </c:pt>
                <c:pt idx="15">
                  <c:v>4.2999999999999997E-2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8-4CD7-B117-48862669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31744"/>
        <c:axId val="199319936"/>
      </c:scatterChart>
      <c:valAx>
        <c:axId val="199231744"/>
        <c:scaling>
          <c:orientation val="minMax"/>
          <c:max val="25.1"/>
          <c:min val="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maturity T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9319936"/>
        <c:crosses val="autoZero"/>
        <c:crossBetween val="midCat"/>
      </c:valAx>
      <c:valAx>
        <c:axId val="19931993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0"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Rate</a:t>
                </a:r>
              </a:p>
            </c:rich>
          </c:tx>
          <c:layout/>
          <c:overlay val="0"/>
        </c:title>
        <c:numFmt formatCode="0.00%" sourceLinked="1"/>
        <c:majorTickMark val="out"/>
        <c:minorTickMark val="none"/>
        <c:tickLblPos val="nextTo"/>
        <c:crossAx val="19923174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Densities!$P$4</c:f>
              <c:strCache>
                <c:ptCount val="1"/>
                <c:pt idx="0">
                  <c:v>LogVol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Densities!$P$5:$P$605</c:f>
              <c:numCache>
                <c:formatCode>0.0000%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2.773202030474097E-14</c:v>
                </c:pt>
                <c:pt idx="102">
                  <c:v>2.4688045396897333E-11</c:v>
                </c:pt>
                <c:pt idx="103">
                  <c:v>7.8220446448328962E-10</c:v>
                </c:pt>
                <c:pt idx="104">
                  <c:v>7.2311042455967403E-9</c:v>
                </c:pt>
                <c:pt idx="105">
                  <c:v>3.5693214319729271E-8</c:v>
                </c:pt>
                <c:pt idx="106">
                  <c:v>1.211641846695573E-7</c:v>
                </c:pt>
                <c:pt idx="107">
                  <c:v>3.2164127861723105E-7</c:v>
                </c:pt>
                <c:pt idx="108">
                  <c:v>7.1865116893470837E-7</c:v>
                </c:pt>
                <c:pt idx="109">
                  <c:v>1.4147222373972062E-6</c:v>
                </c:pt>
                <c:pt idx="110">
                  <c:v>2.529007276670366E-6</c:v>
                </c:pt>
                <c:pt idx="111">
                  <c:v>4.1921388549837515E-6</c:v>
                </c:pt>
                <c:pt idx="112">
                  <c:v>6.5410907627326675E-6</c:v>
                </c:pt>
                <c:pt idx="113">
                  <c:v>9.714515556000332E-6</c:v>
                </c:pt>
                <c:pt idx="114">
                  <c:v>1.3848793883189825E-5</c:v>
                </c:pt>
                <c:pt idx="115">
                  <c:v>1.9074872301823914E-5</c:v>
                </c:pt>
                <c:pt idx="116">
                  <c:v>2.5515868925799832E-5</c:v>
                </c:pt>
                <c:pt idx="117">
                  <c:v>3.3285373165454311E-5</c:v>
                </c:pt>
                <c:pt idx="118">
                  <c:v>4.2486342070416155E-5</c:v>
                </c:pt>
                <c:pt idx="119">
                  <c:v>5.3210490151402932E-5</c:v>
                </c:pt>
                <c:pt idx="120">
                  <c:v>6.5538074287063068E-5</c:v>
                </c:pt>
                <c:pt idx="121">
                  <c:v>7.9537985341273331E-5</c:v>
                </c:pt>
                <c:pt idx="122">
                  <c:v>9.5268070263778055E-5</c:v>
                </c:pt>
                <c:pt idx="123">
                  <c:v>1.1277562085676765E-4</c:v>
                </c:pt>
                <c:pt idx="124">
                  <c:v>1.3209797703887192E-4</c:v>
                </c:pt>
                <c:pt idx="125">
                  <c:v>1.5326320283182078E-4</c:v>
                </c:pt>
                <c:pt idx="126">
                  <c:v>1.7629080225863079E-4</c:v>
                </c:pt>
                <c:pt idx="127">
                  <c:v>2.0119244988350024E-4</c:v>
                </c:pt>
                <c:pt idx="128">
                  <c:v>2.2797271694760285E-4</c:v>
                </c:pt>
                <c:pt idx="129">
                  <c:v>2.566297791109192E-4</c:v>
                </c:pt>
                <c:pt idx="130">
                  <c:v>2.8715609586056005E-4</c:v>
                </c:pt>
                <c:pt idx="131">
                  <c:v>3.1953905484882739E-4</c:v>
                </c:pt>
                <c:pt idx="132">
                  <c:v>3.5376157692429693E-4</c:v>
                </c:pt>
                <c:pt idx="133">
                  <c:v>3.898026795441413E-4</c:v>
                </c:pt>
                <c:pt idx="134">
                  <c:v>4.2763799771538863E-4</c:v>
                </c:pt>
                <c:pt idx="135">
                  <c:v>4.6724026269919514E-4</c:v>
                </c:pt>
                <c:pt idx="136">
                  <c:v>5.0857973950233035E-4</c:v>
                </c:pt>
                <c:pt idx="137">
                  <c:v>5.5162462473698124E-4</c:v>
                </c:pt>
                <c:pt idx="138">
                  <c:v>5.9634140680503629E-4</c:v>
                </c:pt>
                <c:pt idx="139">
                  <c:v>6.4269519059769798E-4</c:v>
                </c:pt>
                <c:pt idx="140">
                  <c:v>6.9064998902881869E-4</c:v>
                </c:pt>
                <c:pt idx="141">
                  <c:v>7.4016898376725367E-4</c:v>
                </c:pt>
                <c:pt idx="142">
                  <c:v>7.9121475752076762E-4</c:v>
                </c:pt>
                <c:pt idx="143">
                  <c:v>8.4374950016803977E-4</c:v>
                </c:pt>
                <c:pt idx="144">
                  <c:v>8.9773519094900117E-4</c:v>
                </c:pt>
                <c:pt idx="145">
                  <c:v>9.5313375881708111E-4</c:v>
                </c:pt>
                <c:pt idx="146">
                  <c:v>1.0099072229375295E-3</c:v>
                </c:pt>
                <c:pt idx="147">
                  <c:v>1.0680178151897285E-3</c:v>
                </c:pt>
                <c:pt idx="148">
                  <c:v>1.1274280864025734E-3</c:v>
                </c:pt>
                <c:pt idx="149">
                  <c:v>1.188100997923925E-3</c:v>
                </c:pt>
                <c:pt idx="150">
                  <c:v>1.249999999999997E-3</c:v>
                </c:pt>
                <c:pt idx="151">
                  <c:v>1.2130890983201332E-3</c:v>
                </c:pt>
                <c:pt idx="152">
                  <c:v>1.1773329099676818E-3</c:v>
                </c:pt>
                <c:pt idx="153">
                  <c:v>1.1426967099094794E-3</c:v>
                </c:pt>
                <c:pt idx="154">
                  <c:v>1.1091464690548183E-3</c:v>
                </c:pt>
                <c:pt idx="155">
                  <c:v>1.0766488848203634E-3</c:v>
                </c:pt>
                <c:pt idx="156">
                  <c:v>1.04517140504973E-3</c:v>
                </c:pt>
                <c:pt idx="157">
                  <c:v>1.01468224605551E-3</c:v>
                </c:pt>
                <c:pt idx="158">
                  <c:v>9.8515040547708828E-4</c:v>
                </c:pt>
                <c:pt idx="159">
                  <c:v>9.5654567057928898E-4</c:v>
                </c:pt>
                <c:pt idx="160">
                  <c:v>9.2883862255447344E-4</c:v>
                </c:pt>
                <c:pt idx="161">
                  <c:v>9.0200063733368195E-4</c:v>
                </c:pt>
                <c:pt idx="162">
                  <c:v>8.760038833605919E-4</c:v>
                </c:pt>
                <c:pt idx="163">
                  <c:v>8.5082131673485132E-4</c:v>
                </c:pt>
                <c:pt idx="164">
                  <c:v>8.2642667408861555E-4</c:v>
                </c:pt>
                <c:pt idx="165">
                  <c:v>8.0279446352133407E-4</c:v>
                </c:pt>
                <c:pt idx="166">
                  <c:v>7.7989995388278452E-4</c:v>
                </c:pt>
                <c:pt idx="167">
                  <c:v>7.5771916266268238E-4</c:v>
                </c:pt>
                <c:pt idx="168">
                  <c:v>7.3622884271658728E-4</c:v>
                </c:pt>
                <c:pt idx="169">
                  <c:v>7.1540646803207883E-4</c:v>
                </c:pt>
                <c:pt idx="170">
                  <c:v>6.9523021871596767E-4</c:v>
                </c:pt>
                <c:pt idx="171">
                  <c:v>6.7567896536242832E-4</c:v>
                </c:pt>
                <c:pt idx="172">
                  <c:v>6.567322529431709E-4</c:v>
                </c:pt>
                <c:pt idx="173">
                  <c:v>6.3837028434396274E-4</c:v>
                </c:pt>
                <c:pt idx="174">
                  <c:v>6.2057390365665463E-4</c:v>
                </c:pt>
                <c:pt idx="175">
                  <c:v>6.0332457932236148E-4</c:v>
                </c:pt>
                <c:pt idx="176">
                  <c:v>5.8660438720931638E-4</c:v>
                </c:pt>
                <c:pt idx="177">
                  <c:v>5.7039599369806699E-4</c:v>
                </c:pt>
                <c:pt idx="178">
                  <c:v>5.5468263883700969E-4</c:v>
                </c:pt>
                <c:pt idx="179">
                  <c:v>5.3944811962260142E-4</c:v>
                </c:pt>
                <c:pt idx="180">
                  <c:v>5.2467677345087362E-4</c:v>
                </c:pt>
                <c:pt idx="181">
                  <c:v>5.1035346178002444E-4</c:v>
                </c:pt>
                <c:pt idx="182">
                  <c:v>4.9646355403774357E-4</c:v>
                </c:pt>
                <c:pt idx="183">
                  <c:v>4.8299291180150237E-4</c:v>
                </c:pt>
                <c:pt idx="184">
                  <c:v>4.6992787327523183E-4</c:v>
                </c:pt>
                <c:pt idx="185">
                  <c:v>4.5725523808154704E-4</c:v>
                </c:pt>
                <c:pt idx="186">
                  <c:v>4.4496225238491063E-4</c:v>
                </c:pt>
                <c:pt idx="187">
                  <c:v>4.3303659435780378E-4</c:v>
                </c:pt>
                <c:pt idx="188">
                  <c:v>4.2146635999903872E-4</c:v>
                </c:pt>
                <c:pt idx="189">
                  <c:v>4.102400493107795E-4</c:v>
                </c:pt>
                <c:pt idx="190">
                  <c:v>3.993465528385761E-4</c:v>
                </c:pt>
                <c:pt idx="191">
                  <c:v>3.8877513857675777E-4</c:v>
                </c:pt>
                <c:pt idx="192">
                  <c:v>3.7851543923980355E-4</c:v>
                </c:pt>
                <c:pt idx="193">
                  <c:v>3.6855743989882173E-4</c:v>
                </c:pt>
                <c:pt idx="194">
                  <c:v>3.5889146598097642E-4</c:v>
                </c:pt>
                <c:pt idx="195">
                  <c:v>3.4950817162861356E-4</c:v>
                </c:pt>
                <c:pt idx="196">
                  <c:v>3.4039852841386714E-4</c:v>
                </c:pt>
                <c:pt idx="197">
                  <c:v>3.3155381440372735E-4</c:v>
                </c:pt>
                <c:pt idx="198">
                  <c:v>3.2296560356989896E-4</c:v>
                </c:pt>
                <c:pt idx="199">
                  <c:v>3.1462575553717852E-4</c:v>
                </c:pt>
                <c:pt idx="200">
                  <c:v>3.0652640566364525E-4</c:v>
                </c:pt>
                <c:pt idx="201">
                  <c:v>2.9865995544556051E-4</c:v>
                </c:pt>
                <c:pt idx="202">
                  <c:v>2.9101906323959759E-4</c:v>
                </c:pt>
                <c:pt idx="203">
                  <c:v>2.8359663529476309E-4</c:v>
                </c:pt>
                <c:pt idx="204">
                  <c:v>2.763858170862322E-4</c:v>
                </c:pt>
                <c:pt idx="205">
                  <c:v>2.693799849431825E-4</c:v>
                </c:pt>
                <c:pt idx="206">
                  <c:v>2.6257273796264789E-4</c:v>
                </c:pt>
                <c:pt idx="207">
                  <c:v>2.5595789020139406E-4</c:v>
                </c:pt>
                <c:pt idx="208">
                  <c:v>2.4952946313779847E-4</c:v>
                </c:pt>
                <c:pt idx="209">
                  <c:v>2.4328167839578034E-4</c:v>
                </c:pt>
                <c:pt idx="210">
                  <c:v>2.372089507228734E-4</c:v>
                </c:pt>
                <c:pt idx="211">
                  <c:v>2.3130588121461669E-4</c:v>
                </c:pt>
                <c:pt idx="212">
                  <c:v>2.255672507775505E-4</c:v>
                </c:pt>
                <c:pt idx="213">
                  <c:v>2.1998801382322843E-4</c:v>
                </c:pt>
                <c:pt idx="214">
                  <c:v>2.1456329218575917E-4</c:v>
                </c:pt>
                <c:pt idx="215">
                  <c:v>2.0928836925559026E-4</c:v>
                </c:pt>
                <c:pt idx="216">
                  <c:v>2.0415868432234431E-4</c:v>
                </c:pt>
                <c:pt idx="217">
                  <c:v>1.9916982711970543E-4</c:v>
                </c:pt>
                <c:pt idx="218">
                  <c:v>1.9431753256553752E-4</c:v>
                </c:pt>
                <c:pt idx="219">
                  <c:v>1.895976756905428E-4</c:v>
                </c:pt>
                <c:pt idx="220">
                  <c:v>1.8500626674897765E-4</c:v>
                </c:pt>
                <c:pt idx="221">
                  <c:v>1.805394465051155E-4</c:v>
                </c:pt>
                <c:pt idx="222">
                  <c:v>1.761934816893033E-4</c:v>
                </c:pt>
                <c:pt idx="223">
                  <c:v>1.7196476061765646E-4</c:v>
                </c:pt>
                <c:pt idx="224">
                  <c:v>1.6784978896960197E-4</c:v>
                </c:pt>
                <c:pt idx="225">
                  <c:v>1.6384518571766014E-4</c:v>
                </c:pt>
                <c:pt idx="226">
                  <c:v>1.5994767920402529E-4</c:v>
                </c:pt>
                <c:pt idx="227">
                  <c:v>1.561541033586775E-4</c:v>
                </c:pt>
                <c:pt idx="228">
                  <c:v>1.5246139405393456E-4</c:v>
                </c:pt>
                <c:pt idx="229">
                  <c:v>1.4886658559050159E-4</c:v>
                </c:pt>
                <c:pt idx="230">
                  <c:v>1.4536680731025946E-4</c:v>
                </c:pt>
                <c:pt idx="231">
                  <c:v>1.4195928033117894E-4</c:v>
                </c:pt>
                <c:pt idx="232">
                  <c:v>1.3864131439990905E-4</c:v>
                </c:pt>
                <c:pt idx="233">
                  <c:v>1.3541030485773512E-4</c:v>
                </c:pt>
                <c:pt idx="234">
                  <c:v>1.3226372971576012E-4</c:v>
                </c:pt>
                <c:pt idx="235">
                  <c:v>1.2919914683530214E-4</c:v>
                </c:pt>
                <c:pt idx="236">
                  <c:v>1.2621419120963318E-4</c:v>
                </c:pt>
                <c:pt idx="237">
                  <c:v>1.2330657234334102E-4</c:v>
                </c:pt>
                <c:pt idx="238">
                  <c:v>1.2047407172571426E-4</c:v>
                </c:pt>
                <c:pt idx="239">
                  <c:v>1.1771454039467827E-4</c:v>
                </c:pt>
                <c:pt idx="240">
                  <c:v>1.1502589658794396E-4</c:v>
                </c:pt>
                <c:pt idx="241">
                  <c:v>1.1240612347815224E-4</c:v>
                </c:pt>
                <c:pt idx="242">
                  <c:v>1.0985326698890059E-4</c:v>
                </c:pt>
                <c:pt idx="243">
                  <c:v>1.0736543368867351E-4</c:v>
                </c:pt>
                <c:pt idx="244">
                  <c:v>1.049407887597875E-4</c:v>
                </c:pt>
                <c:pt idx="245">
                  <c:v>1.0257755403958062E-4</c:v>
                </c:pt>
                <c:pt idx="246">
                  <c:v>1.0027400613117588E-4</c:v>
                </c:pt>
                <c:pt idx="247">
                  <c:v>9.8028474581246105E-5</c:v>
                </c:pt>
                <c:pt idx="248">
                  <c:v>9.5839340122300673E-5</c:v>
                </c:pt>
                <c:pt idx="249">
                  <c:v>9.3705032977116777E-5</c:v>
                </c:pt>
                <c:pt idx="250">
                  <c:v>9.1624031223013218E-5</c:v>
                </c:pt>
                <c:pt idx="251">
                  <c:v>8.9594859213760981E-5</c:v>
                </c:pt>
                <c:pt idx="252">
                  <c:v>8.7616086057006948E-5</c:v>
                </c:pt>
                <c:pt idx="253">
                  <c:v>8.5686324145161578E-5</c:v>
                </c:pt>
                <c:pt idx="254">
                  <c:v>8.3804227737779033E-5</c:v>
                </c:pt>
                <c:pt idx="255">
                  <c:v>8.19684915935382E-5</c:v>
                </c:pt>
                <c:pt idx="256">
                  <c:v>8.0177849650006725E-5</c:v>
                </c:pt>
                <c:pt idx="257">
                  <c:v>7.8431073749417226E-5</c:v>
                </c:pt>
                <c:pt idx="258">
                  <c:v>7.6726972408781965E-5</c:v>
                </c:pt>
                <c:pt idx="259">
                  <c:v>7.5064389632717866E-5</c:v>
                </c:pt>
                <c:pt idx="260">
                  <c:v>7.3442203767410015E-5</c:v>
                </c:pt>
                <c:pt idx="261">
                  <c:v>7.1859326394222974E-5</c:v>
                </c:pt>
                <c:pt idx="262">
                  <c:v>7.0314701261501428E-5</c:v>
                </c:pt>
                <c:pt idx="263">
                  <c:v>6.8807303253173001E-5</c:v>
                </c:pt>
                <c:pt idx="264">
                  <c:v>6.7336137392807696E-5</c:v>
                </c:pt>
                <c:pt idx="265">
                  <c:v>6.5900237881854977E-5</c:v>
                </c:pt>
                <c:pt idx="266">
                  <c:v>6.4498667170804732E-5</c:v>
                </c:pt>
                <c:pt idx="267">
                  <c:v>6.313051506208852E-5</c:v>
                </c:pt>
                <c:pt idx="268">
                  <c:v>6.1794897843565959E-5</c:v>
                </c:pt>
                <c:pt idx="269">
                  <c:v>6.0490957451492477E-5</c:v>
                </c:pt>
                <c:pt idx="270">
                  <c:v>5.9217860661910093E-5</c:v>
                </c:pt>
                <c:pt idx="271">
                  <c:v>5.7974798309425209E-5</c:v>
                </c:pt>
                <c:pt idx="272">
                  <c:v>5.6760984532397819E-5</c:v>
                </c:pt>
                <c:pt idx="273">
                  <c:v>5.5575656043595407E-5</c:v>
                </c:pt>
                <c:pt idx="274">
                  <c:v>5.4418071425391324E-5</c:v>
                </c:pt>
                <c:pt idx="275">
                  <c:v>5.3287510448633889E-5</c:v>
                </c:pt>
                <c:pt idx="276">
                  <c:v>5.2183273414336227E-5</c:v>
                </c:pt>
                <c:pt idx="277">
                  <c:v>5.1104680517387942E-5</c:v>
                </c:pt>
                <c:pt idx="278">
                  <c:v>5.0051071231479685E-5</c:v>
                </c:pt>
                <c:pt idx="279">
                  <c:v>4.9021803714513593E-5</c:v>
                </c:pt>
                <c:pt idx="280">
                  <c:v>4.8016254233752468E-5</c:v>
                </c:pt>
                <c:pt idx="281">
                  <c:v>4.7033816610027925E-5</c:v>
                </c:pt>
                <c:pt idx="282">
                  <c:v>4.6073901680313874E-5</c:v>
                </c:pt>
                <c:pt idx="283">
                  <c:v>4.513593677803315E-5</c:v>
                </c:pt>
                <c:pt idx="284">
                  <c:v>4.4219365230472213E-5</c:v>
                </c:pt>
                <c:pt idx="285">
                  <c:v>4.3323645872695772E-5</c:v>
                </c:pt>
                <c:pt idx="286">
                  <c:v>4.2448252577387415E-5</c:v>
                </c:pt>
                <c:pt idx="287">
                  <c:v>4.1592673800062692E-5</c:v>
                </c:pt>
                <c:pt idx="288">
                  <c:v>4.0756412139108324E-5</c:v>
                </c:pt>
                <c:pt idx="289">
                  <c:v>3.9938983910143053E-5</c:v>
                </c:pt>
                <c:pt idx="290">
                  <c:v>3.9139918734197192E-5</c:v>
                </c:pt>
                <c:pt idx="291">
                  <c:v>3.8358759139222269E-5</c:v>
                </c:pt>
                <c:pt idx="292">
                  <c:v>3.7595060174491334E-5</c:v>
                </c:pt>
                <c:pt idx="293">
                  <c:v>3.6848389037418623E-5</c:v>
                </c:pt>
                <c:pt idx="294">
                  <c:v>3.6118324712390272E-5</c:v>
                </c:pt>
                <c:pt idx="295">
                  <c:v>3.5404457621187121E-5</c:v>
                </c:pt>
                <c:pt idx="296">
                  <c:v>3.4706389284592696E-5</c:v>
                </c:pt>
                <c:pt idx="297">
                  <c:v>3.4023731994815723E-5</c:v>
                </c:pt>
                <c:pt idx="298">
                  <c:v>3.335610849835449E-5</c:v>
                </c:pt>
                <c:pt idx="299">
                  <c:v>3.2703151688939216E-5</c:v>
                </c:pt>
                <c:pt idx="300">
                  <c:v>3.2064504310219829E-5</c:v>
                </c:pt>
                <c:pt idx="301">
                  <c:v>3.1439818667861714E-5</c:v>
                </c:pt>
                <c:pt idx="302">
                  <c:v>3.0828756350729792E-5</c:v>
                </c:pt>
                <c:pt idx="303">
                  <c:v>3.0230987960857913E-5</c:v>
                </c:pt>
                <c:pt idx="304">
                  <c:v>2.9646192851907221E-5</c:v>
                </c:pt>
                <c:pt idx="305">
                  <c:v>2.9074058875821197E-5</c:v>
                </c:pt>
                <c:pt idx="306">
                  <c:v>2.8514282137409076E-5</c:v>
                </c:pt>
                <c:pt idx="307">
                  <c:v>2.7966566756587214E-5</c:v>
                </c:pt>
                <c:pt idx="308">
                  <c:v>2.7430624638024071E-5</c:v>
                </c:pt>
                <c:pt idx="309">
                  <c:v>2.6906175247943655E-5</c:v>
                </c:pt>
                <c:pt idx="310">
                  <c:v>2.6392945397843805E-5</c:v>
                </c:pt>
                <c:pt idx="311">
                  <c:v>2.5890669034900625E-5</c:v>
                </c:pt>
                <c:pt idx="312">
                  <c:v>2.5399087038849983E-5</c:v>
                </c:pt>
                <c:pt idx="313">
                  <c:v>2.4917947025104108E-5</c:v>
                </c:pt>
                <c:pt idx="314">
                  <c:v>2.4447003153927686E-5</c:v>
                </c:pt>
                <c:pt idx="315">
                  <c:v>2.3986015945455104E-5</c:v>
                </c:pt>
                <c:pt idx="316">
                  <c:v>2.3534752100362209E-5</c:v>
                </c:pt>
                <c:pt idx="317">
                  <c:v>2.3092984326002097E-5</c:v>
                </c:pt>
                <c:pt idx="318">
                  <c:v>2.2660491167843407E-5</c:v>
                </c:pt>
                <c:pt idx="319">
                  <c:v>2.2237056846013706E-5</c:v>
                </c:pt>
                <c:pt idx="320">
                  <c:v>2.1822471096795697E-5</c:v>
                </c:pt>
                <c:pt idx="321">
                  <c:v>2.1416529018913473E-5</c:v>
                </c:pt>
                <c:pt idx="322">
                  <c:v>2.1019030924458669E-5</c:v>
                </c:pt>
                <c:pt idx="323">
                  <c:v>2.0629782194288027E-5</c:v>
                </c:pt>
                <c:pt idx="324">
                  <c:v>2.0248593137772079E-5</c:v>
                </c:pt>
                <c:pt idx="325">
                  <c:v>1.9875278856734709E-5</c:v>
                </c:pt>
                <c:pt idx="326">
                  <c:v>1.9509659113462626E-5</c:v>
                </c:pt>
                <c:pt idx="327">
                  <c:v>1.9151558202641167E-5</c:v>
                </c:pt>
                <c:pt idx="328">
                  <c:v>1.8800804827108343E-5</c:v>
                </c:pt>
                <c:pt idx="329">
                  <c:v>1.8457231977286192E-5</c:v>
                </c:pt>
                <c:pt idx="330">
                  <c:v>1.8120676814185625E-5</c:v>
                </c:pt>
                <c:pt idx="331">
                  <c:v>1.7790980555858587E-5</c:v>
                </c:pt>
                <c:pt idx="332">
                  <c:v>1.7467988367213621E-5</c:v>
                </c:pt>
                <c:pt idx="333">
                  <c:v>1.7151549253043775E-5</c:v>
                </c:pt>
                <c:pt idx="334">
                  <c:v>1.6841515954222757E-5</c:v>
                </c:pt>
                <c:pt idx="335">
                  <c:v>1.6537744846909893E-5</c:v>
                </c:pt>
                <c:pt idx="336">
                  <c:v>1.6240095844719389E-5</c:v>
                </c:pt>
                <c:pt idx="337">
                  <c:v>1.5948432303730293E-5</c:v>
                </c:pt>
                <c:pt idx="338">
                  <c:v>1.5662620930256837E-5</c:v>
                </c:pt>
                <c:pt idx="339">
                  <c:v>1.5382531691297377E-5</c:v>
                </c:pt>
                <c:pt idx="340">
                  <c:v>1.5108037727575883E-5</c:v>
                </c:pt>
                <c:pt idx="341">
                  <c:v>1.4839015269084552E-5</c:v>
                </c:pt>
                <c:pt idx="342">
                  <c:v>1.457534355307408E-5</c:v>
                </c:pt>
                <c:pt idx="343">
                  <c:v>1.4316904744387593E-5</c:v>
                </c:pt>
                <c:pt idx="344">
                  <c:v>1.4063583858085987E-5</c:v>
                </c:pt>
                <c:pt idx="345">
                  <c:v>1.3815268684286356E-5</c:v>
                </c:pt>
                <c:pt idx="346">
                  <c:v>1.3571849715146995E-5</c:v>
                </c:pt>
                <c:pt idx="347">
                  <c:v>1.3333220073931473E-5</c:v>
                </c:pt>
                <c:pt idx="348">
                  <c:v>1.3099275446089519E-5</c:v>
                </c:pt>
                <c:pt idx="349">
                  <c:v>1.2869914012290565E-5</c:v>
                </c:pt>
                <c:pt idx="350">
                  <c:v>1.2645036383353787E-5</c:v>
                </c:pt>
                <c:pt idx="351">
                  <c:v>1.2424545537016191E-5</c:v>
                </c:pt>
                <c:pt idx="352">
                  <c:v>1.2208346756485561E-5</c:v>
                </c:pt>
                <c:pt idx="353">
                  <c:v>1.1996347570710824E-5</c:v>
                </c:pt>
                <c:pt idx="354">
                  <c:v>1.17884576963384E-5</c:v>
                </c:pt>
                <c:pt idx="355">
                  <c:v>1.1584588981282877E-5</c:v>
                </c:pt>
                <c:pt idx="356">
                  <c:v>1.1384655349888002E-5</c:v>
                </c:pt>
                <c:pt idx="357">
                  <c:v>1.1188572749601349E-5</c:v>
                </c:pt>
                <c:pt idx="358">
                  <c:v>1.0996259099137871E-5</c:v>
                </c:pt>
                <c:pt idx="359">
                  <c:v>1.080763423808411E-5</c:v>
                </c:pt>
                <c:pt idx="360">
                  <c:v>1.0622619877893394E-5</c:v>
                </c:pt>
                <c:pt idx="361">
                  <c:v>1.0441139554238564E-5</c:v>
                </c:pt>
                <c:pt idx="362">
                  <c:v>1.026311858067026E-5</c:v>
                </c:pt>
                <c:pt idx="363">
                  <c:v>1.0088484003564213E-5</c:v>
                </c:pt>
                <c:pt idx="364">
                  <c:v>9.9171645582882945E-6</c:v>
                </c:pt>
                <c:pt idx="365">
                  <c:v>9.74909062658459E-6</c:v>
                </c:pt>
                <c:pt idx="366">
                  <c:v>9.5841941951063813E-6</c:v>
                </c:pt>
                <c:pt idx="367">
                  <c:v>9.4224088150902252E-6</c:v>
                </c:pt>
                <c:pt idx="368">
                  <c:v>9.2636695631258392E-6</c:v>
                </c:pt>
                <c:pt idx="369">
                  <c:v>9.1079130029858964E-6</c:v>
                </c:pt>
                <c:pt idx="370">
                  <c:v>8.9550771485023064E-6</c:v>
                </c:pt>
                <c:pt idx="371">
                  <c:v>8.8051014274250267E-6</c:v>
                </c:pt>
                <c:pt idx="372">
                  <c:v>8.6579266462848462E-6</c:v>
                </c:pt>
                <c:pt idx="373">
                  <c:v>8.5134949561728403E-6</c:v>
                </c:pt>
                <c:pt idx="374">
                  <c:v>8.3717498194624794E-6</c:v>
                </c:pt>
                <c:pt idx="375">
                  <c:v>8.2326359774064175E-6</c:v>
                </c:pt>
                <c:pt idx="376">
                  <c:v>8.0960994186168108E-6</c:v>
                </c:pt>
                <c:pt idx="377">
                  <c:v>7.9620873483676299E-6</c:v>
                </c:pt>
                <c:pt idx="378">
                  <c:v>7.8305481587353062E-6</c:v>
                </c:pt>
                <c:pt idx="379">
                  <c:v>7.7014313995180231E-6</c:v>
                </c:pt>
                <c:pt idx="380">
                  <c:v>7.5746877499359528E-6</c:v>
                </c:pt>
                <c:pt idx="381">
                  <c:v>7.4502689910709114E-6</c:v>
                </c:pt>
                <c:pt idx="382">
                  <c:v>7.3281279790444643E-6</c:v>
                </c:pt>
                <c:pt idx="383">
                  <c:v>7.2082186188987099E-6</c:v>
                </c:pt>
                <c:pt idx="384">
                  <c:v>7.0904958391621229E-6</c:v>
                </c:pt>
                <c:pt idx="385">
                  <c:v>6.9749155670841546E-6</c:v>
                </c:pt>
                <c:pt idx="386">
                  <c:v>6.8614347045279291E-6</c:v>
                </c:pt>
                <c:pt idx="387">
                  <c:v>6.7500111044741328E-6</c:v>
                </c:pt>
                <c:pt idx="388">
                  <c:v>6.6406035481539772E-6</c:v>
                </c:pt>
                <c:pt idx="389">
                  <c:v>6.5331717227779719E-6</c:v>
                </c:pt>
                <c:pt idx="390">
                  <c:v>6.4276761998289946E-6</c:v>
                </c:pt>
                <c:pt idx="391">
                  <c:v>6.3240784139342838E-6</c:v>
                </c:pt>
                <c:pt idx="392">
                  <c:v>6.22234064227501E-6</c:v>
                </c:pt>
                <c:pt idx="393">
                  <c:v>6.1224259845283388E-6</c:v>
                </c:pt>
                <c:pt idx="394">
                  <c:v>6.0242983433331708E-6</c:v>
                </c:pt>
                <c:pt idx="395">
                  <c:v>5.9279224052484579E-6</c:v>
                </c:pt>
                <c:pt idx="396">
                  <c:v>5.8332636222112459E-6</c:v>
                </c:pt>
                <c:pt idx="397">
                  <c:v>5.7402881934549564E-6</c:v>
                </c:pt>
                <c:pt idx="398">
                  <c:v>5.6489630479109127E-6</c:v>
                </c:pt>
                <c:pt idx="399">
                  <c:v>5.5592558270340552E-6</c:v>
                </c:pt>
                <c:pt idx="400">
                  <c:v>5.4711348680906459E-6</c:v>
                </c:pt>
                <c:pt idx="401">
                  <c:v>5.3845691878511599E-6</c:v>
                </c:pt>
                <c:pt idx="402">
                  <c:v>5.2995284667052527E-6</c:v>
                </c:pt>
                <c:pt idx="403">
                  <c:v>5.2159830331855607E-6</c:v>
                </c:pt>
                <c:pt idx="404">
                  <c:v>5.1339038488610069E-6</c:v>
                </c:pt>
                <c:pt idx="405">
                  <c:v>5.0532624936434873E-6</c:v>
                </c:pt>
                <c:pt idx="406">
                  <c:v>4.9740311514263991E-6</c:v>
                </c:pt>
                <c:pt idx="407">
                  <c:v>4.8961825961202226E-6</c:v>
                </c:pt>
                <c:pt idx="408">
                  <c:v>4.8196901780072196E-6</c:v>
                </c:pt>
                <c:pt idx="409">
                  <c:v>4.7445278104607062E-6</c:v>
                </c:pt>
                <c:pt idx="410">
                  <c:v>4.6706699569859395E-6</c:v>
                </c:pt>
                <c:pt idx="411">
                  <c:v>4.5980916185762399E-6</c:v>
                </c:pt>
                <c:pt idx="412">
                  <c:v>4.5267683214012287E-6</c:v>
                </c:pt>
                <c:pt idx="413">
                  <c:v>4.4566761047855398E-6</c:v>
                </c:pt>
                <c:pt idx="414">
                  <c:v>4.3877915094951672E-6</c:v>
                </c:pt>
                <c:pt idx="415">
                  <c:v>4.3200915663008429E-6</c:v>
                </c:pt>
                <c:pt idx="416">
                  <c:v>4.2535537848438196E-6</c:v>
                </c:pt>
                <c:pt idx="417">
                  <c:v>4.1881561427538554E-6</c:v>
                </c:pt>
                <c:pt idx="418">
                  <c:v>4.1238770750482338E-6</c:v>
                </c:pt>
                <c:pt idx="419">
                  <c:v>4.0606954637895356E-6</c:v>
                </c:pt>
                <c:pt idx="420">
                  <c:v>3.9985906279859837E-6</c:v>
                </c:pt>
                <c:pt idx="421">
                  <c:v>3.9375423137626258E-6</c:v>
                </c:pt>
                <c:pt idx="422">
                  <c:v>3.8775306847362983E-6</c:v>
                </c:pt>
                <c:pt idx="423">
                  <c:v>3.8185363126619202E-6</c:v>
                </c:pt>
                <c:pt idx="424">
                  <c:v>3.7605401682821956E-6</c:v>
                </c:pt>
                <c:pt idx="425">
                  <c:v>3.7035236124045047E-6</c:v>
                </c:pt>
                <c:pt idx="426">
                  <c:v>3.6474683871986597E-6</c:v>
                </c:pt>
                <c:pt idx="427">
                  <c:v>3.5923566077030657E-6</c:v>
                </c:pt>
                <c:pt idx="428">
                  <c:v>3.5381707535282423E-6</c:v>
                </c:pt>
                <c:pt idx="429">
                  <c:v>3.4848936607747681E-6</c:v>
                </c:pt>
                <c:pt idx="430">
                  <c:v>3.4325085141247332E-6</c:v>
                </c:pt>
                <c:pt idx="431">
                  <c:v>3.3809988391480648E-6</c:v>
                </c:pt>
                <c:pt idx="432">
                  <c:v>3.3303484947713066E-6</c:v>
                </c:pt>
                <c:pt idx="433">
                  <c:v>3.280541665936245E-6</c:v>
                </c:pt>
                <c:pt idx="434">
                  <c:v>3.2315628564331706E-6</c:v>
                </c:pt>
                <c:pt idx="435">
                  <c:v>3.1833968819012616E-6</c:v>
                </c:pt>
                <c:pt idx="436">
                  <c:v>3.1360288629983545E-6</c:v>
                </c:pt>
                <c:pt idx="437">
                  <c:v>3.0894442187329822E-6</c:v>
                </c:pt>
                <c:pt idx="438">
                  <c:v>3.0436286599533769E-6</c:v>
                </c:pt>
                <c:pt idx="439">
                  <c:v>2.9985681829827365E-6</c:v>
                </c:pt>
                <c:pt idx="440">
                  <c:v>2.9542490634253107E-6</c:v>
                </c:pt>
                <c:pt idx="441">
                  <c:v>2.9106578500887031E-6</c:v>
                </c:pt>
                <c:pt idx="442">
                  <c:v>2.8677813590736984E-6</c:v>
                </c:pt>
                <c:pt idx="443">
                  <c:v>2.8256066679952614E-6</c:v>
                </c:pt>
                <c:pt idx="444">
                  <c:v>2.784121110331681E-6</c:v>
                </c:pt>
                <c:pt idx="445">
                  <c:v>2.7433122699144983E-6</c:v>
                </c:pt>
                <c:pt idx="446">
                  <c:v>2.7031679755413601E-6</c:v>
                </c:pt>
                <c:pt idx="447">
                  <c:v>2.6636762957182252E-6</c:v>
                </c:pt>
                <c:pt idx="448">
                  <c:v>2.6248255335226829E-6</c:v>
                </c:pt>
                <c:pt idx="449">
                  <c:v>2.5866042215841519E-6</c:v>
                </c:pt>
                <c:pt idx="450">
                  <c:v>2.5490011171808265E-6</c:v>
                </c:pt>
                <c:pt idx="451">
                  <c:v>2.5120051974566252E-6</c:v>
                </c:pt>
                <c:pt idx="452">
                  <c:v>2.4756056547318255E-6</c:v>
                </c:pt>
                <c:pt idx="453">
                  <c:v>2.4397918919463038E-6</c:v>
                </c:pt>
                <c:pt idx="454">
                  <c:v>2.4045535181826804E-6</c:v>
                </c:pt>
                <c:pt idx="455">
                  <c:v>2.3698803443080504E-6</c:v>
                </c:pt>
                <c:pt idx="456">
                  <c:v>2.335762378710943E-6</c:v>
                </c:pt>
                <c:pt idx="457">
                  <c:v>2.3021898231352523E-6</c:v>
                </c:pt>
                <c:pt idx="458">
                  <c:v>2.2691530686040952E-6</c:v>
                </c:pt>
                <c:pt idx="459">
                  <c:v>2.2366426914537893E-6</c:v>
                </c:pt>
                <c:pt idx="460">
                  <c:v>2.2046494494344383E-6</c:v>
                </c:pt>
                <c:pt idx="461">
                  <c:v>2.1731642779147521E-6</c:v>
                </c:pt>
                <c:pt idx="462">
                  <c:v>2.1421782861694826E-6</c:v>
                </c:pt>
                <c:pt idx="463">
                  <c:v>2.1116827537537958E-6</c:v>
                </c:pt>
                <c:pt idx="464">
                  <c:v>2.0816691269452929E-6</c:v>
                </c:pt>
                <c:pt idx="465">
                  <c:v>2.0521290152891967E-6</c:v>
                </c:pt>
                <c:pt idx="466">
                  <c:v>2.0230541881988439E-6</c:v>
                </c:pt>
                <c:pt idx="467">
                  <c:v>1.9944365716481341E-6</c:v>
                </c:pt>
                <c:pt idx="468">
                  <c:v>1.9662682449278548E-6</c:v>
                </c:pt>
                <c:pt idx="469">
                  <c:v>1.9385414374878169E-6</c:v>
                </c:pt>
                <c:pt idx="470">
                  <c:v>1.9112485258290709E-6</c:v>
                </c:pt>
                <c:pt idx="471">
                  <c:v>1.8843820304842372E-6</c:v>
                </c:pt>
                <c:pt idx="472">
                  <c:v>1.857934613062731E-6</c:v>
                </c:pt>
                <c:pt idx="473">
                  <c:v>1.8318990733440755E-6</c:v>
                </c:pt>
                <c:pt idx="474">
                  <c:v>1.8062683464601626E-6</c:v>
                </c:pt>
                <c:pt idx="475">
                  <c:v>1.781035500122697E-6</c:v>
                </c:pt>
                <c:pt idx="476">
                  <c:v>1.7561937319177115E-6</c:v>
                </c:pt>
                <c:pt idx="477">
                  <c:v>1.7317363666653425E-6</c:v>
                </c:pt>
                <c:pt idx="478">
                  <c:v>1.7076568538226908E-6</c:v>
                </c:pt>
                <c:pt idx="479">
                  <c:v>1.6839487649631615E-6</c:v>
                </c:pt>
                <c:pt idx="480">
                  <c:v>1.6606057912891696E-6</c:v>
                </c:pt>
                <c:pt idx="481">
                  <c:v>1.6376217412265231E-6</c:v>
                </c:pt>
                <c:pt idx="482">
                  <c:v>1.6149905380440457E-6</c:v>
                </c:pt>
                <c:pt idx="483">
                  <c:v>1.5927062175433522E-6</c:v>
                </c:pt>
                <c:pt idx="484">
                  <c:v>1.5707629257884694E-6</c:v>
                </c:pt>
                <c:pt idx="485">
                  <c:v>1.5491549168980674E-6</c:v>
                </c:pt>
                <c:pt idx="486">
                  <c:v>1.5278765508670526E-6</c:v>
                </c:pt>
                <c:pt idx="487">
                  <c:v>1.506922291453008E-6</c:v>
                </c:pt>
                <c:pt idx="488">
                  <c:v>1.4862867040955476E-6</c:v>
                </c:pt>
                <c:pt idx="489">
                  <c:v>1.4659644538955126E-6</c:v>
                </c:pt>
                <c:pt idx="490">
                  <c:v>1.4459503036100399E-6</c:v>
                </c:pt>
                <c:pt idx="491">
                  <c:v>1.4262391117328581E-6</c:v>
                </c:pt>
                <c:pt idx="492">
                  <c:v>1.4068258305704298E-6</c:v>
                </c:pt>
                <c:pt idx="493">
                  <c:v>1.3877055043959853E-6</c:v>
                </c:pt>
                <c:pt idx="494">
                  <c:v>1.3688732676238646E-6</c:v>
                </c:pt>
                <c:pt idx="495">
                  <c:v>1.3503243430184987E-6</c:v>
                </c:pt>
                <c:pt idx="496">
                  <c:v>1.3320540399712132E-6</c:v>
                </c:pt>
                <c:pt idx="497">
                  <c:v>1.3140577527666164E-6</c:v>
                </c:pt>
                <c:pt idx="498">
                  <c:v>1.2963309589408423E-6</c:v>
                </c:pt>
                <c:pt idx="499">
                  <c:v>1.278869217617533E-6</c:v>
                </c:pt>
                <c:pt idx="500">
                  <c:v>1.2616681679347512E-6</c:v>
                </c:pt>
                <c:pt idx="501">
                  <c:v>1.2447235274580225E-6</c:v>
                </c:pt>
                <c:pt idx="502">
                  <c:v>1.2280310906554492E-6</c:v>
                </c:pt>
                <c:pt idx="503">
                  <c:v>1.2115867274041256E-6</c:v>
                </c:pt>
                <c:pt idx="504">
                  <c:v>1.1953863815035518E-6</c:v>
                </c:pt>
                <c:pt idx="505">
                  <c:v>1.1794260692554818E-6</c:v>
                </c:pt>
                <c:pt idx="506">
                  <c:v>1.1637018780444783E-6</c:v>
                </c:pt>
                <c:pt idx="507">
                  <c:v>1.1482099649655875E-6</c:v>
                </c:pt>
                <c:pt idx="508">
                  <c:v>1.1329465554691845E-6</c:v>
                </c:pt>
                <c:pt idx="509">
                  <c:v>1.1179079420427795E-6</c:v>
                </c:pt>
                <c:pt idx="510">
                  <c:v>1.1030904829239313E-6</c:v>
                </c:pt>
                <c:pt idx="511">
                  <c:v>1.088490600819543E-6</c:v>
                </c:pt>
                <c:pt idx="512">
                  <c:v>1.0741047816795871E-6</c:v>
                </c:pt>
                <c:pt idx="513">
                  <c:v>1.0599295734722965E-6</c:v>
                </c:pt>
                <c:pt idx="514">
                  <c:v>1.0459615849986131E-6</c:v>
                </c:pt>
                <c:pt idx="515">
                  <c:v>1.0321974847313857E-6</c:v>
                </c:pt>
                <c:pt idx="516">
                  <c:v>1.0186339996707934E-6</c:v>
                </c:pt>
                <c:pt idx="517">
                  <c:v>1.0052679142220088E-6</c:v>
                </c:pt>
                <c:pt idx="518">
                  <c:v>9.9209606911561262E-7</c:v>
                </c:pt>
                <c:pt idx="519">
                  <c:v>9.7911536032126551E-7</c:v>
                </c:pt>
                <c:pt idx="520">
                  <c:v>9.6632273800898497E-7</c:v>
                </c:pt>
                <c:pt idx="521">
                  <c:v>9.5371520551165773E-7</c:v>
                </c:pt>
                <c:pt idx="522">
                  <c:v>9.4128981832794057E-7</c:v>
                </c:pt>
                <c:pt idx="523">
                  <c:v>9.2904368313318585E-7</c:v>
                </c:pt>
                <c:pt idx="524">
                  <c:v>9.1697395680613379E-7</c:v>
                </c:pt>
                <c:pt idx="525">
                  <c:v>9.0507784549190932E-7</c:v>
                </c:pt>
                <c:pt idx="526">
                  <c:v>8.9335260366907377E-7</c:v>
                </c:pt>
                <c:pt idx="527">
                  <c:v>8.817955332485639E-7</c:v>
                </c:pt>
                <c:pt idx="528">
                  <c:v>8.7040398267360677E-7</c:v>
                </c:pt>
                <c:pt idx="529">
                  <c:v>8.5917534605545218E-7</c:v>
                </c:pt>
                <c:pt idx="530">
                  <c:v>8.4810706231717231E-7</c:v>
                </c:pt>
                <c:pt idx="531">
                  <c:v>8.3719661435646704E-7</c:v>
                </c:pt>
                <c:pt idx="532">
                  <c:v>8.2644152822784013E-7</c:v>
                </c:pt>
                <c:pt idx="533">
                  <c:v>8.1583937233212837E-7</c:v>
                </c:pt>
                <c:pt idx="534">
                  <c:v>8.0538775664010873E-7</c:v>
                </c:pt>
                <c:pt idx="535">
                  <c:v>7.9508433191333809E-7</c:v>
                </c:pt>
                <c:pt idx="536">
                  <c:v>7.8492678894829327E-7</c:v>
                </c:pt>
                <c:pt idx="537">
                  <c:v>7.7491285783953367E-7</c:v>
                </c:pt>
                <c:pt idx="538">
                  <c:v>7.6504030724917685E-7</c:v>
                </c:pt>
                <c:pt idx="539">
                  <c:v>7.5530694370000209E-7</c:v>
                </c:pt>
                <c:pt idx="540">
                  <c:v>7.4571061087267482E-7</c:v>
                </c:pt>
                <c:pt idx="541">
                  <c:v>7.3624918892957203E-7</c:v>
                </c:pt>
                <c:pt idx="542">
                  <c:v>7.2692059383469108E-7</c:v>
                </c:pt>
                <c:pt idx="543">
                  <c:v>7.1772277670593204E-7</c:v>
                </c:pt>
                <c:pt idx="544">
                  <c:v>7.0865372316811872E-7</c:v>
                </c:pt>
                <c:pt idx="545">
                  <c:v>6.9971145272146951E-7</c:v>
                </c:pt>
                <c:pt idx="546">
                  <c:v>6.9089401812310155E-7</c:v>
                </c:pt>
                <c:pt idx="547">
                  <c:v>6.8219950478581354E-7</c:v>
                </c:pt>
                <c:pt idx="548">
                  <c:v>6.7362603017108327E-7</c:v>
                </c:pt>
                <c:pt idx="549">
                  <c:v>6.6517174322237716E-7</c:v>
                </c:pt>
                <c:pt idx="550">
                  <c:v>6.5683482378229465E-7</c:v>
                </c:pt>
                <c:pt idx="551">
                  <c:v>6.4861348203668798E-7</c:v>
                </c:pt>
                <c:pt idx="552">
                  <c:v>6.4050595796766437E-7</c:v>
                </c:pt>
                <c:pt idx="553">
                  <c:v>6.3251052081238625E-7</c:v>
                </c:pt>
                <c:pt idx="554">
                  <c:v>6.2462546853609051E-7</c:v>
                </c:pt>
                <c:pt idx="555">
                  <c:v>6.1684912730914562E-7</c:v>
                </c:pt>
                <c:pt idx="556">
                  <c:v>6.0917985101380991E-7</c:v>
                </c:pt>
                <c:pt idx="557">
                  <c:v>6.0161602073131763E-7</c:v>
                </c:pt>
                <c:pt idx="558">
                  <c:v>5.9415604426194194E-7</c:v>
                </c:pt>
                <c:pt idx="559">
                  <c:v>5.8679835564435967E-7</c:v>
                </c:pt>
                <c:pt idx="560">
                  <c:v>5.7954141468822423E-7</c:v>
                </c:pt>
                <c:pt idx="561">
                  <c:v>5.7238370650944055E-7</c:v>
                </c:pt>
                <c:pt idx="562">
                  <c:v>5.6532374108392482E-7</c:v>
                </c:pt>
                <c:pt idx="563">
                  <c:v>5.583600528024057E-7</c:v>
                </c:pt>
                <c:pt idx="564">
                  <c:v>5.5149120004176675E-7</c:v>
                </c:pt>
                <c:pt idx="565">
                  <c:v>5.447157647237931E-7</c:v>
                </c:pt>
                <c:pt idx="566">
                  <c:v>5.3803235191633116E-7</c:v>
                </c:pt>
                <c:pt idx="567">
                  <c:v>5.3143958941470314E-7</c:v>
                </c:pt>
                <c:pt idx="568">
                  <c:v>5.2493612733687529E-7</c:v>
                </c:pt>
                <c:pt idx="569">
                  <c:v>5.1852063773393499E-7</c:v>
                </c:pt>
                <c:pt idx="570">
                  <c:v>5.121918142055678E-7</c:v>
                </c:pt>
                <c:pt idx="571">
                  <c:v>5.0594837151800291E-7</c:v>
                </c:pt>
                <c:pt idx="572">
                  <c:v>4.9978904522557655E-7</c:v>
                </c:pt>
                <c:pt idx="573">
                  <c:v>4.937125913165168E-7</c:v>
                </c:pt>
                <c:pt idx="574">
                  <c:v>4.8771778585014202E-7</c:v>
                </c:pt>
                <c:pt idx="575">
                  <c:v>4.8180342460414108E-7</c:v>
                </c:pt>
                <c:pt idx="576">
                  <c:v>4.7596832273543492E-7</c:v>
                </c:pt>
                <c:pt idx="577">
                  <c:v>4.7021131442883407E-7</c:v>
                </c:pt>
                <c:pt idx="578">
                  <c:v>4.6453125258507978E-7</c:v>
                </c:pt>
                <c:pt idx="579">
                  <c:v>4.5892700847575479E-7</c:v>
                </c:pt>
                <c:pt idx="580">
                  <c:v>4.5339747143950211E-7</c:v>
                </c:pt>
                <c:pt idx="581">
                  <c:v>4.4794154855719387E-7</c:v>
                </c:pt>
                <c:pt idx="582">
                  <c:v>4.4255816434988609E-7</c:v>
                </c:pt>
                <c:pt idx="583">
                  <c:v>4.3724626047668506E-7</c:v>
                </c:pt>
                <c:pt idx="584">
                  <c:v>4.3200479543460793E-7</c:v>
                </c:pt>
                <c:pt idx="585">
                  <c:v>4.2683274427738727E-7</c:v>
                </c:pt>
                <c:pt idx="586">
                  <c:v>4.2172909832056006E-7</c:v>
                </c:pt>
                <c:pt idx="587">
                  <c:v>4.1669286486104977E-7</c:v>
                </c:pt>
                <c:pt idx="588">
                  <c:v>4.1172306691084485E-7</c:v>
                </c:pt>
                <c:pt idx="589">
                  <c:v>4.0681874292672189E-7</c:v>
                </c:pt>
                <c:pt idx="590">
                  <c:v>4.0197894652791899E-7</c:v>
                </c:pt>
                <c:pt idx="591">
                  <c:v>3.9720274626641621E-7</c:v>
                </c:pt>
                <c:pt idx="592">
                  <c:v>3.9248922534635287E-7</c:v>
                </c:pt>
                <c:pt idx="593">
                  <c:v>3.8783748138020919E-7</c:v>
                </c:pt>
                <c:pt idx="594">
                  <c:v>3.832466261584781E-7</c:v>
                </c:pt>
                <c:pt idx="595">
                  <c:v>3.7871578538166061E-7</c:v>
                </c:pt>
                <c:pt idx="596">
                  <c:v>3.7424409844516943E-7</c:v>
                </c:pt>
                <c:pt idx="597">
                  <c:v>3.6983071820232915E-7</c:v>
                </c:pt>
                <c:pt idx="598">
                  <c:v>3.6547481073054223E-7</c:v>
                </c:pt>
                <c:pt idx="599">
                  <c:v>3.6117555510664058E-7</c:v>
                </c:pt>
                <c:pt idx="600">
                  <c:v>3.5693214319730293E-7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08-4258-8528-23FE7297187E}"/>
            </c:ext>
          </c:extLst>
        </c:ser>
        <c:ser>
          <c:idx val="1"/>
          <c:order val="1"/>
          <c:tx>
            <c:strRef>
              <c:f>Densities!$Q$4</c:f>
              <c:strCache>
                <c:ptCount val="1"/>
                <c:pt idx="0">
                  <c:v>ShLogVol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Densities!$Q$5:$Q$605</c:f>
              <c:numCache>
                <c:formatCode>0.0000%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0.0E+00">
                  <c:v>1.7112310271704226E-53</c:v>
                </c:pt>
                <c:pt idx="52" formatCode="0.0E+00">
                  <c:v>2.9796669592049185E-40</c:v>
                </c:pt>
                <c:pt idx="53" formatCode="0.0E+00">
                  <c:v>1.794370053489853E-33</c:v>
                </c:pt>
                <c:pt idx="54" formatCode="0.0E+00">
                  <c:v>4.2978364285390939E-29</c:v>
                </c:pt>
                <c:pt idx="55" formatCode="0.0E+00">
                  <c:v>6.0875321383070729E-26</c:v>
                </c:pt>
                <c:pt idx="56">
                  <c:v>1.5857178818615838E-23</c:v>
                </c:pt>
                <c:pt idx="57">
                  <c:v>1.3536822250190671E-21</c:v>
                </c:pt>
                <c:pt idx="58">
                  <c:v>5.2759902336389594E-20</c:v>
                </c:pt>
                <c:pt idx="59">
                  <c:v>1.1542917694369094E-18</c:v>
                </c:pt>
                <c:pt idx="60">
                  <c:v>1.6253770811373792E-17</c:v>
                </c:pt>
                <c:pt idx="61">
                  <c:v>1.6196294673451998E-16</c:v>
                </c:pt>
                <c:pt idx="62">
                  <c:v>1.222761889102964E-15</c:v>
                </c:pt>
                <c:pt idx="63">
                  <c:v>7.3571434751859255E-15</c:v>
                </c:pt>
                <c:pt idx="64">
                  <c:v>3.6662410378086088E-14</c:v>
                </c:pt>
                <c:pt idx="65">
                  <c:v>1.5589839999960222E-13</c:v>
                </c:pt>
                <c:pt idx="66">
                  <c:v>5.7918273501276799E-13</c:v>
                </c:pt>
                <c:pt idx="67">
                  <c:v>1.915854220963215E-12</c:v>
                </c:pt>
                <c:pt idx="68">
                  <c:v>5.7302472877826972E-12</c:v>
                </c:pt>
                <c:pt idx="69">
                  <c:v>1.5694670402188081E-11</c:v>
                </c:pt>
                <c:pt idx="70">
                  <c:v>3.9781450467123045E-11</c:v>
                </c:pt>
                <c:pt idx="71">
                  <c:v>9.414702981102804E-11</c:v>
                </c:pt>
                <c:pt idx="72">
                  <c:v>2.0959945382647383E-10</c:v>
                </c:pt>
                <c:pt idx="73">
                  <c:v>4.4178837849682816E-10</c:v>
                </c:pt>
                <c:pt idx="74">
                  <c:v>8.864858327184126E-10</c:v>
                </c:pt>
                <c:pt idx="75">
                  <c:v>1.7015043193845939E-9</c:v>
                </c:pt>
                <c:pt idx="76">
                  <c:v>3.1368953718579126E-9</c:v>
                </c:pt>
                <c:pt idx="77">
                  <c:v>5.5750607156677601E-9</c:v>
                </c:pt>
                <c:pt idx="78">
                  <c:v>9.5822730216129956E-9</c:v>
                </c:pt>
                <c:pt idx="79">
                  <c:v>1.5972838566180117E-8</c:v>
                </c:pt>
                <c:pt idx="80">
                  <c:v>2.5886746690628026E-8</c:v>
                </c:pt>
                <c:pt idx="81">
                  <c:v>4.0881158701149255E-8</c:v>
                </c:pt>
                <c:pt idx="82">
                  <c:v>6.3035519104735583E-8</c:v>
                </c:pt>
                <c:pt idx="83">
                  <c:v>9.5069458284572269E-8</c:v>
                </c:pt>
                <c:pt idx="84">
                  <c:v>1.4047203458837593E-7</c:v>
                </c:pt>
                <c:pt idx="85">
                  <c:v>2.0364027172214569E-7</c:v>
                </c:pt>
                <c:pt idx="86">
                  <c:v>2.9002441780982547E-7</c:v>
                </c:pt>
                <c:pt idx="87">
                  <c:v>4.0627691354217841E-7</c:v>
                </c:pt>
                <c:pt idx="88">
                  <c:v>5.6040172987290683E-7</c:v>
                </c:pt>
                <c:pt idx="89">
                  <c:v>7.6190053430674186E-7</c:v>
                </c:pt>
                <c:pt idx="90">
                  <c:v>1.0219120748847639E-6</c:v>
                </c:pt>
                <c:pt idx="91">
                  <c:v>1.3533412310400066E-6</c:v>
                </c:pt>
                <c:pt idx="92">
                  <c:v>1.7709743627037764E-6</c:v>
                </c:pt>
                <c:pt idx="93">
                  <c:v>2.2915778802685489E-6</c:v>
                </c:pt>
                <c:pt idx="94">
                  <c:v>2.9339773412158351E-6</c:v>
                </c:pt>
                <c:pt idx="95">
                  <c:v>3.7191148347961211E-6</c:v>
                </c:pt>
                <c:pt idx="96">
                  <c:v>4.6700829232472764E-6</c:v>
                </c:pt>
                <c:pt idx="97">
                  <c:v>5.8121339457781459E-6</c:v>
                </c:pt>
                <c:pt idx="98">
                  <c:v>7.1726640397892387E-6</c:v>
                </c:pt>
                <c:pt idx="99">
                  <c:v>8.7811717743423184E-6</c:v>
                </c:pt>
                <c:pt idx="100">
                  <c:v>1.0669191807468795E-5</c:v>
                </c:pt>
                <c:pt idx="101">
                  <c:v>1.2870204458124534E-5</c:v>
                </c:pt>
                <c:pt idx="102">
                  <c:v>1.5419522514719774E-5</c:v>
                </c:pt>
                <c:pt idx="103">
                  <c:v>1.8354156977245975E-5</c:v>
                </c:pt>
                <c:pt idx="104">
                  <c:v>2.1712663743983263E-5</c:v>
                </c:pt>
                <c:pt idx="105">
                  <c:v>2.5534973503896409E-5</c:v>
                </c:pt>
                <c:pt idx="106">
                  <c:v>2.9862207281721511E-5</c:v>
                </c:pt>
                <c:pt idx="107">
                  <c:v>3.4736480205946948E-5</c:v>
                </c:pt>
                <c:pt idx="108">
                  <c:v>4.0200696133529295E-5</c:v>
                </c:pt>
                <c:pt idx="109">
                  <c:v>4.6298335773633083E-5</c:v>
                </c:pt>
                <c:pt idx="110">
                  <c:v>5.3073240911346968E-5</c:v>
                </c:pt>
                <c:pt idx="111">
                  <c:v>6.0569397247056873E-5</c:v>
                </c:pt>
                <c:pt idx="112">
                  <c:v>6.8830718244457701E-5</c:v>
                </c:pt>
                <c:pt idx="113">
                  <c:v>7.7900832226342415E-5</c:v>
                </c:pt>
                <c:pt idx="114">
                  <c:v>8.7822874778866735E-5</c:v>
                </c:pt>
                <c:pt idx="115">
                  <c:v>9.8639288327977354E-5</c:v>
                </c:pt>
                <c:pt idx="116">
                  <c:v>1.1039163054199995E-4</c:v>
                </c:pt>
                <c:pt idx="117">
                  <c:v>1.2312039299720184E-4</c:v>
                </c:pt>
                <c:pt idx="118">
                  <c:v>1.3686483132340681E-4</c:v>
                </c:pt>
                <c:pt idx="119">
                  <c:v>1.5166280782854581E-4</c:v>
                </c:pt>
                <c:pt idx="120">
                  <c:v>1.675506473880629E-4</c:v>
                </c:pt>
                <c:pt idx="121">
                  <c:v>1.8456300718042813E-4</c:v>
                </c:pt>
                <c:pt idx="122">
                  <c:v>2.0273276065608864E-4</c:v>
                </c:pt>
                <c:pt idx="123">
                  <c:v>2.2209089594599392E-4</c:v>
                </c:pt>
                <c:pt idx="124">
                  <c:v>2.4266642874880718E-4</c:v>
                </c:pt>
                <c:pt idx="125">
                  <c:v>2.6448632958405425E-4</c:v>
                </c:pt>
                <c:pt idx="126">
                  <c:v>2.8757546516239383E-4</c:v>
                </c:pt>
                <c:pt idx="127">
                  <c:v>3.1195655350406046E-4</c:v>
                </c:pt>
                <c:pt idx="128">
                  <c:v>3.3765013233241509E-4</c:v>
                </c:pt>
                <c:pt idx="129">
                  <c:v>3.6467454018095417E-4</c:v>
                </c:pt>
                <c:pt idx="130">
                  <c:v>3.9304590957859264E-4</c:v>
                </c:pt>
                <c:pt idx="131">
                  <c:v>4.2277817161885537E-4</c:v>
                </c:pt>
                <c:pt idx="132">
                  <c:v>4.5388307117290479E-4</c:v>
                </c:pt>
                <c:pt idx="133">
                  <c:v>4.8637019197308963E-4</c:v>
                </c:pt>
                <c:pt idx="134">
                  <c:v>5.2024699077206577E-4</c:v>
                </c:pt>
                <c:pt idx="135">
                  <c:v>5.5551883977123786E-4</c:v>
                </c:pt>
                <c:pt idx="136">
                  <c:v>5.921890765104511E-4</c:v>
                </c:pt>
                <c:pt idx="137">
                  <c:v>6.3025906041731502E-4</c:v>
                </c:pt>
                <c:pt idx="138">
                  <c:v>6.6972823522826576E-4</c:v>
                </c:pt>
                <c:pt idx="139">
                  <c:v>7.105941965134901E-4</c:v>
                </c:pt>
                <c:pt idx="140">
                  <c:v>7.5285276356316065E-4</c:v>
                </c:pt>
                <c:pt idx="141">
                  <c:v>7.964980549221767E-4</c:v>
                </c:pt>
                <c:pt idx="142">
                  <c:v>8.4152256689390588E-4</c:v>
                </c:pt>
                <c:pt idx="143">
                  <c:v>8.8791725436950832E-4</c:v>
                </c:pt>
                <c:pt idx="144">
                  <c:v>9.3567161337765152E-4</c:v>
                </c:pt>
                <c:pt idx="145">
                  <c:v>9.8477376478896522E-4</c:v>
                </c:pt>
                <c:pt idx="146">
                  <c:v>1.0352105386501544E-3</c:v>
                </c:pt>
                <c:pt idx="147">
                  <c:v>1.0869675586634344E-3</c:v>
                </c:pt>
                <c:pt idx="148">
                  <c:v>1.1400293263677044E-3</c:v>
                </c:pt>
                <c:pt idx="149">
                  <c:v>1.1943793046181022E-3</c:v>
                </c:pt>
                <c:pt idx="150">
                  <c:v>1.2499999999999976E-3</c:v>
                </c:pt>
                <c:pt idx="151">
                  <c:v>1.2068730438517259E-3</c:v>
                </c:pt>
                <c:pt idx="152">
                  <c:v>1.1649792716073486E-3</c:v>
                </c:pt>
                <c:pt idx="153">
                  <c:v>1.1242988002062113E-3</c:v>
                </c:pt>
                <c:pt idx="154">
                  <c:v>1.0848111033496775E-3</c:v>
                </c:pt>
                <c:pt idx="155">
                  <c:v>1.0464950844175048E-3</c:v>
                </c:pt>
                <c:pt idx="156">
                  <c:v>1.0093291468864281E-3</c:v>
                </c:pt>
                <c:pt idx="157">
                  <c:v>9.7329126212162718E-4</c:v>
                </c:pt>
                <c:pt idx="158">
                  <c:v>9.3835903443811267E-4</c:v>
                </c:pt>
                <c:pt idx="159">
                  <c:v>9.0450976335332365E-4</c:v>
                </c:pt>
                <c:pt idx="160">
                  <c:v>8.7172050297470213E-4</c:v>
                </c:pt>
                <c:pt idx="161">
                  <c:v>8.3996811848649792E-4</c:v>
                </c:pt>
                <c:pt idx="162">
                  <c:v>8.0922933971877553E-4</c:v>
                </c:pt>
                <c:pt idx="163">
                  <c:v>7.7948081179855322E-4</c:v>
                </c:pt>
                <c:pt idx="164">
                  <c:v>7.5069914289818728E-4</c:v>
                </c:pt>
                <c:pt idx="165">
                  <c:v>7.2286094910972752E-4</c:v>
                </c:pt>
                <c:pt idx="166">
                  <c:v>6.9594289648605484E-4</c:v>
                </c:pt>
                <c:pt idx="167">
                  <c:v>6.6992174030013844E-4</c:v>
                </c:pt>
                <c:pt idx="168">
                  <c:v>6.4477436158300646E-4</c:v>
                </c:pt>
                <c:pt idx="169">
                  <c:v>6.2047780100892534E-4</c:v>
                </c:pt>
                <c:pt idx="170">
                  <c:v>5.9700929020300173E-4</c:v>
                </c:pt>
                <c:pt idx="171">
                  <c:v>5.7434628055202681E-4</c:v>
                </c:pt>
                <c:pt idx="172">
                  <c:v>5.524664696039479E-4</c:v>
                </c:pt>
                <c:pt idx="173">
                  <c:v>5.3134782514498982E-4</c:v>
                </c:pt>
                <c:pt idx="174">
                  <c:v>5.1096860704621244E-4</c:v>
                </c:pt>
                <c:pt idx="175">
                  <c:v>4.913073869732428E-4</c:v>
                </c:pt>
                <c:pt idx="176">
                  <c:v>4.7234306605420428E-4</c:v>
                </c:pt>
                <c:pt idx="177">
                  <c:v>4.5405489060147512E-4</c:v>
                </c:pt>
                <c:pt idx="178">
                  <c:v>4.3642246598293941E-4</c:v>
                </c:pt>
                <c:pt idx="179">
                  <c:v>4.1942576873794067E-4</c:v>
                </c:pt>
                <c:pt idx="180">
                  <c:v>4.0304515703221133E-4</c:v>
                </c:pt>
                <c:pt idx="181">
                  <c:v>3.8726137954473794E-4</c:v>
                </c:pt>
                <c:pt idx="182">
                  <c:v>3.7205558287784846E-4</c:v>
                </c:pt>
                <c:pt idx="183">
                  <c:v>3.574093175798571E-4</c:v>
                </c:pt>
                <c:pt idx="184">
                  <c:v>3.4330454286736348E-4</c:v>
                </c:pt>
                <c:pt idx="185">
                  <c:v>3.297236301318964E-4</c:v>
                </c:pt>
                <c:pt idx="186">
                  <c:v>3.1664936531297541E-4</c:v>
                </c:pt>
                <c:pt idx="187">
                  <c:v>3.0406495021691095E-4</c:v>
                </c:pt>
                <c:pt idx="188">
                  <c:v>2.9195400285784013E-4</c:v>
                </c:pt>
                <c:pt idx="189">
                  <c:v>2.8030055689450841E-4</c:v>
                </c:pt>
                <c:pt idx="190">
                  <c:v>2.6908906023336465E-4</c:v>
                </c:pt>
                <c:pt idx="191">
                  <c:v>2.5830437286547504E-4</c:v>
                </c:pt>
                <c:pt idx="192">
                  <c:v>2.479317640017365E-4</c:v>
                </c:pt>
                <c:pt idx="193">
                  <c:v>2.3795690856783631E-4</c:v>
                </c:pt>
                <c:pt idx="194">
                  <c:v>2.2836588311737579E-4</c:v>
                </c:pt>
                <c:pt idx="195">
                  <c:v>2.1914516121862159E-4</c:v>
                </c:pt>
                <c:pt idx="196">
                  <c:v>2.1028160836735659E-4</c:v>
                </c:pt>
                <c:pt idx="197">
                  <c:v>2.0176247647550973E-4</c:v>
                </c:pt>
                <c:pt idx="198">
                  <c:v>1.935753979823505E-4</c:v>
                </c:pt>
                <c:pt idx="199">
                  <c:v>1.857083796323216E-4</c:v>
                </c:pt>
                <c:pt idx="200">
                  <c:v>1.7814979596095302E-4</c:v>
                </c:pt>
                <c:pt idx="201">
                  <c:v>1.7088838252765984E-4</c:v>
                </c:pt>
                <c:pt idx="202">
                  <c:v>1.6391322893179595E-4</c:v>
                </c:pt>
                <c:pt idx="203">
                  <c:v>1.5721377164588522E-4</c:v>
                </c:pt>
                <c:pt idx="204">
                  <c:v>1.507797866976792E-4</c:v>
                </c:pt>
                <c:pt idx="205">
                  <c:v>1.4460138223046761E-4</c:v>
                </c:pt>
                <c:pt idx="206">
                  <c:v>1.3866899096892714E-4</c:v>
                </c:pt>
                <c:pt idx="207">
                  <c:v>1.3297336261580163E-4</c:v>
                </c:pt>
                <c:pt idx="208">
                  <c:v>1.2750555620274833E-4</c:v>
                </c:pt>
                <c:pt idx="209">
                  <c:v>1.2225693241687435E-4</c:v>
                </c:pt>
                <c:pt idx="210">
                  <c:v>1.1721914592270372E-4</c:v>
                </c:pt>
                <c:pt idx="211">
                  <c:v>1.1238413769770565E-4</c:v>
                </c:pt>
                <c:pt idx="212">
                  <c:v>1.0774412739790961E-4</c:v>
                </c:pt>
                <c:pt idx="213">
                  <c:v>1.0329160576866584E-4</c:v>
                </c:pt>
                <c:pt idx="214">
                  <c:v>9.9019327114231097E-5</c:v>
                </c:pt>
                <c:pt idx="215">
                  <c:v>9.4920301838489823E-5</c:v>
                </c:pt>
                <c:pt idx="216">
                  <c:v>9.0987789067968139E-5</c:v>
                </c:pt>
                <c:pt idx="217">
                  <c:v>8.7215289367031717E-5</c:v>
                </c:pt>
                <c:pt idx="218">
                  <c:v>8.3596537554172091E-5</c:v>
                </c:pt>
                <c:pt idx="219">
                  <c:v>8.0125495627192183E-5</c:v>
                </c:pt>
                <c:pt idx="220">
                  <c:v>7.6796345804190798E-5</c:v>
                </c:pt>
                <c:pt idx="221">
                  <c:v>7.3603483686334576E-5</c:v>
                </c:pt>
                <c:pt idx="222">
                  <c:v>7.0541511547608663E-5</c:v>
                </c:pt>
                <c:pt idx="223">
                  <c:v>6.7605231755931382E-5</c:v>
                </c:pt>
                <c:pt idx="224">
                  <c:v>6.478964032934683E-5</c:v>
                </c:pt>
                <c:pt idx="225">
                  <c:v>6.2089920630327379E-5</c:v>
                </c:pt>
                <c:pt idx="226">
                  <c:v>5.9501437200593706E-5</c:v>
                </c:pt>
                <c:pt idx="227">
                  <c:v>5.7019729738357202E-5</c:v>
                </c:pt>
                <c:pt idx="228">
                  <c:v>5.4640507219296463E-5</c:v>
                </c:pt>
                <c:pt idx="229">
                  <c:v>5.2359642162172048E-5</c:v>
                </c:pt>
                <c:pt idx="230">
                  <c:v>5.0173165039513504E-5</c:v>
                </c:pt>
                <c:pt idx="231">
                  <c:v>4.8077258833421541E-5</c:v>
                </c:pt>
                <c:pt idx="232">
                  <c:v>4.6068253736183127E-5</c:v>
                </c:pt>
                <c:pt idx="233">
                  <c:v>4.4142621995058864E-5</c:v>
                </c:pt>
                <c:pt idx="234">
                  <c:v>4.2296972900294117E-5</c:v>
                </c:pt>
                <c:pt idx="235">
                  <c:v>4.0528047915174177E-5</c:v>
                </c:pt>
                <c:pt idx="236">
                  <c:v>3.8832715946659959E-5</c:v>
                </c:pt>
                <c:pt idx="237">
                  <c:v>3.7207968754973577E-5</c:v>
                </c:pt>
                <c:pt idx="238">
                  <c:v>3.5650916500259392E-5</c:v>
                </c:pt>
                <c:pt idx="239">
                  <c:v>3.4158783424345586E-5</c:v>
                </c:pt>
                <c:pt idx="240">
                  <c:v>3.2728903665403292E-5</c:v>
                </c:pt>
                <c:pt idx="241">
                  <c:v>3.1358717203254082E-5</c:v>
                </c:pt>
                <c:pt idx="242">
                  <c:v>3.0045765932911416E-5</c:v>
                </c:pt>
                <c:pt idx="243">
                  <c:v>2.8787689863851165E-5</c:v>
                </c:pt>
                <c:pt idx="244">
                  <c:v>2.7582223442464734E-5</c:v>
                </c:pt>
                <c:pt idx="245">
                  <c:v>2.6427191995043056E-5</c:v>
                </c:pt>
                <c:pt idx="246">
                  <c:v>2.5320508288601755E-5</c:v>
                </c:pt>
                <c:pt idx="247">
                  <c:v>2.42601692068234E-5</c:v>
                </c:pt>
                <c:pt idx="248">
                  <c:v>2.3244252538363251E-5</c:v>
                </c:pt>
                <c:pt idx="249">
                  <c:v>2.227091387472759E-5</c:v>
                </c:pt>
                <c:pt idx="250">
                  <c:v>2.133838361493816E-5</c:v>
                </c:pt>
                <c:pt idx="251">
                  <c:v>2.0444964074196474E-5</c:v>
                </c:pt>
                <c:pt idx="252">
                  <c:v>1.9589026693764066E-5</c:v>
                </c:pt>
                <c:pt idx="253">
                  <c:v>1.8769009349258478E-5</c:v>
                </c:pt>
                <c:pt idx="254">
                  <c:v>1.7983413754634159E-5</c:v>
                </c:pt>
                <c:pt idx="255">
                  <c:v>1.7230802959106536E-5</c:v>
                </c:pt>
                <c:pt idx="256">
                  <c:v>1.6509798934285239E-5</c:v>
                </c:pt>
                <c:pt idx="257">
                  <c:v>1.5819080248886914E-5</c:v>
                </c:pt>
                <c:pt idx="258">
                  <c:v>1.5157379828336661E-5</c:v>
                </c:pt>
                <c:pt idx="259">
                  <c:v>1.4523482796697542E-5</c:v>
                </c:pt>
                <c:pt idx="260">
                  <c:v>1.3916224398349586E-5</c:v>
                </c:pt>
                <c:pt idx="261">
                  <c:v>1.3334487996904731E-5</c:v>
                </c:pt>
                <c:pt idx="262">
                  <c:v>1.2777203148893137E-5</c:v>
                </c:pt>
                <c:pt idx="263">
                  <c:v>1.2243343749808577E-5</c:v>
                </c:pt>
                <c:pt idx="264">
                  <c:v>1.1731926250134155E-5</c:v>
                </c:pt>
                <c:pt idx="265">
                  <c:v>1.1242007939036295E-5</c:v>
                </c:pt>
                <c:pt idx="266">
                  <c:v>1.0772685293465608E-5</c:v>
                </c:pt>
                <c:pt idx="267">
                  <c:v>1.0323092390450531E-5</c:v>
                </c:pt>
                <c:pt idx="268">
                  <c:v>9.8923993804272682E-6</c:v>
                </c:pt>
                <c:pt idx="269">
                  <c:v>9.4798110195028256E-6</c:v>
                </c:pt>
                <c:pt idx="270">
                  <c:v>9.0845652586097589E-6</c:v>
                </c:pt>
                <c:pt idx="271">
                  <c:v>8.7059318875394847E-6</c:v>
                </c:pt>
                <c:pt idx="272">
                  <c:v>8.3432112319488952E-6</c:v>
                </c:pt>
                <c:pt idx="273">
                  <c:v>7.9957329014172698E-6</c:v>
                </c:pt>
                <c:pt idx="274">
                  <c:v>7.6628545867450876E-6</c:v>
                </c:pt>
                <c:pt idx="275">
                  <c:v>7.3439609047115949E-6</c:v>
                </c:pt>
                <c:pt idx="276">
                  <c:v>7.0384622885595746E-6</c:v>
                </c:pt>
                <c:pt idx="277">
                  <c:v>6.7457939225440845E-6</c:v>
                </c:pt>
                <c:pt idx="278">
                  <c:v>6.4654147189069887E-6</c:v>
                </c:pt>
                <c:pt idx="279">
                  <c:v>6.1968063357212692E-6</c:v>
                </c:pt>
                <c:pt idx="280">
                  <c:v>5.9394722340697383E-6</c:v>
                </c:pt>
                <c:pt idx="281">
                  <c:v>5.6929367730945192E-6</c:v>
                </c:pt>
                <c:pt idx="282">
                  <c:v>5.4567443414770553E-6</c:v>
                </c:pt>
                <c:pt idx="283">
                  <c:v>5.2304585239860079E-6</c:v>
                </c:pt>
                <c:pt idx="284">
                  <c:v>5.013661301746403E-6</c:v>
                </c:pt>
                <c:pt idx="285">
                  <c:v>4.8059522849447191E-6</c:v>
                </c:pt>
                <c:pt idx="286">
                  <c:v>4.606947976722433E-6</c:v>
                </c:pt>
                <c:pt idx="287">
                  <c:v>4.4162810670673048E-6</c:v>
                </c:pt>
                <c:pt idx="288">
                  <c:v>4.2335997555130467E-6</c:v>
                </c:pt>
                <c:pt idx="289">
                  <c:v>4.0585671015649341E-6</c:v>
                </c:pt>
                <c:pt idx="290">
                  <c:v>3.8908604017292523E-6</c:v>
                </c:pt>
                <c:pt idx="291">
                  <c:v>3.730170592142246E-6</c:v>
                </c:pt>
                <c:pt idx="292">
                  <c:v>3.576201675754636E-6</c:v>
                </c:pt>
                <c:pt idx="293">
                  <c:v>3.4286701731365036E-6</c:v>
                </c:pt>
                <c:pt idx="294">
                  <c:v>3.2873045959463769E-6</c:v>
                </c:pt>
                <c:pt idx="295">
                  <c:v>3.151844942165643E-6</c:v>
                </c:pt>
                <c:pt idx="296">
                  <c:v>3.0220422122434113E-6</c:v>
                </c:pt>
                <c:pt idx="297">
                  <c:v>2.8976579453006684E-6</c:v>
                </c:pt>
                <c:pt idx="298">
                  <c:v>2.7784637746022614E-6</c:v>
                </c:pt>
                <c:pt idx="299">
                  <c:v>2.6642410015156193E-6</c:v>
                </c:pt>
                <c:pt idx="300">
                  <c:v>2.5547801872117437E-6</c:v>
                </c:pt>
                <c:pt idx="301">
                  <c:v>2.4498807613922517E-6</c:v>
                </c:pt>
                <c:pt idx="302">
                  <c:v>2.3493506473520465E-6</c:v>
                </c:pt>
                <c:pt idx="303">
                  <c:v>2.2530059027217829E-6</c:v>
                </c:pt>
                <c:pt idx="304">
                  <c:v>2.1606703752345952E-6</c:v>
                </c:pt>
                <c:pt idx="305">
                  <c:v>2.0721753729241801E-6</c:v>
                </c:pt>
                <c:pt idx="306">
                  <c:v>1.9873593481499673E-6</c:v>
                </c:pt>
                <c:pt idx="307">
                  <c:v>1.9060675948896957E-6</c:v>
                </c:pt>
                <c:pt idx="308">
                  <c:v>1.8281519587547429E-6</c:v>
                </c:pt>
                <c:pt idx="309">
                  <c:v>1.7534705591990704E-6</c:v>
                </c:pt>
                <c:pt idx="310">
                  <c:v>1.6818875234281765E-6</c:v>
                </c:pt>
                <c:pt idx="311">
                  <c:v>1.6132727315162138E-6</c:v>
                </c:pt>
                <c:pt idx="312">
                  <c:v>1.5475015722793127E-6</c:v>
                </c:pt>
                <c:pt idx="313">
                  <c:v>1.4844547094397565E-6</c:v>
                </c:pt>
                <c:pt idx="314">
                  <c:v>1.424017857679628E-6</c:v>
                </c:pt>
                <c:pt idx="315">
                  <c:v>1.366081568151034E-6</c:v>
                </c:pt>
                <c:pt idx="316">
                  <c:v>1.3105410230695107E-6</c:v>
                </c:pt>
                <c:pt idx="317">
                  <c:v>1.2572958389842135E-6</c:v>
                </c:pt>
                <c:pt idx="318">
                  <c:v>1.2062498783892611E-6</c:v>
                </c:pt>
                <c:pt idx="319">
                  <c:v>1.157311069324263E-6</c:v>
                </c:pt>
                <c:pt idx="320">
                  <c:v>1.1103912326094579E-6</c:v>
                </c:pt>
                <c:pt idx="321">
                  <c:v>1.0654059164208448E-6</c:v>
                </c:pt>
                <c:pt idx="322">
                  <c:v>1.0222742378757668E-6</c:v>
                </c:pt>
                <c:pt idx="323">
                  <c:v>9.8091873135548583E-7</c:v>
                </c:pt>
                <c:pt idx="324">
                  <c:v>9.4126520326684828E-7</c:v>
                </c:pt>
                <c:pt idx="325">
                  <c:v>9.032425929688147E-7</c:v>
                </c:pt>
                <c:pt idx="326">
                  <c:v>8.6678283962623095E-7</c:v>
                </c:pt>
                <c:pt idx="327">
                  <c:v>8.3182075470998379E-7</c:v>
                </c:pt>
                <c:pt idx="328">
                  <c:v>7.9829389993704761E-7</c:v>
                </c:pt>
                <c:pt idx="329">
                  <c:v>7.6614247038947365E-7</c:v>
                </c:pt>
                <c:pt idx="330">
                  <c:v>7.3530918262712459E-7</c:v>
                </c:pt>
                <c:pt idx="331">
                  <c:v>7.0573916754095099E-7</c:v>
                </c:pt>
                <c:pt idx="332">
                  <c:v>6.7737986779493829E-7</c:v>
                </c:pt>
                <c:pt idx="333">
                  <c:v>6.5018093961775101E-7</c:v>
                </c:pt>
                <c:pt idx="334">
                  <c:v>6.2409415879187741E-7</c:v>
                </c:pt>
                <c:pt idx="335">
                  <c:v>5.990733306363796E-7</c:v>
                </c:pt>
                <c:pt idx="336">
                  <c:v>5.7507420384295059E-7</c:v>
                </c:pt>
                <c:pt idx="337">
                  <c:v>5.520543879653931E-7</c:v>
                </c:pt>
                <c:pt idx="338">
                  <c:v>5.2997327444912254E-7</c:v>
                </c:pt>
                <c:pt idx="339">
                  <c:v>5.0879196100392606E-7</c:v>
                </c:pt>
                <c:pt idx="340">
                  <c:v>4.8847317922214442E-7</c:v>
                </c:pt>
                <c:pt idx="341">
                  <c:v>4.6898122527380261E-7</c:v>
                </c:pt>
                <c:pt idx="342">
                  <c:v>4.5028189355533345E-7</c:v>
                </c:pt>
                <c:pt idx="343">
                  <c:v>4.3234241317450201E-7</c:v>
                </c:pt>
                <c:pt idx="344">
                  <c:v>4.1513138714250322E-7</c:v>
                </c:pt>
                <c:pt idx="345">
                  <c:v>3.9861873415141081E-7</c:v>
                </c:pt>
                <c:pt idx="346">
                  <c:v>3.8277563284853524E-7</c:v>
                </c:pt>
                <c:pt idx="347">
                  <c:v>3.6757446847557153E-7</c:v>
                </c:pt>
                <c:pt idx="348">
                  <c:v>3.5298878178962329E-7</c:v>
                </c:pt>
                <c:pt idx="349">
                  <c:v>3.3899322016100744E-7</c:v>
                </c:pt>
                <c:pt idx="350">
                  <c:v>3.2556349074731792E-7</c:v>
                </c:pt>
                <c:pt idx="351">
                  <c:v>3.1267631568635137E-7</c:v>
                </c:pt>
                <c:pt idx="352">
                  <c:v>3.0030938917216112E-7</c:v>
                </c:pt>
                <c:pt idx="353">
                  <c:v>2.884413363732693E-7</c:v>
                </c:pt>
                <c:pt idx="354">
                  <c:v>2.7705167411157255E-7</c:v>
                </c:pt>
                <c:pt idx="355">
                  <c:v>2.6612077319366747E-7</c:v>
                </c:pt>
                <c:pt idx="356">
                  <c:v>2.5562982236837432E-7</c:v>
                </c:pt>
                <c:pt idx="357">
                  <c:v>2.4556079380757455E-7</c:v>
                </c:pt>
                <c:pt idx="358">
                  <c:v>2.3589641005888789E-7</c:v>
                </c:pt>
                <c:pt idx="359">
                  <c:v>2.2662011240846405E-7</c:v>
                </c:pt>
                <c:pt idx="360">
                  <c:v>2.1771603058918592E-7</c:v>
                </c:pt>
                <c:pt idx="361">
                  <c:v>2.0916895377461076E-7</c:v>
                </c:pt>
                <c:pt idx="362">
                  <c:v>2.0096430281414113E-7</c:v>
                </c:pt>
                <c:pt idx="363">
                  <c:v>1.930881036438768E-7</c:v>
                </c:pt>
                <c:pt idx="364">
                  <c:v>1.8552696182526339E-7</c:v>
                </c:pt>
                <c:pt idx="365">
                  <c:v>1.7826803817625691E-7</c:v>
                </c:pt>
                <c:pt idx="366">
                  <c:v>1.7129902543316557E-7</c:v>
                </c:pt>
                <c:pt idx="367">
                  <c:v>1.6460812589386859E-7</c:v>
                </c:pt>
                <c:pt idx="368">
                  <c:v>1.5818403002902518E-7</c:v>
                </c:pt>
                <c:pt idx="369">
                  <c:v>1.5201589598895093E-7</c:v>
                </c:pt>
                <c:pt idx="370">
                  <c:v>1.4609332998772407E-7</c:v>
                </c:pt>
                <c:pt idx="371">
                  <c:v>1.4040636751134307E-7</c:v>
                </c:pt>
                <c:pt idx="372">
                  <c:v>1.3494545532525875E-7</c:v>
                </c:pt>
                <c:pt idx="373">
                  <c:v>1.2970143425827847E-7</c:v>
                </c:pt>
                <c:pt idx="374">
                  <c:v>1.2466552269570493E-7</c:v>
                </c:pt>
                <c:pt idx="375">
                  <c:v>1.1982930077995014E-7</c:v>
                </c:pt>
                <c:pt idx="376">
                  <c:v>1.1518469528898862E-7</c:v>
                </c:pt>
                <c:pt idx="377">
                  <c:v>1.107239651488786E-7</c:v>
                </c:pt>
                <c:pt idx="378">
                  <c:v>1.0643968754684915E-7</c:v>
                </c:pt>
                <c:pt idx="379">
                  <c:v>1.0232474465666699E-7</c:v>
                </c:pt>
                <c:pt idx="380">
                  <c:v>9.8372310901211625E-8</c:v>
                </c:pt>
                <c:pt idx="381">
                  <c:v>9.4575840775694709E-8</c:v>
                </c:pt>
                <c:pt idx="382">
                  <c:v>9.092905716295167E-8</c:v>
                </c:pt>
                <c:pt idx="383">
                  <c:v>8.7425940162304296E-8</c:v>
                </c:pt>
                <c:pt idx="384">
                  <c:v>8.406071637447176E-8</c:v>
                </c:pt>
                <c:pt idx="385">
                  <c:v>8.0827848651519683E-8</c:v>
                </c:pt>
                <c:pt idx="386">
                  <c:v>7.7722026266061917E-8</c:v>
                </c:pt>
                <c:pt idx="387">
                  <c:v>7.4738155507340466E-8</c:v>
                </c:pt>
                <c:pt idx="388">
                  <c:v>7.1871350664557534E-8</c:v>
                </c:pt>
                <c:pt idx="389">
                  <c:v>6.9116925392063164E-8</c:v>
                </c:pt>
                <c:pt idx="390">
                  <c:v>6.647038444618546E-8</c:v>
                </c:pt>
                <c:pt idx="391">
                  <c:v>6.3927415753892527E-8</c:v>
                </c:pt>
                <c:pt idx="392">
                  <c:v>6.1483882829241595E-8</c:v>
                </c:pt>
                <c:pt idx="393">
                  <c:v>5.9135817503328159E-8</c:v>
                </c:pt>
                <c:pt idx="394">
                  <c:v>5.6879412953450568E-8</c:v>
                </c:pt>
                <c:pt idx="395">
                  <c:v>5.4711017040218211E-8</c:v>
                </c:pt>
                <c:pt idx="396">
                  <c:v>5.2627125907147897E-8</c:v>
                </c:pt>
                <c:pt idx="397">
                  <c:v>5.0624377861049657E-8</c:v>
                </c:pt>
                <c:pt idx="398">
                  <c:v>4.8699547504507227E-8</c:v>
                </c:pt>
                <c:pt idx="399">
                  <c:v>4.684954010789299E-8</c:v>
                </c:pt>
                <c:pt idx="400">
                  <c:v>4.5071386235997532E-8</c:v>
                </c:pt>
                <c:pt idx="401">
                  <c:v>4.3362236571045046E-8</c:v>
                </c:pt>
                <c:pt idx="402">
                  <c:v>4.171935698342947E-8</c:v>
                </c:pt>
                <c:pt idx="403">
                  <c:v>4.0140123779366248E-8</c:v>
                </c:pt>
                <c:pt idx="404">
                  <c:v>3.8622019174329945E-8</c:v>
                </c:pt>
                <c:pt idx="405">
                  <c:v>3.7162626930377912E-8</c:v>
                </c:pt>
                <c:pt idx="406">
                  <c:v>3.5759628195243977E-8</c:v>
                </c:pt>
                <c:pt idx="407">
                  <c:v>3.4410797498686976E-8</c:v>
                </c:pt>
                <c:pt idx="408">
                  <c:v>3.3113998938540465E-8</c:v>
                </c:pt>
                <c:pt idx="409">
                  <c:v>3.186718249138687E-8</c:v>
                </c:pt>
                <c:pt idx="410">
                  <c:v>3.0668380514022257E-8</c:v>
                </c:pt>
                <c:pt idx="411">
                  <c:v>2.9515704364398335E-8</c:v>
                </c:pt>
                <c:pt idx="412">
                  <c:v>2.8407341170889973E-8</c:v>
                </c:pt>
                <c:pt idx="413">
                  <c:v>2.7341550739952514E-8</c:v>
                </c:pt>
                <c:pt idx="414">
                  <c:v>2.6316662590876421E-8</c:v>
                </c:pt>
                <c:pt idx="415">
                  <c:v>2.5331073103375346E-8</c:v>
                </c:pt>
                <c:pt idx="416">
                  <c:v>2.438324280054208E-8</c:v>
                </c:pt>
                <c:pt idx="417">
                  <c:v>2.3471693732725095E-8</c:v>
                </c:pt>
                <c:pt idx="418">
                  <c:v>2.2595006968996209E-8</c:v>
                </c:pt>
                <c:pt idx="419">
                  <c:v>2.1751820198319031E-8</c:v>
                </c:pt>
                <c:pt idx="420">
                  <c:v>2.0940825431637722E-8</c:v>
                </c:pt>
                <c:pt idx="421">
                  <c:v>2.0160766792610461E-8</c:v>
                </c:pt>
                <c:pt idx="422">
                  <c:v>1.9410438396439729E-8</c:v>
                </c:pt>
                <c:pt idx="423">
                  <c:v>1.8688682330365244E-8</c:v>
                </c:pt>
                <c:pt idx="424">
                  <c:v>1.7994386707365836E-8</c:v>
                </c:pt>
                <c:pt idx="425">
                  <c:v>1.7326483796737571E-8</c:v>
                </c:pt>
                <c:pt idx="426">
                  <c:v>1.6683948242280476E-8</c:v>
                </c:pt>
                <c:pt idx="427">
                  <c:v>1.6065795346798559E-8</c:v>
                </c:pt>
                <c:pt idx="428">
                  <c:v>1.5471079429863492E-8</c:v>
                </c:pt>
                <c:pt idx="429">
                  <c:v>1.4898892244447606E-8</c:v>
                </c:pt>
                <c:pt idx="430">
                  <c:v>1.434836147906675E-8</c:v>
                </c:pt>
                <c:pt idx="431">
                  <c:v>1.3818649303093849E-8</c:v>
                </c:pt>
                <c:pt idx="432">
                  <c:v>1.3308950968416323E-8</c:v>
                </c:pt>
                <c:pt idx="433">
                  <c:v>1.2818493495437159E-8</c:v>
                </c:pt>
                <c:pt idx="434">
                  <c:v>1.2346534376850651E-8</c:v>
                </c:pt>
                <c:pt idx="435">
                  <c:v>1.1892360364890511E-8</c:v>
                </c:pt>
                <c:pt idx="436">
                  <c:v>1.1455286290207647E-8</c:v>
                </c:pt>
                <c:pt idx="437">
                  <c:v>1.1034653936348473E-8</c:v>
                </c:pt>
                <c:pt idx="438">
                  <c:v>1.0629830957454017E-8</c:v>
                </c:pt>
                <c:pt idx="439">
                  <c:v>1.0240209840684205E-8</c:v>
                </c:pt>
                <c:pt idx="440">
                  <c:v>9.8652069172591474E-9</c:v>
                </c:pt>
                <c:pt idx="441">
                  <c:v>9.5042613985187553E-9</c:v>
                </c:pt>
                <c:pt idx="442">
                  <c:v>9.1568344726235666E-9</c:v>
                </c:pt>
                <c:pt idx="443">
                  <c:v>8.8224084153711622E-9</c:v>
                </c:pt>
                <c:pt idx="444">
                  <c:v>8.5004857520389326E-9</c:v>
                </c:pt>
                <c:pt idx="445">
                  <c:v>8.1905884543322318E-9</c:v>
                </c:pt>
                <c:pt idx="446">
                  <c:v>7.8922571589369658E-9</c:v>
                </c:pt>
                <c:pt idx="447">
                  <c:v>7.6050504256021238E-9</c:v>
                </c:pt>
                <c:pt idx="448">
                  <c:v>7.3285440251314932E-9</c:v>
                </c:pt>
                <c:pt idx="449">
                  <c:v>7.0623302537432446E-9</c:v>
                </c:pt>
                <c:pt idx="450">
                  <c:v>6.8060172775386802E-9</c:v>
                </c:pt>
                <c:pt idx="451">
                  <c:v>6.5592284977823034E-9</c:v>
                </c:pt>
                <c:pt idx="452">
                  <c:v>6.3216019553836322E-9</c:v>
                </c:pt>
                <c:pt idx="453">
                  <c:v>6.0927897377328109E-9</c:v>
                </c:pt>
                <c:pt idx="454">
                  <c:v>5.8724574370839211E-9</c:v>
                </c:pt>
                <c:pt idx="455">
                  <c:v>5.6602835990793713E-9</c:v>
                </c:pt>
                <c:pt idx="456">
                  <c:v>5.4559592305492421E-9</c:v>
                </c:pt>
                <c:pt idx="457">
                  <c:v>5.2591872869878495E-9</c:v>
                </c:pt>
                <c:pt idx="458">
                  <c:v>5.0696822108342856E-9</c:v>
                </c:pt>
                <c:pt idx="459">
                  <c:v>4.8871694812324784E-9</c:v>
                </c:pt>
                <c:pt idx="460">
                  <c:v>4.7113851694979915E-9</c:v>
                </c:pt>
                <c:pt idx="461">
                  <c:v>4.542075531704944E-9</c:v>
                </c:pt>
                <c:pt idx="462">
                  <c:v>4.378996598219945E-9</c:v>
                </c:pt>
                <c:pt idx="463">
                  <c:v>4.2219137954435702E-9</c:v>
                </c:pt>
                <c:pt idx="464">
                  <c:v>4.0706015737579292E-9</c:v>
                </c:pt>
                <c:pt idx="465">
                  <c:v>3.9248430579175023E-9</c:v>
                </c:pt>
                <c:pt idx="466">
                  <c:v>3.7844296976174905E-9</c:v>
                </c:pt>
                <c:pt idx="467">
                  <c:v>3.6491609540334246E-9</c:v>
                </c:pt>
                <c:pt idx="468">
                  <c:v>3.5188439662325649E-9</c:v>
                </c:pt>
                <c:pt idx="469">
                  <c:v>3.3932932754221266E-9</c:v>
                </c:pt>
                <c:pt idx="470">
                  <c:v>3.2723305122272835E-9</c:v>
                </c:pt>
                <c:pt idx="471">
                  <c:v>3.1557841379092616E-9</c:v>
                </c:pt>
                <c:pt idx="472">
                  <c:v>3.0434891652663882E-9</c:v>
                </c:pt>
                <c:pt idx="473">
                  <c:v>2.9352869069742773E-9</c:v>
                </c:pt>
                <c:pt idx="474">
                  <c:v>2.8310247308871096E-9</c:v>
                </c:pt>
                <c:pt idx="475">
                  <c:v>2.7305558264467315E-9</c:v>
                </c:pt>
                <c:pt idx="476">
                  <c:v>2.6337389736008237E-9</c:v>
                </c:pt>
                <c:pt idx="477">
                  <c:v>2.5404383242499584E-9</c:v>
                </c:pt>
                <c:pt idx="478">
                  <c:v>2.4505231990045908E-9</c:v>
                </c:pt>
                <c:pt idx="479">
                  <c:v>2.3638678794346122E-9</c:v>
                </c:pt>
                <c:pt idx="480">
                  <c:v>2.2803514288515907E-9</c:v>
                </c:pt>
                <c:pt idx="481">
                  <c:v>2.1998574878833847E-9</c:v>
                </c:pt>
                <c:pt idx="482">
                  <c:v>2.1222741116266394E-9</c:v>
                </c:pt>
                <c:pt idx="483">
                  <c:v>2.0474935934877297E-9</c:v>
                </c:pt>
                <c:pt idx="484">
                  <c:v>1.9754123045223224E-9</c:v>
                </c:pt>
                <c:pt idx="485">
                  <c:v>1.9059305266244227E-9</c:v>
                </c:pt>
                <c:pt idx="486">
                  <c:v>1.838952315291698E-9</c:v>
                </c:pt>
                <c:pt idx="487">
                  <c:v>1.7743853456430704E-9</c:v>
                </c:pt>
                <c:pt idx="488">
                  <c:v>1.7121407685948912E-9</c:v>
                </c:pt>
                <c:pt idx="489">
                  <c:v>1.6521330910900918E-9</c:v>
                </c:pt>
                <c:pt idx="490">
                  <c:v>1.594280029659733E-9</c:v>
                </c:pt>
                <c:pt idx="491">
                  <c:v>1.5385024037916718E-9</c:v>
                </c:pt>
                <c:pt idx="492">
                  <c:v>1.4847240024539846E-9</c:v>
                </c:pt>
                <c:pt idx="493">
                  <c:v>1.4328714786737228E-9</c:v>
                </c:pt>
                <c:pt idx="494">
                  <c:v>1.3828742394083695E-9</c:v>
                </c:pt>
                <c:pt idx="495">
                  <c:v>1.334664335939051E-9</c:v>
                </c:pt>
                <c:pt idx="496">
                  <c:v>1.2881763615246315E-9</c:v>
                </c:pt>
                <c:pt idx="497">
                  <c:v>1.243347360968495E-9</c:v>
                </c:pt>
                <c:pt idx="498">
                  <c:v>1.2001167364327895E-9</c:v>
                </c:pt>
                <c:pt idx="499">
                  <c:v>1.1584261430274817E-9</c:v>
                </c:pt>
                <c:pt idx="500">
                  <c:v>1.1182194242786552E-9</c:v>
                </c:pt>
                <c:pt idx="501">
                  <c:v>1.0794425144455411E-9</c:v>
                </c:pt>
                <c:pt idx="502">
                  <c:v>1.0420433633084428E-9</c:v>
                </c:pt>
                <c:pt idx="503">
                  <c:v>1.0059718543342256E-9</c:v>
                </c:pt>
                <c:pt idx="504">
                  <c:v>9.7117974152678809E-10</c:v>
                </c:pt>
                <c:pt idx="505">
                  <c:v>9.3762056815878381E-10</c:v>
                </c:pt>
                <c:pt idx="506">
                  <c:v>9.0524960592027126E-10</c:v>
                </c:pt>
                <c:pt idx="507">
                  <c:v>8.740237825044131E-10</c:v>
                </c:pt>
                <c:pt idx="508">
                  <c:v>8.4390162762289506E-10</c:v>
                </c:pt>
                <c:pt idx="509">
                  <c:v>8.1484320260668003E-10</c:v>
                </c:pt>
                <c:pt idx="510">
                  <c:v>7.8681004744836837E-10</c:v>
                </c:pt>
                <c:pt idx="511">
                  <c:v>7.5976513103644632E-10</c:v>
                </c:pt>
                <c:pt idx="512">
                  <c:v>7.3367277932941666E-10</c:v>
                </c:pt>
                <c:pt idx="513">
                  <c:v>7.0849864788332398E-10</c:v>
                </c:pt>
                <c:pt idx="514">
                  <c:v>6.8420964696166092E-10</c:v>
                </c:pt>
                <c:pt idx="515">
                  <c:v>6.6077391513982139E-10</c:v>
                </c:pt>
                <c:pt idx="516">
                  <c:v>6.3816076385500025E-10</c:v>
                </c:pt>
                <c:pt idx="517">
                  <c:v>6.1634062596401795E-10</c:v>
                </c:pt>
                <c:pt idx="518">
                  <c:v>5.9528503326685626E-10</c:v>
                </c:pt>
                <c:pt idx="519">
                  <c:v>5.7496655172514335E-10</c:v>
                </c:pt>
                <c:pt idx="520">
                  <c:v>5.5535876158915446E-10</c:v>
                </c:pt>
                <c:pt idx="521">
                  <c:v>5.3643621020224125E-10</c:v>
                </c:pt>
                <c:pt idx="522">
                  <c:v>5.1817437853870744E-10</c:v>
                </c:pt>
                <c:pt idx="523">
                  <c:v>5.0054963767750715E-10</c:v>
                </c:pt>
                <c:pt idx="524">
                  <c:v>4.8353923820518112E-10</c:v>
                </c:pt>
                <c:pt idx="525">
                  <c:v>4.6712124626699337E-10</c:v>
                </c:pt>
                <c:pt idx="526">
                  <c:v>4.5127453625057246E-10</c:v>
                </c:pt>
                <c:pt idx="527">
                  <c:v>4.3597875737374978E-10</c:v>
                </c:pt>
                <c:pt idx="528">
                  <c:v>4.2121428880379004E-10</c:v>
                </c:pt>
                <c:pt idx="529">
                  <c:v>4.0696224074540684E-10</c:v>
                </c:pt>
                <c:pt idx="530">
                  <c:v>3.9320439670917485E-10</c:v>
                </c:pt>
                <c:pt idx="531">
                  <c:v>3.7992320818800141E-10</c:v>
                </c:pt>
                <c:pt idx="532">
                  <c:v>3.6710176503082738E-10</c:v>
                </c:pt>
                <c:pt idx="533">
                  <c:v>3.5472376950782323E-10</c:v>
                </c:pt>
                <c:pt idx="534">
                  <c:v>3.4277351392828297E-10</c:v>
                </c:pt>
                <c:pt idx="535">
                  <c:v>3.3123586412606576E-10</c:v>
                </c:pt>
                <c:pt idx="536">
                  <c:v>3.2009622924486942E-10</c:v>
                </c:pt>
                <c:pt idx="537">
                  <c:v>3.0934055095241892E-10</c:v>
                </c:pt>
                <c:pt idx="538">
                  <c:v>2.9895527249299518E-10</c:v>
                </c:pt>
                <c:pt idx="539">
                  <c:v>2.8892733279770645E-10</c:v>
                </c:pt>
                <c:pt idx="540">
                  <c:v>2.792441420318209E-10</c:v>
                </c:pt>
                <c:pt idx="541">
                  <c:v>2.6989355802473811E-10</c:v>
                </c:pt>
                <c:pt idx="542">
                  <c:v>2.6086388595911892E-10</c:v>
                </c:pt>
                <c:pt idx="543">
                  <c:v>2.5214384122838313E-10</c:v>
                </c:pt>
                <c:pt idx="544">
                  <c:v>2.437225509188484E-10</c:v>
                </c:pt>
                <c:pt idx="545">
                  <c:v>2.3558953710088046E-10</c:v>
                </c:pt>
                <c:pt idx="546">
                  <c:v>2.2773468886237313E-10</c:v>
                </c:pt>
                <c:pt idx="547">
                  <c:v>2.201482655339413E-10</c:v>
                </c:pt>
                <c:pt idx="548">
                  <c:v>2.1282086690719779E-10</c:v>
                </c:pt>
                <c:pt idx="549">
                  <c:v>2.0574344120059452E-10</c:v>
                </c:pt>
                <c:pt idx="550">
                  <c:v>1.9890725233560613E-10</c:v>
                </c:pt>
                <c:pt idx="551">
                  <c:v>1.9230388151323942E-10</c:v>
                </c:pt>
                <c:pt idx="552">
                  <c:v>1.8592520207859126E-10</c:v>
                </c:pt>
                <c:pt idx="553">
                  <c:v>1.79763385277349E-10</c:v>
                </c:pt>
                <c:pt idx="554">
                  <c:v>1.7381088295296947E-10</c:v>
                </c:pt>
                <c:pt idx="555">
                  <c:v>1.6806041136517465E-10</c:v>
                </c:pt>
                <c:pt idx="556">
                  <c:v>1.6250494511148225E-10</c:v>
                </c:pt>
                <c:pt idx="557">
                  <c:v>1.5713771092661028E-10</c:v>
                </c:pt>
                <c:pt idx="558">
                  <c:v>1.5195218028284104E-10</c:v>
                </c:pt>
                <c:pt idx="559">
                  <c:v>1.4694205095476551E-10</c:v>
                </c:pt>
                <c:pt idx="560">
                  <c:v>1.4210124393841731E-10</c:v>
                </c:pt>
                <c:pt idx="561">
                  <c:v>1.3742390110314888E-10</c:v>
                </c:pt>
                <c:pt idx="562">
                  <c:v>1.3290436540190734E-10</c:v>
                </c:pt>
                <c:pt idx="563">
                  <c:v>1.2853718586723789E-10</c:v>
                </c:pt>
                <c:pt idx="564">
                  <c:v>1.2431710209036456E-10</c:v>
                </c:pt>
                <c:pt idx="565">
                  <c:v>1.2023903991907801E-10</c:v>
                </c:pt>
                <c:pt idx="566">
                  <c:v>1.162980993729573E-10</c:v>
                </c:pt>
                <c:pt idx="567">
                  <c:v>1.1248956176544951E-10</c:v>
                </c:pt>
                <c:pt idx="568">
                  <c:v>1.0880887071350603E-10</c:v>
                </c:pt>
                <c:pt idx="569">
                  <c:v>1.0525162860707318E-10</c:v>
                </c:pt>
                <c:pt idx="570">
                  <c:v>1.0181359266779929E-10</c:v>
                </c:pt>
                <c:pt idx="571">
                  <c:v>9.8490677336017138E-11</c:v>
                </c:pt>
                <c:pt idx="572">
                  <c:v>9.5278929013166184E-11</c:v>
                </c:pt>
                <c:pt idx="573">
                  <c:v>9.2174536941981583E-11</c:v>
                </c:pt>
                <c:pt idx="574">
                  <c:v>8.9173830741797286E-11</c:v>
                </c:pt>
                <c:pt idx="575">
                  <c:v>8.6273258675930337E-11</c:v>
                </c:pt>
                <c:pt idx="576">
                  <c:v>8.3469398792770363E-11</c:v>
                </c:pt>
                <c:pt idx="577">
                  <c:v>8.0758948556294292E-11</c:v>
                </c:pt>
                <c:pt idx="578">
                  <c:v>7.8138720005496394E-11</c:v>
                </c:pt>
                <c:pt idx="579">
                  <c:v>7.5605639188172611E-11</c:v>
                </c:pt>
                <c:pt idx="580">
                  <c:v>7.3156733948468171E-11</c:v>
                </c:pt>
                <c:pt idx="581">
                  <c:v>7.0789138606467243E-11</c:v>
                </c:pt>
                <c:pt idx="582">
                  <c:v>6.850009071079145E-11</c:v>
                </c:pt>
                <c:pt idx="583">
                  <c:v>6.6286918454220619E-11</c:v>
                </c:pt>
                <c:pt idx="584">
                  <c:v>6.4147043976607183E-11</c:v>
                </c:pt>
                <c:pt idx="585">
                  <c:v>6.2077986195944839E-11</c:v>
                </c:pt>
                <c:pt idx="586">
                  <c:v>6.0077337660217691E-11</c:v>
                </c:pt>
                <c:pt idx="587">
                  <c:v>5.8142786757413522E-11</c:v>
                </c:pt>
                <c:pt idx="588">
                  <c:v>5.6272093496006126E-11</c:v>
                </c:pt>
                <c:pt idx="589">
                  <c:v>5.4463100235262565E-11</c:v>
                </c:pt>
                <c:pt idx="590">
                  <c:v>5.2713719611568231E-11</c:v>
                </c:pt>
                <c:pt idx="591">
                  <c:v>5.1021941899203537E-11</c:v>
                </c:pt>
                <c:pt idx="592">
                  <c:v>4.9385824785191519E-11</c:v>
                </c:pt>
                <c:pt idx="593">
                  <c:v>4.780348908383607E-11</c:v>
                </c:pt>
                <c:pt idx="594">
                  <c:v>4.6273124909562534E-11</c:v>
                </c:pt>
                <c:pt idx="595">
                  <c:v>4.4792986597647001E-11</c:v>
                </c:pt>
                <c:pt idx="596">
                  <c:v>4.3361381552026357E-11</c:v>
                </c:pt>
                <c:pt idx="597">
                  <c:v>4.1976679604477686E-11</c:v>
                </c:pt>
                <c:pt idx="598">
                  <c:v>4.0637311360386909E-11</c:v>
                </c:pt>
                <c:pt idx="599">
                  <c:v>3.93417495636544E-11</c:v>
                </c:pt>
                <c:pt idx="600">
                  <c:v>3.8088529830111047E-11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08-4258-8528-23FE7297187E}"/>
            </c:ext>
          </c:extLst>
        </c:ser>
        <c:ser>
          <c:idx val="2"/>
          <c:order val="2"/>
          <c:tx>
            <c:strRef>
              <c:f>Densities!$R$4</c:f>
              <c:strCache>
                <c:ptCount val="1"/>
                <c:pt idx="0">
                  <c:v>NormVol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Densities!$R$5:$R$605</c:f>
              <c:numCache>
                <c:formatCode>0.0000%</c:formatCode>
                <c:ptCount val="601"/>
                <c:pt idx="0">
                  <c:v>5.1297850135165526E-10</c:v>
                </c:pt>
                <c:pt idx="1">
                  <c:v>6.0456829559859759E-10</c:v>
                </c:pt>
                <c:pt idx="2">
                  <c:v>7.1183255024017561E-10</c:v>
                </c:pt>
                <c:pt idx="3">
                  <c:v>8.3733043641540779E-10</c:v>
                </c:pt>
                <c:pt idx="4">
                  <c:v>9.8401737419225903E-10</c:v>
                </c:pt>
                <c:pt idx="5">
                  <c:v>1.1553027499361375E-9</c:v>
                </c:pt>
                <c:pt idx="6">
                  <c:v>1.355115463320651E-9</c:v>
                </c:pt>
                <c:pt idx="7">
                  <c:v>1.5879782708983157E-9</c:v>
                </c:pt>
                <c:pt idx="8">
                  <c:v>1.8590919933107292E-9</c:v>
                </c:pt>
                <c:pt idx="9">
                  <c:v>2.1744308012217939E-9</c:v>
                </c:pt>
                <c:pt idx="10">
                  <c:v>2.5408498850008857E-9</c:v>
                </c:pt>
                <c:pt idx="11">
                  <c:v>2.9662069813971031E-9</c:v>
                </c:pt>
                <c:pt idx="12">
                  <c:v>3.4594993716198783E-9</c:v>
                </c:pt>
                <c:pt idx="13">
                  <c:v>4.0310181236097851E-9</c:v>
                </c:pt>
                <c:pt idx="14">
                  <c:v>4.6925215404820065E-9</c:v>
                </c:pt>
                <c:pt idx="15">
                  <c:v>5.4574299704245396E-9</c:v>
                </c:pt>
                <c:pt idx="16">
                  <c:v>6.3410443221225712E-9</c:v>
                </c:pt>
                <c:pt idx="17">
                  <c:v>7.3607908794762826E-9</c:v>
                </c:pt>
                <c:pt idx="18">
                  <c:v>8.5364952306473231E-9</c:v>
                </c:pt>
                <c:pt idx="19">
                  <c:v>9.8906883926980257E-9</c:v>
                </c:pt>
                <c:pt idx="20">
                  <c:v>1.1448948474498257E-8</c:v>
                </c:pt>
                <c:pt idx="21">
                  <c:v>1.324028153834904E-8</c:v>
                </c:pt>
                <c:pt idx="22">
                  <c:v>1.5297545599825667E-8</c:v>
                </c:pt>
                <c:pt idx="23">
                  <c:v>1.7657922056275645E-8</c:v>
                </c:pt>
                <c:pt idx="24">
                  <c:v>2.0363439183653299E-8</c:v>
                </c:pt>
                <c:pt idx="25">
                  <c:v>2.3461552686706913E-8</c:v>
                </c:pt>
                <c:pt idx="26">
                  <c:v>2.7005788702114235E-8</c:v>
                </c:pt>
                <c:pt idx="27">
                  <c:v>3.1056455039587481E-8</c:v>
                </c:pt>
                <c:pt idx="28">
                  <c:v>3.5681426865466817E-8</c:v>
                </c:pt>
                <c:pt idx="29">
                  <c:v>4.0957013493559674E-8</c:v>
                </c:pt>
                <c:pt idx="30">
                  <c:v>4.6968913377520921E-8</c:v>
                </c:pt>
                <c:pt idx="31">
                  <c:v>5.3813264884247722E-8</c:v>
                </c:pt>
                <c:pt idx="32">
                  <c:v>6.1597800910323708E-8</c:v>
                </c:pt>
                <c:pt idx="33">
                  <c:v>7.0443115890655367E-8</c:v>
                </c:pt>
                <c:pt idx="34">
                  <c:v>8.0484054249792854E-8</c:v>
                </c:pt>
                <c:pt idx="35">
                  <c:v>9.1871229879079009E-8</c:v>
                </c:pt>
                <c:pt idx="36">
                  <c:v>1.0477268669447242E-7</c:v>
                </c:pt>
                <c:pt idx="37">
                  <c:v>1.1937571088512873E-7</c:v>
                </c:pt>
                <c:pt idx="38">
                  <c:v>1.3588880593749542E-7</c:v>
                </c:pt>
                <c:pt idx="39">
                  <c:v>1.5454384204796151E-7</c:v>
                </c:pt>
                <c:pt idx="40">
                  <c:v>1.7559839199124099E-7</c:v>
                </c:pt>
                <c:pt idx="41">
                  <c:v>1.9933826601573072E-7</c:v>
                </c:pt>
                <c:pt idx="42">
                  <c:v>2.2608025875316603E-7</c:v>
                </c:pt>
                <c:pt idx="43">
                  <c:v>2.561751215497545E-7</c:v>
                </c:pt>
                <c:pt idx="44">
                  <c:v>2.9001077401781447E-7</c:v>
                </c:pt>
                <c:pt idx="45">
                  <c:v>3.2801576890399644E-7</c:v>
                </c:pt>
                <c:pt idx="46">
                  <c:v>3.7066302468803747E-7</c:v>
                </c:pt>
                <c:pt idx="47">
                  <c:v>4.1847384050932797E-7</c:v>
                </c:pt>
                <c:pt idx="48">
                  <c:v>4.7202220818682919E-7</c:v>
                </c:pt>
                <c:pt idx="49">
                  <c:v>5.3193943616664468E-7</c:v>
                </c:pt>
                <c:pt idx="50">
                  <c:v>5.9891910019763622E-7</c:v>
                </c:pt>
                <c:pt idx="51">
                  <c:v>6.7372233544676692E-7</c:v>
                </c:pt>
                <c:pt idx="52">
                  <c:v>7.5718348451186873E-7</c:v>
                </c:pt>
                <c:pt idx="53">
                  <c:v>8.5021611548669586E-7</c:v>
                </c:pt>
                <c:pt idx="54">
                  <c:v>9.5381942373023211E-7</c:v>
                </c:pt>
                <c:pt idx="55">
                  <c:v>1.069085030410765E-6</c:v>
                </c:pt>
                <c:pt idx="56">
                  <c:v>1.1972041901381074E-6</c:v>
                </c:pt>
                <c:pt idx="57">
                  <c:v>1.3394754190817882E-6</c:v>
                </c:pt>
                <c:pt idx="58">
                  <c:v>1.4973125539036801E-6</c:v>
                </c:pt>
                <c:pt idx="59">
                  <c:v>1.6722532505776778E-6</c:v>
                </c:pt>
                <c:pt idx="60">
                  <c:v>1.8659679307280544E-6</c:v>
                </c:pt>
                <c:pt idx="61">
                  <c:v>2.0802691814972762E-6</c:v>
                </c:pt>
                <c:pt idx="62">
                  <c:v>2.3171216131161754E-6</c:v>
                </c:pt>
                <c:pt idx="63">
                  <c:v>2.5786521763195149E-6</c:v>
                </c:pt>
                <c:pt idx="64">
                  <c:v>2.8671609395054103E-6</c:v>
                </c:pt>
                <c:pt idx="65">
                  <c:v>3.1851323230770841E-6</c:v>
                </c:pt>
                <c:pt idx="66">
                  <c:v>3.5352467857347302E-6</c:v>
                </c:pt>
                <c:pt idx="67">
                  <c:v>3.9203929545946479E-6</c:v>
                </c:pt>
                <c:pt idx="68">
                  <c:v>4.3436801879125203E-6</c:v>
                </c:pt>
                <c:pt idx="69">
                  <c:v>4.8084515558703309E-6</c:v>
                </c:pt>
                <c:pt idx="70">
                  <c:v>5.3182972213734004E-6</c:v>
                </c:pt>
                <c:pt idx="71">
                  <c:v>5.8770681990803059E-6</c:v>
                </c:pt>
                <c:pt idx="72">
                  <c:v>6.4888904670004931E-6</c:v>
                </c:pt>
                <c:pt idx="73">
                  <c:v>7.1581794008994992E-6</c:v>
                </c:pt>
                <c:pt idx="74">
                  <c:v>7.88965449753371E-6</c:v>
                </c:pt>
                <c:pt idx="75">
                  <c:v>8.6883543483489849E-6</c:v>
                </c:pt>
                <c:pt idx="76">
                  <c:v>9.5596518207855056E-6</c:v>
                </c:pt>
                <c:pt idx="77">
                  <c:v>1.0509269399738713E-5</c:v>
                </c:pt>
                <c:pt idx="78">
                  <c:v>1.1543294637059116E-5</c:v>
                </c:pt>
                <c:pt idx="79">
                  <c:v>1.2668195652272861E-5</c:v>
                </c:pt>
                <c:pt idx="80">
                  <c:v>1.3890836622980005E-5</c:v>
                </c:pt>
                <c:pt idx="81">
                  <c:v>1.5218493198706392E-5</c:v>
                </c:pt>
                <c:pt idx="82">
                  <c:v>1.6658867767337779E-5</c:v>
                </c:pt>
                <c:pt idx="83">
                  <c:v>1.822010449875222E-5</c:v>
                </c:pt>
                <c:pt idx="84">
                  <c:v>1.9910804085841643E-5</c:v>
                </c:pt>
                <c:pt idx="85">
                  <c:v>2.1740038098939793E-5</c:v>
                </c:pt>
                <c:pt idx="86">
                  <c:v>2.3717362865655956E-5</c:v>
                </c:pt>
                <c:pt idx="87">
                  <c:v>2.5852832784421537E-5</c:v>
                </c:pt>
                <c:pt idx="88">
                  <c:v>2.8157012976660201E-5</c:v>
                </c:pt>
                <c:pt idx="89">
                  <c:v>3.0640991179459328E-5</c:v>
                </c:pt>
                <c:pt idx="90">
                  <c:v>3.3316388778015211E-5</c:v>
                </c:pt>
                <c:pt idx="91">
                  <c:v>3.6195370874969639E-5</c:v>
                </c:pt>
                <c:pt idx="92">
                  <c:v>3.9290655292109649E-5</c:v>
                </c:pt>
                <c:pt idx="93">
                  <c:v>4.2615520398805805E-5</c:v>
                </c:pt>
                <c:pt idx="94">
                  <c:v>4.618381166107818E-5</c:v>
                </c:pt>
                <c:pt idx="95">
                  <c:v>5.0009946805305979E-5</c:v>
                </c:pt>
                <c:pt idx="96">
                  <c:v>5.4108919491413623E-5</c:v>
                </c:pt>
                <c:pt idx="97">
                  <c:v>5.849630139190021E-5</c:v>
                </c:pt>
                <c:pt idx="98">
                  <c:v>6.3188242575329607E-5</c:v>
                </c:pt>
                <c:pt idx="99">
                  <c:v>6.82014700959467E-5</c:v>
                </c:pt>
                <c:pt idx="100">
                  <c:v>7.3553284694897938E-5</c:v>
                </c:pt>
                <c:pt idx="101">
                  <c:v>7.9261555523175596E-5</c:v>
                </c:pt>
                <c:pt idx="102">
                  <c:v>8.5344712801846087E-5</c:v>
                </c:pt>
                <c:pt idx="103">
                  <c:v>9.1821738341400837E-5</c:v>
                </c:pt>
                <c:pt idx="104">
                  <c:v>9.871215384915107E-5</c:v>
                </c:pt>
                <c:pt idx="105">
                  <c:v>1.0603600696150467E-4</c:v>
                </c:pt>
                <c:pt idx="106">
                  <c:v>1.1381385494664716E-4</c:v>
                </c:pt>
                <c:pt idx="107">
                  <c:v>1.2206674603262819E-4</c:v>
                </c:pt>
                <c:pt idx="108">
                  <c:v>1.3081619832606148E-4</c:v>
                </c:pt>
                <c:pt idx="109">
                  <c:v>1.4008417629756163E-4</c:v>
                </c:pt>
                <c:pt idx="110">
                  <c:v>1.4989306482159894E-4</c:v>
                </c:pt>
                <c:pt idx="111">
                  <c:v>1.6026564077063304E-4</c:v>
                </c:pt>
                <c:pt idx="112">
                  <c:v>1.7122504217607806E-4</c:v>
                </c:pt>
                <c:pt idx="113">
                  <c:v>1.8279473498184043E-4</c:v>
                </c:pt>
                <c:pt idx="114">
                  <c:v>1.9499847742972888E-4</c:v>
                </c:pt>
                <c:pt idx="115">
                  <c:v>2.0786028212992606E-4</c:v>
                </c:pt>
                <c:pt idx="116">
                  <c:v>2.2140437588381412E-4</c:v>
                </c:pt>
                <c:pt idx="117">
                  <c:v>2.3565515734067909E-4</c:v>
                </c:pt>
                <c:pt idx="118">
                  <c:v>2.506371525840905E-4</c:v>
                </c:pt>
                <c:pt idx="119">
                  <c:v>2.6637496875794788E-4</c:v>
                </c:pt>
                <c:pt idx="120">
                  <c:v>2.8289324585620713E-4</c:v>
                </c:pt>
                <c:pt idx="121">
                  <c:v>3.0021660681403702E-4</c:v>
                </c:pt>
                <c:pt idx="122">
                  <c:v>3.1836960605149912E-4</c:v>
                </c:pt>
                <c:pt idx="123">
                  <c:v>3.3737667663369289E-4</c:v>
                </c:pt>
                <c:pt idx="124">
                  <c:v>3.5726207622352934E-4</c:v>
                </c:pt>
                <c:pt idx="125">
                  <c:v>3.7804983201481608E-4</c:v>
                </c:pt>
                <c:pt idx="126">
                  <c:v>3.9976368484402407E-4</c:v>
                </c:pt>
                <c:pt idx="127">
                  <c:v>4.2242703268886665E-4</c:v>
                </c:pt>
                <c:pt idx="128">
                  <c:v>4.4606287377056914E-4</c:v>
                </c:pt>
                <c:pt idx="129">
                  <c:v>4.706937494843395E-4</c:v>
                </c:pt>
                <c:pt idx="130">
                  <c:v>4.9634168738898305E-4</c:v>
                </c:pt>
                <c:pt idx="131">
                  <c:v>5.2302814449177904E-4</c:v>
                </c:pt>
                <c:pt idx="132">
                  <c:v>5.5077395106855644E-4</c:v>
                </c:pt>
                <c:pt idx="133">
                  <c:v>5.7959925526134806E-4</c:v>
                </c:pt>
                <c:pt idx="134">
                  <c:v>6.0952346869698102E-4</c:v>
                </c:pt>
                <c:pt idx="135">
                  <c:v>6.4056521336948013E-4</c:v>
                </c:pt>
                <c:pt idx="136">
                  <c:v>6.7274227002715563E-4</c:v>
                </c:pt>
                <c:pt idx="137">
                  <c:v>7.0607152830173445E-4</c:v>
                </c:pt>
                <c:pt idx="138">
                  <c:v>7.405689388118548E-4</c:v>
                </c:pt>
                <c:pt idx="139">
                  <c:v>7.762494674666985E-4</c:v>
                </c:pt>
                <c:pt idx="140">
                  <c:v>8.1312705218750147E-4</c:v>
                </c:pt>
                <c:pt idx="141">
                  <c:v>8.5121456225520299E-4</c:v>
                </c:pt>
                <c:pt idx="142">
                  <c:v>8.9052376048161426E-4</c:v>
                </c:pt>
                <c:pt idx="143">
                  <c:v>9.310652683892555E-4</c:v>
                </c:pt>
                <c:pt idx="144">
                  <c:v>9.7284853457153245E-4</c:v>
                </c:pt>
                <c:pt idx="145">
                  <c:v>1.0158818063902408E-3</c:v>
                </c:pt>
                <c:pt idx="146">
                  <c:v>1.0601721051516288E-3</c:v>
                </c:pt>
                <c:pt idx="147">
                  <c:v>1.1057252048854958E-3</c:v>
                </c:pt>
                <c:pt idx="148">
                  <c:v>1.1525456148341771E-3</c:v>
                </c:pt>
                <c:pt idx="149">
                  <c:v>1.2006365657399028E-3</c:v>
                </c:pt>
                <c:pt idx="150">
                  <c:v>1.2499999999999961E-3</c:v>
                </c:pt>
                <c:pt idx="151">
                  <c:v>1.2006365657399078E-3</c:v>
                </c:pt>
                <c:pt idx="152">
                  <c:v>1.1525456148341821E-3</c:v>
                </c:pt>
                <c:pt idx="153">
                  <c:v>1.1057252048855004E-3</c:v>
                </c:pt>
                <c:pt idx="154">
                  <c:v>1.0601721051516336E-3</c:v>
                </c:pt>
                <c:pt idx="155">
                  <c:v>1.0158818063902453E-3</c:v>
                </c:pt>
                <c:pt idx="156">
                  <c:v>9.7284853457153667E-4</c:v>
                </c:pt>
                <c:pt idx="157">
                  <c:v>9.3106526838925984E-4</c:v>
                </c:pt>
                <c:pt idx="158">
                  <c:v>8.9052376048161849E-4</c:v>
                </c:pt>
                <c:pt idx="159">
                  <c:v>8.5121456225520668E-4</c:v>
                </c:pt>
                <c:pt idx="160">
                  <c:v>8.1312705218750505E-4</c:v>
                </c:pt>
                <c:pt idx="161">
                  <c:v>7.762494674667023E-4</c:v>
                </c:pt>
                <c:pt idx="162">
                  <c:v>7.4056893881185859E-4</c:v>
                </c:pt>
                <c:pt idx="163">
                  <c:v>7.060715283017376E-4</c:v>
                </c:pt>
                <c:pt idx="164">
                  <c:v>6.7274227002715823E-4</c:v>
                </c:pt>
                <c:pt idx="165">
                  <c:v>6.4056521336948284E-4</c:v>
                </c:pt>
                <c:pt idx="166">
                  <c:v>6.095234686969834E-4</c:v>
                </c:pt>
                <c:pt idx="167">
                  <c:v>5.7959925526135045E-4</c:v>
                </c:pt>
                <c:pt idx="168">
                  <c:v>5.507739510685585E-4</c:v>
                </c:pt>
                <c:pt idx="169">
                  <c:v>5.230281444917811E-4</c:v>
                </c:pt>
                <c:pt idx="170">
                  <c:v>4.9634168738898468E-4</c:v>
                </c:pt>
                <c:pt idx="171">
                  <c:v>4.7069374948434102E-4</c:v>
                </c:pt>
                <c:pt idx="172">
                  <c:v>4.4606287377057055E-4</c:v>
                </c:pt>
                <c:pt idx="173">
                  <c:v>4.2242703268886763E-4</c:v>
                </c:pt>
                <c:pt idx="174">
                  <c:v>3.9976368484402516E-4</c:v>
                </c:pt>
                <c:pt idx="175">
                  <c:v>3.7804983201481684E-4</c:v>
                </c:pt>
                <c:pt idx="176">
                  <c:v>3.572620762235301E-4</c:v>
                </c:pt>
                <c:pt idx="177">
                  <c:v>3.3737667663369354E-4</c:v>
                </c:pt>
                <c:pt idx="178">
                  <c:v>3.1836960605149977E-4</c:v>
                </c:pt>
                <c:pt idx="179">
                  <c:v>3.0021660681403724E-4</c:v>
                </c:pt>
                <c:pt idx="180">
                  <c:v>2.8289324585620756E-4</c:v>
                </c:pt>
                <c:pt idx="181">
                  <c:v>2.663749687579481E-4</c:v>
                </c:pt>
                <c:pt idx="182">
                  <c:v>2.5063715258409115E-4</c:v>
                </c:pt>
                <c:pt idx="183">
                  <c:v>2.3565515734067985E-4</c:v>
                </c:pt>
                <c:pt idx="184">
                  <c:v>2.2140437588381498E-4</c:v>
                </c:pt>
                <c:pt idx="185">
                  <c:v>2.0786028212992677E-4</c:v>
                </c:pt>
                <c:pt idx="186">
                  <c:v>1.9499847742972969E-4</c:v>
                </c:pt>
                <c:pt idx="187">
                  <c:v>1.8279473498184124E-4</c:v>
                </c:pt>
                <c:pt idx="188">
                  <c:v>1.7122504217607904E-4</c:v>
                </c:pt>
                <c:pt idx="189">
                  <c:v>1.6026564077063397E-4</c:v>
                </c:pt>
                <c:pt idx="190">
                  <c:v>1.4989306482159987E-4</c:v>
                </c:pt>
                <c:pt idx="191">
                  <c:v>1.400841762975626E-4</c:v>
                </c:pt>
                <c:pt idx="192">
                  <c:v>1.3081619832606257E-4</c:v>
                </c:pt>
                <c:pt idx="193">
                  <c:v>1.2206674603262911E-4</c:v>
                </c:pt>
                <c:pt idx="194">
                  <c:v>1.1381385494664835E-4</c:v>
                </c:pt>
                <c:pt idx="195">
                  <c:v>1.0603600696150575E-4</c:v>
                </c:pt>
                <c:pt idx="196">
                  <c:v>9.8712153849151937E-5</c:v>
                </c:pt>
                <c:pt idx="197">
                  <c:v>9.1821738341401813E-5</c:v>
                </c:pt>
                <c:pt idx="198">
                  <c:v>8.5344712801847279E-5</c:v>
                </c:pt>
                <c:pt idx="199">
                  <c:v>7.9261555523176355E-5</c:v>
                </c:pt>
                <c:pt idx="200">
                  <c:v>7.3553284694898968E-5</c:v>
                </c:pt>
                <c:pt idx="201">
                  <c:v>6.8201470095947676E-5</c:v>
                </c:pt>
                <c:pt idx="202">
                  <c:v>6.3188242575330528E-5</c:v>
                </c:pt>
                <c:pt idx="203">
                  <c:v>5.8496301391900888E-5</c:v>
                </c:pt>
                <c:pt idx="204">
                  <c:v>5.4108919491414518E-5</c:v>
                </c:pt>
                <c:pt idx="205">
                  <c:v>5.000994680530663E-5</c:v>
                </c:pt>
                <c:pt idx="206">
                  <c:v>4.6183811661078939E-5</c:v>
                </c:pt>
                <c:pt idx="207">
                  <c:v>4.2615520398806483E-5</c:v>
                </c:pt>
                <c:pt idx="208">
                  <c:v>3.9290655292110191E-5</c:v>
                </c:pt>
                <c:pt idx="209">
                  <c:v>3.6195370874970154E-5</c:v>
                </c:pt>
                <c:pt idx="210">
                  <c:v>3.3316388778015753E-5</c:v>
                </c:pt>
                <c:pt idx="211">
                  <c:v>3.0640991179459924E-5</c:v>
                </c:pt>
                <c:pt idx="212">
                  <c:v>2.815701297666096E-5</c:v>
                </c:pt>
                <c:pt idx="213">
                  <c:v>2.5852832784422134E-5</c:v>
                </c:pt>
                <c:pt idx="214">
                  <c:v>2.3717362865656444E-5</c:v>
                </c:pt>
                <c:pt idx="215">
                  <c:v>2.1740038098940498E-5</c:v>
                </c:pt>
                <c:pt idx="216">
                  <c:v>1.9910804085841941E-5</c:v>
                </c:pt>
                <c:pt idx="217">
                  <c:v>1.8220104498752301E-5</c:v>
                </c:pt>
                <c:pt idx="218">
                  <c:v>1.6658867767338443E-5</c:v>
                </c:pt>
                <c:pt idx="219">
                  <c:v>1.5218493198706636E-5</c:v>
                </c:pt>
                <c:pt idx="220">
                  <c:v>1.3890836622980587E-5</c:v>
                </c:pt>
                <c:pt idx="221">
                  <c:v>1.2668195652273159E-5</c:v>
                </c:pt>
                <c:pt idx="222">
                  <c:v>1.154329463705974E-5</c:v>
                </c:pt>
                <c:pt idx="223">
                  <c:v>1.0509269399738876E-5</c:v>
                </c:pt>
                <c:pt idx="224">
                  <c:v>9.5596518207859257E-6</c:v>
                </c:pt>
                <c:pt idx="225">
                  <c:v>8.6883543483492424E-6</c:v>
                </c:pt>
                <c:pt idx="226">
                  <c:v>7.8896544975338049E-6</c:v>
                </c:pt>
                <c:pt idx="227">
                  <c:v>7.1581794008995602E-6</c:v>
                </c:pt>
                <c:pt idx="228">
                  <c:v>6.4888904670008251E-6</c:v>
                </c:pt>
                <c:pt idx="229">
                  <c:v>5.8770681990804617E-6</c:v>
                </c:pt>
                <c:pt idx="230">
                  <c:v>5.3182972213734885E-6</c:v>
                </c:pt>
                <c:pt idx="231">
                  <c:v>4.8084515558707985E-6</c:v>
                </c:pt>
                <c:pt idx="232">
                  <c:v>4.3436801879124322E-6</c:v>
                </c:pt>
                <c:pt idx="233">
                  <c:v>3.9203929545944175E-6</c:v>
                </c:pt>
                <c:pt idx="234">
                  <c:v>3.5352467857349064E-6</c:v>
                </c:pt>
                <c:pt idx="235">
                  <c:v>3.1851323230772094E-6</c:v>
                </c:pt>
                <c:pt idx="236">
                  <c:v>2.8671609395059253E-6</c:v>
                </c:pt>
                <c:pt idx="237">
                  <c:v>2.5786521763199486E-6</c:v>
                </c:pt>
                <c:pt idx="238">
                  <c:v>2.3171216131165278E-6</c:v>
                </c:pt>
                <c:pt idx="239">
                  <c:v>2.080269181497615E-6</c:v>
                </c:pt>
                <c:pt idx="240">
                  <c:v>1.8659679307282916E-6</c:v>
                </c:pt>
                <c:pt idx="241">
                  <c:v>1.6722532505778947E-6</c:v>
                </c:pt>
                <c:pt idx="242">
                  <c:v>1.4973125539038157E-6</c:v>
                </c:pt>
                <c:pt idx="243">
                  <c:v>1.3394754190818847E-6</c:v>
                </c:pt>
                <c:pt idx="244">
                  <c:v>1.1972041901381717E-6</c:v>
                </c:pt>
                <c:pt idx="245">
                  <c:v>1.0690850304113207E-6</c:v>
                </c:pt>
                <c:pt idx="246">
                  <c:v>9.538194237307471E-7</c:v>
                </c:pt>
                <c:pt idx="247">
                  <c:v>8.5021611548715325E-7</c:v>
                </c:pt>
                <c:pt idx="248">
                  <c:v>7.5718348451176369E-7</c:v>
                </c:pt>
                <c:pt idx="249">
                  <c:v>6.7372233544663817E-7</c:v>
                </c:pt>
                <c:pt idx="250">
                  <c:v>5.9891910019801569E-7</c:v>
                </c:pt>
                <c:pt idx="251">
                  <c:v>5.3193943616642615E-7</c:v>
                </c:pt>
                <c:pt idx="252">
                  <c:v>4.7202220818659456E-7</c:v>
                </c:pt>
                <c:pt idx="253">
                  <c:v>4.1847384050906624E-7</c:v>
                </c:pt>
                <c:pt idx="254">
                  <c:v>3.7066302468831954E-7</c:v>
                </c:pt>
                <c:pt idx="255">
                  <c:v>3.2801576890425478E-7</c:v>
                </c:pt>
                <c:pt idx="256">
                  <c:v>2.9001077401805799E-7</c:v>
                </c:pt>
                <c:pt idx="257">
                  <c:v>2.5617512154998362E-7</c:v>
                </c:pt>
                <c:pt idx="258">
                  <c:v>2.2608025875276793E-7</c:v>
                </c:pt>
                <c:pt idx="259">
                  <c:v>1.9933826601591071E-7</c:v>
                </c:pt>
                <c:pt idx="260">
                  <c:v>1.7559839199140955E-7</c:v>
                </c:pt>
                <c:pt idx="261">
                  <c:v>1.5454384204811906E-7</c:v>
                </c:pt>
                <c:pt idx="262">
                  <c:v>1.3588880593763941E-7</c:v>
                </c:pt>
                <c:pt idx="263">
                  <c:v>1.1937571088463131E-7</c:v>
                </c:pt>
                <c:pt idx="264">
                  <c:v>1.0477268669459143E-7</c:v>
                </c:pt>
                <c:pt idx="265">
                  <c:v>9.1871229879189123E-8</c:v>
                </c:pt>
                <c:pt idx="266">
                  <c:v>8.0484054249893439E-8</c:v>
                </c:pt>
                <c:pt idx="267">
                  <c:v>7.0443115890742188E-8</c:v>
                </c:pt>
                <c:pt idx="268">
                  <c:v>6.1597800910403541E-8</c:v>
                </c:pt>
                <c:pt idx="269">
                  <c:v>5.3813264884322049E-8</c:v>
                </c:pt>
                <c:pt idx="270">
                  <c:v>4.6968913377587307E-8</c:v>
                </c:pt>
                <c:pt idx="271">
                  <c:v>4.0957013493618967E-8</c:v>
                </c:pt>
                <c:pt idx="272">
                  <c:v>3.5681426865521027E-8</c:v>
                </c:pt>
                <c:pt idx="273">
                  <c:v>3.1056455039637879E-8</c:v>
                </c:pt>
                <c:pt idx="274">
                  <c:v>2.7005788702158545E-8</c:v>
                </c:pt>
                <c:pt idx="275">
                  <c:v>2.3461552686745665E-8</c:v>
                </c:pt>
                <c:pt idx="276">
                  <c:v>2.0363439183688716E-8</c:v>
                </c:pt>
                <c:pt idx="277">
                  <c:v>1.7657922056307514E-8</c:v>
                </c:pt>
                <c:pt idx="278">
                  <c:v>1.5297545599854095E-8</c:v>
                </c:pt>
                <c:pt idx="279">
                  <c:v>1.3240281538374027E-8</c:v>
                </c:pt>
                <c:pt idx="280">
                  <c:v>1.1448948474520571E-8</c:v>
                </c:pt>
                <c:pt idx="281">
                  <c:v>9.8906883927178516E-9</c:v>
                </c:pt>
                <c:pt idx="282">
                  <c:v>8.5364952306646608E-9</c:v>
                </c:pt>
                <c:pt idx="283">
                  <c:v>7.3607908794913968E-9</c:v>
                </c:pt>
                <c:pt idx="284">
                  <c:v>6.3410443221358061E-9</c:v>
                </c:pt>
                <c:pt idx="285">
                  <c:v>5.4574299704362525E-9</c:v>
                </c:pt>
                <c:pt idx="286">
                  <c:v>4.6925215404922238E-9</c:v>
                </c:pt>
                <c:pt idx="287">
                  <c:v>4.0310181236186789E-9</c:v>
                </c:pt>
                <c:pt idx="288">
                  <c:v>3.4594993716274751E-9</c:v>
                </c:pt>
                <c:pt idx="289">
                  <c:v>2.9662069814040382E-9</c:v>
                </c:pt>
                <c:pt idx="290">
                  <c:v>2.5408498850069142E-9</c:v>
                </c:pt>
                <c:pt idx="291">
                  <c:v>2.1744308012270018E-9</c:v>
                </c:pt>
                <c:pt idx="292">
                  <c:v>1.8590919933153151E-9</c:v>
                </c:pt>
                <c:pt idx="293">
                  <c:v>1.5879782709022796E-9</c:v>
                </c:pt>
                <c:pt idx="294">
                  <c:v>1.3551154633240789E-9</c:v>
                </c:pt>
                <c:pt idx="295">
                  <c:v>1.1553027499391451E-9</c:v>
                </c:pt>
                <c:pt idx="296">
                  <c:v>9.840173741949027E-10</c:v>
                </c:pt>
                <c:pt idx="297">
                  <c:v>8.3733043641764448E-10</c:v>
                </c:pt>
                <c:pt idx="298">
                  <c:v>7.1183255024213107E-10</c:v>
                </c:pt>
                <c:pt idx="299">
                  <c:v>6.0456829560030324E-10</c:v>
                </c:pt>
                <c:pt idx="300">
                  <c:v>5.1297850135309621E-10</c:v>
                </c:pt>
                <c:pt idx="301">
                  <c:v>4.3484947024437968E-10</c:v>
                </c:pt>
                <c:pt idx="302">
                  <c:v>3.6826837719055904E-10</c:v>
                </c:pt>
                <c:pt idx="303">
                  <c:v>3.1158413490516352E-10</c:v>
                </c:pt>
                <c:pt idx="304">
                  <c:v>2.6337308745767073E-10</c:v>
                </c:pt>
                <c:pt idx="305">
                  <c:v>2.2240898820008571E-10</c:v>
                </c:pt>
                <c:pt idx="306">
                  <c:v>1.8763674282203082E-10</c:v>
                </c:pt>
                <c:pt idx="307">
                  <c:v>1.5814948710121701E-10</c:v>
                </c:pt>
                <c:pt idx="308">
                  <c:v>1.3316858376779626E-10</c:v>
                </c:pt>
                <c:pt idx="309">
                  <c:v>1.1202620038184488E-10</c:v>
                </c:pt>
                <c:pt idx="310">
                  <c:v>9.4150149973718587E-11</c:v>
                </c:pt>
                <c:pt idx="311">
                  <c:v>7.9050706919881847E-11</c:v>
                </c:pt>
                <c:pt idx="312">
                  <c:v>6.6309168695227817E-11</c:v>
                </c:pt>
                <c:pt idx="313">
                  <c:v>5.5567934007892652E-11</c:v>
                </c:pt>
                <c:pt idx="314">
                  <c:v>4.6521908674528671E-11</c:v>
                </c:pt>
                <c:pt idx="315">
                  <c:v>3.891106892184083E-11</c:v>
                </c:pt>
                <c:pt idx="316">
                  <c:v>3.2514039868358269E-11</c:v>
                </c:pt>
                <c:pt idx="317">
                  <c:v>2.7142547605655259E-11</c:v>
                </c:pt>
                <c:pt idx="318">
                  <c:v>2.2636639251769187E-11</c:v>
                </c:pt>
                <c:pt idx="319">
                  <c:v>1.8860567214016644E-11</c:v>
                </c:pt>
                <c:pt idx="320">
                  <c:v>1.569924534834644E-11</c:v>
                </c:pt>
                <c:pt idx="321">
                  <c:v>1.3055209413462531E-11</c:v>
                </c:pt>
                <c:pt idx="322">
                  <c:v>1.0846001404923242E-11</c:v>
                </c:pt>
                <c:pt idx="323">
                  <c:v>9.0019396390388307E-12</c:v>
                </c:pt>
                <c:pt idx="324">
                  <c:v>7.4641936981636268E-12</c:v>
                </c:pt>
                <c:pt idx="325">
                  <c:v>6.1831509989562674E-12</c:v>
                </c:pt>
                <c:pt idx="326">
                  <c:v>5.1169941046276077E-12</c:v>
                </c:pt>
                <c:pt idx="327">
                  <c:v>4.2305995617031322E-12</c:v>
                </c:pt>
                <c:pt idx="328">
                  <c:v>3.4943662304202125E-12</c:v>
                </c:pt>
                <c:pt idx="329">
                  <c:v>2.8834619819002307E-12</c:v>
                </c:pt>
                <c:pt idx="330">
                  <c:v>2.3770528543381284E-12</c:v>
                </c:pt>
                <c:pt idx="331">
                  <c:v>1.9576849022557508E-12</c:v>
                </c:pt>
                <c:pt idx="332">
                  <c:v>1.6107401437022707E-12</c:v>
                </c:pt>
                <c:pt idx="333">
                  <c:v>1.3239961825329713E-12</c:v>
                </c:pt>
                <c:pt idx="334">
                  <c:v>1.0872423600392769E-12</c:v>
                </c:pt>
                <c:pt idx="335">
                  <c:v>8.9195757956439512E-13</c:v>
                </c:pt>
                <c:pt idx="336">
                  <c:v>7.3103818754914358E-13</c:v>
                </c:pt>
                <c:pt idx="337">
                  <c:v>5.9856839320224652E-13</c:v>
                </c:pt>
                <c:pt idx="338">
                  <c:v>4.896267952158143E-13</c:v>
                </c:pt>
                <c:pt idx="339">
                  <c:v>4.0012352017177517E-13</c:v>
                </c:pt>
                <c:pt idx="340">
                  <c:v>3.2666328311120143E-13</c:v>
                </c:pt>
                <c:pt idx="341">
                  <c:v>2.6643034991145159E-13</c:v>
                </c:pt>
                <c:pt idx="342">
                  <c:v>2.1709214914837259E-13</c:v>
                </c:pt>
                <c:pt idx="343">
                  <c:v>1.7671823943978687E-13</c:v>
                </c:pt>
                <c:pt idx="344">
                  <c:v>1.4371275240176412E-13</c:v>
                </c:pt>
                <c:pt idx="345">
                  <c:v>1.1675775878373673E-13</c:v>
                </c:pt>
                <c:pt idx="346">
                  <c:v>9.4765999069772113E-14</c:v>
                </c:pt>
                <c:pt idx="347">
                  <c:v>7.684144736216256E-14</c:v>
                </c:pt>
                <c:pt idx="348">
                  <c:v>6.2246447019163819E-14</c:v>
                </c:pt>
                <c:pt idx="349">
                  <c:v>5.0374353317918376E-14</c:v>
                </c:pt>
                <c:pt idx="350">
                  <c:v>4.0726785597196747E-14</c:v>
                </c:pt>
                <c:pt idx="351">
                  <c:v>3.2894732792401016E-14</c:v>
                </c:pt>
                <c:pt idx="352">
                  <c:v>2.6542879326110629E-14</c:v>
                </c:pt>
                <c:pt idx="353">
                  <c:v>2.1396610927250314E-14</c:v>
                </c:pt>
                <c:pt idx="354">
                  <c:v>1.7231262111229595E-14</c:v>
                </c:pt>
                <c:pt idx="355">
                  <c:v>1.3863222268634519E-14</c:v>
                </c:pt>
                <c:pt idx="356">
                  <c:v>1.1142589741494337E-14</c:v>
                </c:pt>
                <c:pt idx="357">
                  <c:v>8.947110705458143E-15</c:v>
                </c:pt>
                <c:pt idx="358">
                  <c:v>7.1771836497279642E-15</c:v>
                </c:pt>
                <c:pt idx="359">
                  <c:v>5.7517466416346983E-15</c:v>
                </c:pt>
                <c:pt idx="360">
                  <c:v>4.6048950952146874E-15</c:v>
                </c:pt>
                <c:pt idx="361">
                  <c:v>3.6831033407683659E-15</c:v>
                </c:pt>
                <c:pt idx="362">
                  <c:v>2.9429447382398001E-15</c:v>
                </c:pt>
                <c:pt idx="363">
                  <c:v>2.3492228532724193E-15</c:v>
                </c:pt>
                <c:pt idx="364">
                  <c:v>1.8734413631387021E-15</c:v>
                </c:pt>
                <c:pt idx="365">
                  <c:v>1.4925525885380811E-15</c:v>
                </c:pt>
                <c:pt idx="366">
                  <c:v>1.1879350664561846E-15</c:v>
                </c:pt>
                <c:pt idx="367">
                  <c:v>9.4455915271320964E-16</c:v>
                </c:pt>
                <c:pt idx="368">
                  <c:v>7.5030681822594169E-16</c:v>
                </c:pt>
                <c:pt idx="369">
                  <c:v>5.9541774967044402E-16</c:v>
                </c:pt>
                <c:pt idx="370">
                  <c:v>4.7203879336905522E-16</c:v>
                </c:pt>
                <c:pt idx="371">
                  <c:v>3.7385786117667648E-16</c:v>
                </c:pt>
                <c:pt idx="372">
                  <c:v>2.9580678757659579E-16</c:v>
                </c:pt>
                <c:pt idx="373">
                  <c:v>2.3382041582693631E-16</c:v>
                </c:pt>
                <c:pt idx="374">
                  <c:v>1.8464148382839986E-16</c:v>
                </c:pt>
                <c:pt idx="375">
                  <c:v>1.4566277513296761E-16</c:v>
                </c:pt>
                <c:pt idx="376">
                  <c:v>1.1479955637222304E-16</c:v>
                </c:pt>
                <c:pt idx="377">
                  <c:v>9.0386601961266078E-17</c:v>
                </c:pt>
                <c:pt idx="378">
                  <c:v>7.1095157135780155E-17</c:v>
                </c:pt>
                <c:pt idx="379">
                  <c:v>5.5866051403408577E-17</c:v>
                </c:pt>
                <c:pt idx="380">
                  <c:v>4.385587958949477E-17</c:v>
                </c:pt>
                <c:pt idx="381">
                  <c:v>3.4393744338353831E-17</c:v>
                </c:pt>
                <c:pt idx="382">
                  <c:v>2.6946525137956201E-17</c:v>
                </c:pt>
                <c:pt idx="383">
                  <c:v>2.109102333627236E-17</c:v>
                </c:pt>
                <c:pt idx="384">
                  <c:v>1.6491646006514036E-17</c:v>
                </c:pt>
                <c:pt idx="385">
                  <c:v>1.288254659717439E-17</c:v>
                </c:pt>
                <c:pt idx="386">
                  <c:v>1.0053347728549594E-17</c:v>
                </c:pt>
                <c:pt idx="387">
                  <c:v>7.8377399618912714E-18</c:v>
                </c:pt>
                <c:pt idx="388">
                  <c:v>6.1043870306240532E-18</c:v>
                </c:pt>
                <c:pt idx="389">
                  <c:v>4.7496787578965341E-18</c:v>
                </c:pt>
                <c:pt idx="390">
                  <c:v>3.6919625082519372E-18</c:v>
                </c:pt>
                <c:pt idx="391">
                  <c:v>2.8669564701352259E-18</c:v>
                </c:pt>
                <c:pt idx="392">
                  <c:v>2.2241065671987413E-18</c:v>
                </c:pt>
                <c:pt idx="393">
                  <c:v>1.723695977703378E-18</c:v>
                </c:pt>
                <c:pt idx="394">
                  <c:v>1.3345542501983417E-18</c:v>
                </c:pt>
                <c:pt idx="395">
                  <c:v>1.0322435875442944E-18</c:v>
                </c:pt>
                <c:pt idx="396">
                  <c:v>7.976244523212044E-19</c:v>
                </c:pt>
                <c:pt idx="397">
                  <c:v>6.1572238012691351E-19</c:v>
                </c:pt>
                <c:pt idx="398">
                  <c:v>4.7483371098275171E-19</c:v>
                </c:pt>
                <c:pt idx="399">
                  <c:v>3.6582062296787982E-19</c:v>
                </c:pt>
                <c:pt idx="400">
                  <c:v>2.8155599170010785E-19</c:v>
                </c:pt>
                <c:pt idx="401">
                  <c:v>2.1648670180450475E-19</c:v>
                </c:pt>
                <c:pt idx="402">
                  <c:v>1.6629050388568967E-19</c:v>
                </c:pt>
                <c:pt idx="403">
                  <c:v>1.2760666680308062E-19</c:v>
                </c:pt>
                <c:pt idx="404">
                  <c:v>9.7824781331718804E-20</c:v>
                </c:pt>
                <c:pt idx="405">
                  <c:v>7.4919337653694505E-20</c:v>
                </c:pt>
                <c:pt idx="406">
                  <c:v>5.7320294402962182E-20</c:v>
                </c:pt>
                <c:pt idx="407">
                  <c:v>4.3811916703251826E-20</c:v>
                </c:pt>
                <c:pt idx="408">
                  <c:v>3.3453793453629994E-20</c:v>
                </c:pt>
                <c:pt idx="409">
                  <c:v>2.5519237035136331E-20</c:v>
                </c:pt>
                <c:pt idx="410">
                  <c:v>1.9447291227163124E-20</c:v>
                </c:pt>
                <c:pt idx="411">
                  <c:v>1.4805381026058559E-20</c:v>
                </c:pt>
                <c:pt idx="412">
                  <c:v>1.1260275608578791E-20</c:v>
                </c:pt>
                <c:pt idx="413">
                  <c:v>8.5555382297692506E-21</c:v>
                </c:pt>
                <c:pt idx="414">
                  <c:v>6.4940325276819548E-21</c:v>
                </c:pt>
                <c:pt idx="415">
                  <c:v>4.9243658978449751E-21</c:v>
                </c:pt>
                <c:pt idx="416">
                  <c:v>3.7303950642886435E-21</c:v>
                </c:pt>
                <c:pt idx="417">
                  <c:v>2.8231108022061057E-21</c:v>
                </c:pt>
                <c:pt idx="418">
                  <c:v>2.1343691233011413E-21</c:v>
                </c:pt>
                <c:pt idx="419">
                  <c:v>1.6120539518911602E-21</c:v>
                </c:pt>
                <c:pt idx="420">
                  <c:v>1.2163483793760369E-21</c:v>
                </c:pt>
                <c:pt idx="421">
                  <c:v>9.1686349808646882E-22</c:v>
                </c:pt>
                <c:pt idx="422">
                  <c:v>6.9042992842325036E-22</c:v>
                </c:pt>
                <c:pt idx="423">
                  <c:v>5.1940088807515222E-22</c:v>
                </c:pt>
                <c:pt idx="424">
                  <c:v>3.9034970121835895E-22</c:v>
                </c:pt>
                <c:pt idx="425">
                  <c:v>2.9307112431356806E-22</c:v>
                </c:pt>
                <c:pt idx="426">
                  <c:v>2.198164335657124E-22</c:v>
                </c:pt>
                <c:pt idx="427">
                  <c:v>1.647081786422471E-22</c:v>
                </c:pt>
                <c:pt idx="428">
                  <c:v>1.232928767726258E-22</c:v>
                </c:pt>
                <c:pt idx="429">
                  <c:v>9.2199497720226056E-23</c:v>
                </c:pt>
                <c:pt idx="430">
                  <c:v>6.8878995776523487E-23</c:v>
                </c:pt>
                <c:pt idx="431">
                  <c:v>5.140586553480821E-23</c:v>
                </c:pt>
                <c:pt idx="432">
                  <c:v>3.8327112242624668E-23</c:v>
                </c:pt>
                <c:pt idx="433">
                  <c:v>2.8547429632157777E-23</c:v>
                </c:pt>
                <c:pt idx="434">
                  <c:v>2.1241997362071297E-23</c:v>
                </c:pt>
                <c:pt idx="435">
                  <c:v>1.579032447864892E-23</c:v>
                </c:pt>
                <c:pt idx="436">
                  <c:v>1.172611262460827E-23</c:v>
                </c:pt>
                <c:pt idx="437">
                  <c:v>8.6993000217323751E-24</c:v>
                </c:pt>
                <c:pt idx="438">
                  <c:v>6.4473572863937965E-24</c:v>
                </c:pt>
                <c:pt idx="439">
                  <c:v>4.7736028805904726E-24</c:v>
                </c:pt>
                <c:pt idx="440">
                  <c:v>3.5308388543350692E-24</c:v>
                </c:pt>
                <c:pt idx="441">
                  <c:v>2.6090145978821192E-24</c:v>
                </c:pt>
                <c:pt idx="442">
                  <c:v>1.9259369458447065E-24</c:v>
                </c:pt>
                <c:pt idx="443">
                  <c:v>1.4202817455446513E-24</c:v>
                </c:pt>
                <c:pt idx="444">
                  <c:v>1.0463422788684241E-24</c:v>
                </c:pt>
                <c:pt idx="445">
                  <c:v>7.7008703824849163E-25</c:v>
                </c:pt>
                <c:pt idx="446">
                  <c:v>5.6620352372365777E-25</c:v>
                </c:pt>
                <c:pt idx="447">
                  <c:v>4.1588377811518635E-25</c:v>
                </c:pt>
                <c:pt idx="448">
                  <c:v>3.0516730105063303E-25</c:v>
                </c:pt>
                <c:pt idx="449">
                  <c:v>2.2370235754582973E-25</c:v>
                </c:pt>
                <c:pt idx="450">
                  <c:v>1.6382101755863518E-25</c:v>
                </c:pt>
                <c:pt idx="451">
                  <c:v>1.1984919385859027E-25</c:v>
                </c:pt>
                <c:pt idx="452">
                  <c:v>8.7592516082791028E-26</c:v>
                </c:pt>
                <c:pt idx="453">
                  <c:v>6.3953632844141091E-26</c:v>
                </c:pt>
                <c:pt idx="454">
                  <c:v>4.6647644417808709E-26</c:v>
                </c:pt>
                <c:pt idx="455">
                  <c:v>3.3990726358521492E-26</c:v>
                </c:pt>
                <c:pt idx="456">
                  <c:v>2.4743284557645745E-26</c:v>
                </c:pt>
                <c:pt idx="457">
                  <c:v>1.7993696051958106E-26</c:v>
                </c:pt>
                <c:pt idx="458">
                  <c:v>1.3072224139730616E-26</c:v>
                </c:pt>
                <c:pt idx="459">
                  <c:v>9.4873433113624176E-27</c:v>
                </c:pt>
                <c:pt idx="460">
                  <c:v>6.8786897521430225E-27</c:v>
                </c:pt>
                <c:pt idx="461">
                  <c:v>4.9823330297619004E-27</c:v>
                </c:pt>
                <c:pt idx="462">
                  <c:v>3.6051692766198314E-27</c:v>
                </c:pt>
                <c:pt idx="463">
                  <c:v>2.6060599223934599E-27</c:v>
                </c:pt>
                <c:pt idx="464">
                  <c:v>1.8819536081548824E-27</c:v>
                </c:pt>
                <c:pt idx="465">
                  <c:v>1.3576854435033437E-27</c:v>
                </c:pt>
                <c:pt idx="466">
                  <c:v>9.7848707828556717E-28</c:v>
                </c:pt>
                <c:pt idx="467">
                  <c:v>7.0449297346142916E-28</c:v>
                </c:pt>
                <c:pt idx="468">
                  <c:v>5.0671507891827235E-28</c:v>
                </c:pt>
                <c:pt idx="469">
                  <c:v>3.6409652669255353E-28</c:v>
                </c:pt>
                <c:pt idx="470">
                  <c:v>2.6135736515313078E-28</c:v>
                </c:pt>
                <c:pt idx="471">
                  <c:v>1.8742106636468095E-28</c:v>
                </c:pt>
                <c:pt idx="472">
                  <c:v>1.3426644032832302E-28</c:v>
                </c:pt>
                <c:pt idx="473">
                  <c:v>9.6090822352117347E-29</c:v>
                </c:pt>
                <c:pt idx="474">
                  <c:v>6.8700779624929993E-29</c:v>
                </c:pt>
                <c:pt idx="475">
                  <c:v>4.9068942375966377E-29</c:v>
                </c:pt>
                <c:pt idx="476">
                  <c:v>3.5012003417494669E-29</c:v>
                </c:pt>
                <c:pt idx="477">
                  <c:v>2.4957002173017216E-29</c:v>
                </c:pt>
                <c:pt idx="478">
                  <c:v>1.7771865530482164E-29</c:v>
                </c:pt>
                <c:pt idx="479">
                  <c:v>1.2642667750957167E-29</c:v>
                </c:pt>
                <c:pt idx="480">
                  <c:v>8.984822332206822E-30</c:v>
                </c:pt>
                <c:pt idx="481">
                  <c:v>6.3788925013168168E-30</c:v>
                </c:pt>
                <c:pt idx="482">
                  <c:v>4.5242443476067257E-30</c:v>
                </c:pt>
                <c:pt idx="483">
                  <c:v>3.2056179402126554E-30</c:v>
                </c:pt>
                <c:pt idx="484">
                  <c:v>2.2690411136068259E-30</c:v>
                </c:pt>
                <c:pt idx="485">
                  <c:v>1.6044930029837122E-30</c:v>
                </c:pt>
                <c:pt idx="486">
                  <c:v>1.1334388829930871E-30</c:v>
                </c:pt>
                <c:pt idx="487">
                  <c:v>7.9987691756103606E-31</c:v>
                </c:pt>
                <c:pt idx="488">
                  <c:v>5.6391410754722682E-31</c:v>
                </c:pt>
                <c:pt idx="489">
                  <c:v>3.9716178487279117E-31</c:v>
                </c:pt>
                <c:pt idx="490">
                  <c:v>2.7943873603400822E-31</c:v>
                </c:pt>
                <c:pt idx="491">
                  <c:v>1.9641307025047777E-31</c:v>
                </c:pt>
                <c:pt idx="492">
                  <c:v>1.379172992994687E-31</c:v>
                </c:pt>
                <c:pt idx="493">
                  <c:v>9.67456951960511E-32</c:v>
                </c:pt>
                <c:pt idx="494">
                  <c:v>6.7796779350150943E-32</c:v>
                </c:pt>
                <c:pt idx="495">
                  <c:v>4.7462536930437967E-32</c:v>
                </c:pt>
                <c:pt idx="496">
                  <c:v>3.3193822451222778E-32</c:v>
                </c:pt>
                <c:pt idx="497">
                  <c:v>2.3191454256573262E-32</c:v>
                </c:pt>
                <c:pt idx="498">
                  <c:v>1.618687673269274E-32</c:v>
                </c:pt>
                <c:pt idx="499">
                  <c:v>1.1286582518857474E-32</c:v>
                </c:pt>
                <c:pt idx="500">
                  <c:v>7.8618753152389623E-33</c:v>
                </c:pt>
                <c:pt idx="501">
                  <c:v>5.4708410393830265E-33</c:v>
                </c:pt>
                <c:pt idx="502">
                  <c:v>3.8031745535526228E-33</c:v>
                </c:pt>
                <c:pt idx="503">
                  <c:v>2.6412080019397314E-33</c:v>
                </c:pt>
                <c:pt idx="504">
                  <c:v>1.8324118797979571E-33</c:v>
                </c:pt>
                <c:pt idx="505">
                  <c:v>1.2700116569540958E-33</c:v>
                </c:pt>
                <c:pt idx="506">
                  <c:v>8.7933912243708018E-34</c:v>
                </c:pt>
                <c:pt idx="507">
                  <c:v>6.0823181080852003E-34</c:v>
                </c:pt>
                <c:pt idx="508">
                  <c:v>4.2028692280922422E-34</c:v>
                </c:pt>
                <c:pt idx="509">
                  <c:v>2.9012596848224021E-34</c:v>
                </c:pt>
                <c:pt idx="510">
                  <c:v>2.0007428573978863E-34</c:v>
                </c:pt>
                <c:pt idx="511">
                  <c:v>1.3783511094168002E-34</c:v>
                </c:pt>
                <c:pt idx="512">
                  <c:v>9.4862010659472073E-35</c:v>
                </c:pt>
                <c:pt idx="513">
                  <c:v>6.5221178062913194E-35</c:v>
                </c:pt>
                <c:pt idx="514">
                  <c:v>4.4796983248754683E-35</c:v>
                </c:pt>
                <c:pt idx="515">
                  <c:v>3.0737793018425319E-35</c:v>
                </c:pt>
                <c:pt idx="516">
                  <c:v>2.1069796819553575E-35</c:v>
                </c:pt>
                <c:pt idx="517">
                  <c:v>1.4428186068770836E-35</c:v>
                </c:pt>
                <c:pt idx="518">
                  <c:v>9.8702195035612988E-36</c:v>
                </c:pt>
                <c:pt idx="519">
                  <c:v>6.7453664239314763E-36</c:v>
                </c:pt>
                <c:pt idx="520">
                  <c:v>4.605193788340846E-36</c:v>
                </c:pt>
                <c:pt idx="521">
                  <c:v>3.1408982788775642E-36</c:v>
                </c:pt>
                <c:pt idx="522">
                  <c:v>2.1400474380817283E-36</c:v>
                </c:pt>
                <c:pt idx="523">
                  <c:v>1.4566542042224557E-36</c:v>
                </c:pt>
                <c:pt idx="524">
                  <c:v>9.90496717302337E-37</c:v>
                </c:pt>
                <c:pt idx="525">
                  <c:v>6.7284199909566514E-37</c:v>
                </c:pt>
                <c:pt idx="526">
                  <c:v>4.5660072121400153E-37</c:v>
                </c:pt>
                <c:pt idx="527">
                  <c:v>3.0954480041099552E-37</c:v>
                </c:pt>
                <c:pt idx="528">
                  <c:v>2.0963984221392088E-37</c:v>
                </c:pt>
                <c:pt idx="529">
                  <c:v>1.418363337473428E-37</c:v>
                </c:pt>
                <c:pt idx="530">
                  <c:v>9.586597708043517E-38</c:v>
                </c:pt>
                <c:pt idx="531">
                  <c:v>6.4729881842070471E-38</c:v>
                </c:pt>
                <c:pt idx="532">
                  <c:v>4.3662480280707067E-38</c:v>
                </c:pt>
                <c:pt idx="533">
                  <c:v>2.9422206542069821E-38</c:v>
                </c:pt>
                <c:pt idx="534">
                  <c:v>1.9806388739671052E-38</c:v>
                </c:pt>
                <c:pt idx="535">
                  <c:v>1.3319825996103886E-38</c:v>
                </c:pt>
                <c:pt idx="536">
                  <c:v>8.9485974288848874E-39</c:v>
                </c:pt>
                <c:pt idx="537">
                  <c:v>6.0058506733208247E-39</c:v>
                </c:pt>
                <c:pt idx="538">
                  <c:v>4.0267734974105606E-39</c:v>
                </c:pt>
                <c:pt idx="539">
                  <c:v>2.6971367047008955E-39</c:v>
                </c:pt>
                <c:pt idx="540">
                  <c:v>1.8047280833290112E-39</c:v>
                </c:pt>
                <c:pt idx="541">
                  <c:v>1.206378605864149E-39</c:v>
                </c:pt>
                <c:pt idx="542">
                  <c:v>8.0559819422387193E-40</c:v>
                </c:pt>
                <c:pt idx="543">
                  <c:v>5.374230909949528E-40</c:v>
                </c:pt>
                <c:pt idx="544">
                  <c:v>3.5816002868415344E-40</c:v>
                </c:pt>
                <c:pt idx="545">
                  <c:v>2.3845192872447977E-40</c:v>
                </c:pt>
                <c:pt idx="546">
                  <c:v>1.5859426090950385E-40</c:v>
                </c:pt>
                <c:pt idx="547">
                  <c:v>1.0537485116090393E-40</c:v>
                </c:pt>
                <c:pt idx="548">
                  <c:v>6.9943817970957636E-41</c:v>
                </c:pt>
                <c:pt idx="549">
                  <c:v>4.6379335847792842E-41</c:v>
                </c:pt>
                <c:pt idx="550">
                  <c:v>3.0722922113524953E-41</c:v>
                </c:pt>
                <c:pt idx="551">
                  <c:v>2.0331213196639665E-41</c:v>
                </c:pt>
                <c:pt idx="552">
                  <c:v>1.3440852795078422E-41</c:v>
                </c:pt>
                <c:pt idx="553">
                  <c:v>8.8767315548117269E-42</c:v>
                </c:pt>
                <c:pt idx="554">
                  <c:v>5.8565526984170709E-42</c:v>
                </c:pt>
                <c:pt idx="555">
                  <c:v>3.8600569150144115E-42</c:v>
                </c:pt>
                <c:pt idx="556">
                  <c:v>2.5416047931367081E-42</c:v>
                </c:pt>
                <c:pt idx="557">
                  <c:v>1.6718024981643045E-42</c:v>
                </c:pt>
                <c:pt idx="558">
                  <c:v>1.0985618975695877E-42</c:v>
                </c:pt>
                <c:pt idx="559">
                  <c:v>7.2115178664055864E-43</c:v>
                </c:pt>
                <c:pt idx="560">
                  <c:v>4.7292405260540984E-43</c:v>
                </c:pt>
                <c:pt idx="561">
                  <c:v>3.098265743079603E-43</c:v>
                </c:pt>
                <c:pt idx="562">
                  <c:v>2.0277221673843333E-43</c:v>
                </c:pt>
                <c:pt idx="563">
                  <c:v>1.3257472393147248E-43</c:v>
                </c:pt>
                <c:pt idx="564">
                  <c:v>8.6591545310820857E-44</c:v>
                </c:pt>
                <c:pt idx="565">
                  <c:v>5.6500553555108554E-44</c:v>
                </c:pt>
                <c:pt idx="566">
                  <c:v>3.6829205258474093E-44</c:v>
                </c:pt>
                <c:pt idx="567">
                  <c:v>2.3982497156446426E-44</c:v>
                </c:pt>
                <c:pt idx="568">
                  <c:v>1.5601230166946355E-44</c:v>
                </c:pt>
                <c:pt idx="569">
                  <c:v>1.0138778914380225E-44</c:v>
                </c:pt>
                <c:pt idx="570">
                  <c:v>6.5822565704291183E-45</c:v>
                </c:pt>
                <c:pt idx="571">
                  <c:v>4.2690012693465226E-45</c:v>
                </c:pt>
                <c:pt idx="572">
                  <c:v>2.7659228582717834E-45</c:v>
                </c:pt>
                <c:pt idx="573">
                  <c:v>1.7902600653499271E-45</c:v>
                </c:pt>
                <c:pt idx="574">
                  <c:v>1.1575891433895778E-45</c:v>
                </c:pt>
                <c:pt idx="575">
                  <c:v>7.4774756139321365E-46</c:v>
                </c:pt>
                <c:pt idx="576">
                  <c:v>4.8252273900833435E-46</c:v>
                </c:pt>
                <c:pt idx="577">
                  <c:v>3.1105899295048537E-46</c:v>
                </c:pt>
                <c:pt idx="578">
                  <c:v>2.0032258540972498E-46</c:v>
                </c:pt>
                <c:pt idx="579">
                  <c:v>1.288781309808543E-46</c:v>
                </c:pt>
                <c:pt idx="580">
                  <c:v>8.2830575565926228E-47</c:v>
                </c:pt>
                <c:pt idx="581">
                  <c:v>5.3181948664505196E-47</c:v>
                </c:pt>
                <c:pt idx="582">
                  <c:v>3.4111428842350235E-47</c:v>
                </c:pt>
                <c:pt idx="583">
                  <c:v>2.185735741031417E-47</c:v>
                </c:pt>
                <c:pt idx="584">
                  <c:v>1.3991280214067416E-47</c:v>
                </c:pt>
                <c:pt idx="585">
                  <c:v>8.9470382500896868E-48</c:v>
                </c:pt>
                <c:pt idx="586">
                  <c:v>5.7156174402324752E-48</c:v>
                </c:pt>
                <c:pt idx="587">
                  <c:v>3.6476151556751015E-48</c:v>
                </c:pt>
                <c:pt idx="588">
                  <c:v>2.325502716972651E-48</c:v>
                </c:pt>
                <c:pt idx="589">
                  <c:v>1.4811077450134848E-48</c:v>
                </c:pt>
                <c:pt idx="590">
                  <c:v>9.4236337257334207E-49</c:v>
                </c:pt>
                <c:pt idx="591">
                  <c:v>5.9897964893788873E-49</c:v>
                </c:pt>
                <c:pt idx="592">
                  <c:v>3.8033618144060219E-49</c:v>
                </c:pt>
                <c:pt idx="593">
                  <c:v>2.4125987809204339E-49</c:v>
                </c:pt>
                <c:pt idx="594">
                  <c:v>1.5288484421431138E-49</c:v>
                </c:pt>
                <c:pt idx="595">
                  <c:v>9.6784456735165546E-50</c:v>
                </c:pt>
                <c:pt idx="596">
                  <c:v>6.1208062254013922E-50</c:v>
                </c:pt>
                <c:pt idx="597">
                  <c:v>3.8669936515617308E-50</c:v>
                </c:pt>
                <c:pt idx="598">
                  <c:v>2.4406195400201242E-50</c:v>
                </c:pt>
                <c:pt idx="599">
                  <c:v>1.5388223575373672E-50</c:v>
                </c:pt>
                <c:pt idx="600">
                  <c:v>9.6925634359851791E-51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08-4258-8528-23FE72971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69792"/>
        <c:axId val="194371968"/>
      </c:scatterChart>
      <c:valAx>
        <c:axId val="19436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371968"/>
        <c:crosses val="autoZero"/>
        <c:crossBetween val="midCat"/>
      </c:valAx>
      <c:valAx>
        <c:axId val="194371968"/>
        <c:scaling>
          <c:orientation val="minMax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Value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369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Densities!$S$4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2.7636904687705941E-4</c:v>
                </c:pt>
                <c:pt idx="102">
                  <c:v>4.2911950048922988E-2</c:v>
                </c:pt>
                <c:pt idx="103">
                  <c:v>0.47444815609682195</c:v>
                </c:pt>
                <c:pt idx="104">
                  <c:v>2.0418928764007092</c:v>
                </c:pt>
                <c:pt idx="105">
                  <c:v>5.5047315281274765</c:v>
                </c:pt>
                <c:pt idx="106">
                  <c:v>11.301096745263587</c:v>
                </c:pt>
                <c:pt idx="107">
                  <c:v>19.476262822386889</c:v>
                </c:pt>
                <c:pt idx="108">
                  <c:v>29.766803092033602</c:v>
                </c:pt>
                <c:pt idx="109">
                  <c:v>41.725804276050546</c:v>
                </c:pt>
                <c:pt idx="110">
                  <c:v>54.832386777963599</c:v>
                </c:pt>
                <c:pt idx="111">
                  <c:v>68.568863403255335</c:v>
                </c:pt>
                <c:pt idx="112">
                  <c:v>82.467111847564325</c:v>
                </c:pt>
                <c:pt idx="113">
                  <c:v>96.131494793292006</c:v>
                </c:pt>
                <c:pt idx="114">
                  <c:v>109.24601474778017</c:v>
                </c:pt>
                <c:pt idx="115">
                  <c:v>121.57188171196994</c:v>
                </c:pt>
                <c:pt idx="116">
                  <c:v>132.93990299594657</c:v>
                </c:pt>
                <c:pt idx="117">
                  <c:v>143.24058195266335</c:v>
                </c:pt>
                <c:pt idx="118">
                  <c:v>152.41372668616492</c:v>
                </c:pt>
                <c:pt idx="119">
                  <c:v>160.43856667464703</c:v>
                </c:pt>
                <c:pt idx="120">
                  <c:v>167.32489832170691</c:v>
                </c:pt>
                <c:pt idx="121">
                  <c:v>173.10546306928063</c:v>
                </c:pt>
                <c:pt idx="122">
                  <c:v>177.82957018822736</c:v>
                </c:pt>
                <c:pt idx="123">
                  <c:v>181.55789355657828</c:v>
                </c:pt>
                <c:pt idx="124">
                  <c:v>184.35830206192662</c:v>
                </c:pt>
                <c:pt idx="125">
                  <c:v>186.30259666788456</c:v>
                </c:pt>
                <c:pt idx="126">
                  <c:v>187.46398677089647</c:v>
                </c:pt>
                <c:pt idx="127">
                  <c:v>187.91520292951725</c:v>
                </c:pt>
                <c:pt idx="128">
                  <c:v>187.72710068306469</c:v>
                </c:pt>
                <c:pt idx="129">
                  <c:v>186.96767593341656</c:v>
                </c:pt>
                <c:pt idx="130">
                  <c:v>185.70139675121166</c:v>
                </c:pt>
                <c:pt idx="131">
                  <c:v>183.988786229064</c:v>
                </c:pt>
                <c:pt idx="132">
                  <c:v>181.88619143807983</c:v>
                </c:pt>
                <c:pt idx="133">
                  <c:v>179.44570449793946</c:v>
                </c:pt>
                <c:pt idx="134">
                  <c:v>176.71518740512704</c:v>
                </c:pt>
                <c:pt idx="135">
                  <c:v>173.73837503213696</c:v>
                </c:pt>
                <c:pt idx="136">
                  <c:v>170.55503754095923</c:v>
                </c:pt>
                <c:pt idx="137">
                  <c:v>167.20117456368865</c:v>
                </c:pt>
                <c:pt idx="138">
                  <c:v>163.70923670502859</c:v>
                </c:pt>
                <c:pt idx="139">
                  <c:v>160.10835907943888</c:v>
                </c:pt>
                <c:pt idx="140">
                  <c:v>156.42459224619876</c:v>
                </c:pt>
                <c:pt idx="141">
                  <c:v>152.68114723909764</c:v>
                </c:pt>
                <c:pt idx="142">
                  <c:v>148.89862064680625</c:v>
                </c:pt>
                <c:pt idx="143">
                  <c:v>145.09520993542802</c:v>
                </c:pt>
                <c:pt idx="144">
                  <c:v>141.28693701098706</c:v>
                </c:pt>
                <c:pt idx="145">
                  <c:v>137.48783491904226</c:v>
                </c:pt>
                <c:pt idx="146">
                  <c:v>133.7101397484719</c:v>
                </c:pt>
                <c:pt idx="147">
                  <c:v>129.96446063437418</c:v>
                </c:pt>
                <c:pt idx="148">
                  <c:v>126.2599447736379</c:v>
                </c:pt>
                <c:pt idx="149">
                  <c:v>122.60441576913972</c:v>
                </c:pt>
                <c:pt idx="150">
                  <c:v>119.00451869599482</c:v>
                </c:pt>
                <c:pt idx="151">
                  <c:v>115.46584109851932</c:v>
                </c:pt>
                <c:pt idx="152">
                  <c:v>111.99302249464971</c:v>
                </c:pt>
                <c:pt idx="153">
                  <c:v>108.58985997723447</c:v>
                </c:pt>
                <c:pt idx="154">
                  <c:v>105.25940319014438</c:v>
                </c:pt>
                <c:pt idx="155">
                  <c:v>102.00403716131845</c:v>
                </c:pt>
                <c:pt idx="156">
                  <c:v>98.825561449522596</c:v>
                </c:pt>
                <c:pt idx="157">
                  <c:v>95.725257364884243</c:v>
                </c:pt>
                <c:pt idx="158">
                  <c:v>92.703948684214055</c:v>
                </c:pt>
                <c:pt idx="159">
                  <c:v>89.762063016848856</c:v>
                </c:pt>
                <c:pt idx="160">
                  <c:v>86.899673871695953</c:v>
                </c:pt>
                <c:pt idx="161">
                  <c:v>84.116558770469524</c:v>
                </c:pt>
                <c:pt idx="162">
                  <c:v>81.412228087468506</c:v>
                </c:pt>
                <c:pt idx="163">
                  <c:v>78.785968851344265</c:v>
                </c:pt>
                <c:pt idx="164">
                  <c:v>76.236868163867541</c:v>
                </c:pt>
                <c:pt idx="165">
                  <c:v>73.763852881728042</c:v>
                </c:pt>
                <c:pt idx="166">
                  <c:v>71.36571368582257</c:v>
                </c:pt>
                <c:pt idx="167">
                  <c:v>69.041118308521561</c:v>
                </c:pt>
                <c:pt idx="168">
                  <c:v>66.788642325010812</c:v>
                </c:pt>
                <c:pt idx="169">
                  <c:v>64.606782163717511</c:v>
                </c:pt>
                <c:pt idx="170">
                  <c:v>62.493977224034602</c:v>
                </c:pt>
                <c:pt idx="171">
                  <c:v>60.448610960522899</c:v>
                </c:pt>
                <c:pt idx="172">
                  <c:v>58.469037771125002</c:v>
                </c:pt>
                <c:pt idx="173">
                  <c:v>56.553588201335714</c:v>
                </c:pt>
                <c:pt idx="174">
                  <c:v>54.700574365212915</c:v>
                </c:pt>
                <c:pt idx="175">
                  <c:v>52.908302738963187</c:v>
                </c:pt>
                <c:pt idx="176">
                  <c:v>51.175080449314407</c:v>
                </c:pt>
                <c:pt idx="177">
                  <c:v>49.499223730292698</c:v>
                </c:pt>
                <c:pt idx="178">
                  <c:v>47.879062910552442</c:v>
                </c:pt>
                <c:pt idx="179">
                  <c:v>46.312937859727121</c:v>
                </c:pt>
                <c:pt idx="180">
                  <c:v>44.799218154589759</c:v>
                </c:pt>
                <c:pt idx="181">
                  <c:v>43.336291803350299</c:v>
                </c:pt>
                <c:pt idx="182">
                  <c:v>41.922578906603</c:v>
                </c:pt>
                <c:pt idx="183">
                  <c:v>40.556526453155996</c:v>
                </c:pt>
                <c:pt idx="184">
                  <c:v>39.236613307361281</c:v>
                </c:pt>
                <c:pt idx="185">
                  <c:v>37.961350642795601</c:v>
                </c:pt>
                <c:pt idx="186">
                  <c:v>36.729285411707394</c:v>
                </c:pt>
                <c:pt idx="187">
                  <c:v>35.539001212378516</c:v>
                </c:pt>
                <c:pt idx="188">
                  <c:v>34.389114385996457</c:v>
                </c:pt>
                <c:pt idx="189">
                  <c:v>33.278277919782106</c:v>
                </c:pt>
                <c:pt idx="190">
                  <c:v>32.205181121729154</c:v>
                </c:pt>
                <c:pt idx="191">
                  <c:v>31.168555692136223</c:v>
                </c:pt>
                <c:pt idx="192">
                  <c:v>30.167164231063861</c:v>
                </c:pt>
                <c:pt idx="193">
                  <c:v>29.199803599361253</c:v>
                </c:pt>
                <c:pt idx="194">
                  <c:v>28.265311315459062</c:v>
                </c:pt>
                <c:pt idx="195">
                  <c:v>27.362561110140515</c:v>
                </c:pt>
                <c:pt idx="196">
                  <c:v>26.490454361344231</c:v>
                </c:pt>
                <c:pt idx="197">
                  <c:v>25.647938417180939</c:v>
                </c:pt>
                <c:pt idx="198">
                  <c:v>24.833982851905912</c:v>
                </c:pt>
                <c:pt idx="199">
                  <c:v>24.047598005776106</c:v>
                </c:pt>
                <c:pt idx="200">
                  <c:v>23.287825010390172</c:v>
                </c:pt>
                <c:pt idx="201">
                  <c:v>22.5537353550076</c:v>
                </c:pt>
                <c:pt idx="202">
                  <c:v>21.844431537069998</c:v>
                </c:pt>
                <c:pt idx="203">
                  <c:v>21.159049881126769</c:v>
                </c:pt>
                <c:pt idx="204">
                  <c:v>20.496750781015539</c:v>
                </c:pt>
                <c:pt idx="205">
                  <c:v>19.856723578771941</c:v>
                </c:pt>
                <c:pt idx="206">
                  <c:v>19.238192744581994</c:v>
                </c:pt>
                <c:pt idx="207">
                  <c:v>18.640402806371913</c:v>
                </c:pt>
                <c:pt idx="208">
                  <c:v>18.062622903457225</c:v>
                </c:pt>
                <c:pt idx="209">
                  <c:v>17.504154484378198</c:v>
                </c:pt>
                <c:pt idx="210">
                  <c:v>16.964318296473767</c:v>
                </c:pt>
                <c:pt idx="211">
                  <c:v>16.442461324775447</c:v>
                </c:pt>
                <c:pt idx="212">
                  <c:v>15.937953539400807</c:v>
                </c:pt>
                <c:pt idx="213">
                  <c:v>15.450184317686301</c:v>
                </c:pt>
                <c:pt idx="214">
                  <c:v>14.978571876746171</c:v>
                </c:pt>
                <c:pt idx="215">
                  <c:v>14.52254690201965</c:v>
                </c:pt>
                <c:pt idx="216">
                  <c:v>14.0815623050905</c:v>
                </c:pt>
                <c:pt idx="217">
                  <c:v>13.655096367873321</c:v>
                </c:pt>
                <c:pt idx="218">
                  <c:v>13.242642117432258</c:v>
                </c:pt>
                <c:pt idx="219">
                  <c:v>12.843706567039481</c:v>
                </c:pt>
                <c:pt idx="220">
                  <c:v>12.457820582414959</c:v>
                </c:pt>
                <c:pt idx="221">
                  <c:v>12.084529449167547</c:v>
                </c:pt>
                <c:pt idx="222">
                  <c:v>11.723397209603693</c:v>
                </c:pt>
                <c:pt idx="223">
                  <c:v>11.37399842279091</c:v>
                </c:pt>
                <c:pt idx="224">
                  <c:v>11.03592878973908</c:v>
                </c:pt>
                <c:pt idx="225">
                  <c:v>10.708794853479809</c:v>
                </c:pt>
                <c:pt idx="226">
                  <c:v>10.392217847984137</c:v>
                </c:pt>
                <c:pt idx="227">
                  <c:v>10.085834457104065</c:v>
                </c:pt>
                <c:pt idx="228">
                  <c:v>9.7892928030245123</c:v>
                </c:pt>
                <c:pt idx="229">
                  <c:v>9.5022540183564708</c:v>
                </c:pt>
                <c:pt idx="230">
                  <c:v>9.2243914329853691</c:v>
                </c:pt>
                <c:pt idx="231">
                  <c:v>8.9553924714248776</c:v>
                </c:pt>
                <c:pt idx="232">
                  <c:v>8.6949514428724672</c:v>
                </c:pt>
                <c:pt idx="233">
                  <c:v>8.4427751248505878</c:v>
                </c:pt>
                <c:pt idx="234">
                  <c:v>8.1985846063503676</c:v>
                </c:pt>
                <c:pt idx="235">
                  <c:v>7.9621051505412987</c:v>
                </c:pt>
                <c:pt idx="236">
                  <c:v>7.7330753020694862</c:v>
                </c:pt>
                <c:pt idx="237">
                  <c:v>7.5112446644431952</c:v>
                </c:pt>
                <c:pt idx="238">
                  <c:v>7.2963689669129641</c:v>
                </c:pt>
                <c:pt idx="239">
                  <c:v>7.0882109318333439</c:v>
                </c:pt>
                <c:pt idx="240">
                  <c:v>6.8865474846073473</c:v>
                </c:pt>
                <c:pt idx="241">
                  <c:v>6.6911566890502652</c:v>
                </c:pt>
                <c:pt idx="242">
                  <c:v>6.5018303783449802</c:v>
                </c:pt>
                <c:pt idx="243">
                  <c:v>6.3183653730043696</c:v>
                </c:pt>
                <c:pt idx="244">
                  <c:v>6.1405647277038016</c:v>
                </c:pt>
                <c:pt idx="245">
                  <c:v>5.9682398996854795</c:v>
                </c:pt>
                <c:pt idx="246">
                  <c:v>5.8012100982371422</c:v>
                </c:pt>
                <c:pt idx="247">
                  <c:v>5.6392964842104378</c:v>
                </c:pt>
                <c:pt idx="248">
                  <c:v>5.4823325241516727</c:v>
                </c:pt>
                <c:pt idx="249">
                  <c:v>5.3301543409024763</c:v>
                </c:pt>
                <c:pt idx="250">
                  <c:v>5.1826012014907779</c:v>
                </c:pt>
                <c:pt idx="251">
                  <c:v>5.0395238654875332</c:v>
                </c:pt>
                <c:pt idx="252">
                  <c:v>4.9007762366500005</c:v>
                </c:pt>
                <c:pt idx="253">
                  <c:v>4.7662140076690234</c:v>
                </c:pt>
                <c:pt idx="254">
                  <c:v>4.6356996474990195</c:v>
                </c:pt>
                <c:pt idx="255">
                  <c:v>4.5091041360814659</c:v>
                </c:pt>
                <c:pt idx="256">
                  <c:v>4.3862986159881601</c:v>
                </c:pt>
                <c:pt idx="257">
                  <c:v>4.2671594881714405</c:v>
                </c:pt>
                <c:pt idx="258">
                  <c:v>4.1515707972089588</c:v>
                </c:pt>
                <c:pt idx="259">
                  <c:v>4.0394139313830459</c:v>
                </c:pt>
                <c:pt idx="260">
                  <c:v>3.9305809583674303</c:v>
                </c:pt>
                <c:pt idx="261">
                  <c:v>3.8249644879369273</c:v>
                </c:pt>
                <c:pt idx="262">
                  <c:v>3.7224627677176492</c:v>
                </c:pt>
                <c:pt idx="263">
                  <c:v>3.6229719311414721</c:v>
                </c:pt>
                <c:pt idx="264">
                  <c:v>3.5263995499731915</c:v>
                </c:pt>
                <c:pt idx="265">
                  <c:v>3.4326517323046701</c:v>
                </c:pt>
                <c:pt idx="266">
                  <c:v>3.3416397903981987</c:v>
                </c:pt>
                <c:pt idx="267">
                  <c:v>3.2532746028351989</c:v>
                </c:pt>
                <c:pt idx="268">
                  <c:v>3.1674750441881145</c:v>
                </c:pt>
                <c:pt idx="269">
                  <c:v>3.0841601787647694</c:v>
                </c:pt>
                <c:pt idx="270">
                  <c:v>3.0032498027094539</c:v>
                </c:pt>
                <c:pt idx="271">
                  <c:v>2.924669295807647</c:v>
                </c:pt>
                <c:pt idx="272">
                  <c:v>2.8483458809885205</c:v>
                </c:pt>
                <c:pt idx="273">
                  <c:v>2.7742100879978722</c:v>
                </c:pt>
                <c:pt idx="274">
                  <c:v>2.7021930971028034</c:v>
                </c:pt>
                <c:pt idx="275">
                  <c:v>2.6322271456675344</c:v>
                </c:pt>
                <c:pt idx="276">
                  <c:v>2.5642537138798049</c:v>
                </c:pt>
                <c:pt idx="277">
                  <c:v>2.4982059877807354</c:v>
                </c:pt>
                <c:pt idx="278">
                  <c:v>2.4340263420248589</c:v>
                </c:pt>
                <c:pt idx="279">
                  <c:v>2.3716563381150775</c:v>
                </c:pt>
                <c:pt idx="280">
                  <c:v>2.3110445848684158</c:v>
                </c:pt>
                <c:pt idx="281">
                  <c:v>2.2521331587838089</c:v>
                </c:pt>
                <c:pt idx="282">
                  <c:v>2.1948689610598593</c:v>
                </c:pt>
                <c:pt idx="283">
                  <c:v>2.1392051270576613</c:v>
                </c:pt>
                <c:pt idx="284">
                  <c:v>2.085093491095702</c:v>
                </c:pt>
                <c:pt idx="285">
                  <c:v>2.0324849388155681</c:v>
                </c:pt>
                <c:pt idx="286">
                  <c:v>1.9813350992433505</c:v>
                </c:pt>
                <c:pt idx="287">
                  <c:v>1.9315979751018815</c:v>
                </c:pt>
                <c:pt idx="288">
                  <c:v>1.8832328817046384</c:v>
                </c:pt>
                <c:pt idx="289">
                  <c:v>1.8361981043730353</c:v>
                </c:pt>
                <c:pt idx="290">
                  <c:v>1.790453636046907</c:v>
                </c:pt>
                <c:pt idx="291">
                  <c:v>1.7459615025451625</c:v>
                </c:pt>
                <c:pt idx="292">
                  <c:v>1.7026846512585569</c:v>
                </c:pt>
                <c:pt idx="293">
                  <c:v>1.6605853519514879</c:v>
                </c:pt>
                <c:pt idx="294">
                  <c:v>1.6196307804031835</c:v>
                </c:pt>
                <c:pt idx="295">
                  <c:v>1.5797865674047757</c:v>
                </c:pt>
                <c:pt idx="296">
                  <c:v>1.5410178829614736</c:v>
                </c:pt>
                <c:pt idx="297">
                  <c:v>1.5032946946730992</c:v>
                </c:pt>
                <c:pt idx="298">
                  <c:v>1.4665855064665418</c:v>
                </c:pt>
                <c:pt idx="299">
                  <c:v>1.4308628338167291</c:v>
                </c:pt>
                <c:pt idx="300">
                  <c:v>1.3960977014206011</c:v>
                </c:pt>
                <c:pt idx="301">
                  <c:v>1.362257366372549</c:v>
                </c:pt>
                <c:pt idx="302">
                  <c:v>1.3293194263451837</c:v>
                </c:pt>
                <c:pt idx="303">
                  <c:v>1.29725622063058</c:v>
                </c:pt>
                <c:pt idx="304">
                  <c:v>1.2660451707184952</c:v>
                </c:pt>
                <c:pt idx="305">
                  <c:v>1.2356568134148926</c:v>
                </c:pt>
                <c:pt idx="306">
                  <c:v>1.2060708605866195</c:v>
                </c:pt>
                <c:pt idx="307">
                  <c:v>1.1772633920232451</c:v>
                </c:pt>
                <c:pt idx="308">
                  <c:v>1.1492130218369174</c:v>
                </c:pt>
                <c:pt idx="309">
                  <c:v>1.1218959111323688</c:v>
                </c:pt>
                <c:pt idx="310">
                  <c:v>1.0952897795549545</c:v>
                </c:pt>
                <c:pt idx="311">
                  <c:v>1.0693808170795029</c:v>
                </c:pt>
                <c:pt idx="312">
                  <c:v>1.0441427318033312</c:v>
                </c:pt>
                <c:pt idx="313">
                  <c:v>1.0195611580476536</c:v>
                </c:pt>
                <c:pt idx="314">
                  <c:v>0.99561639043798533</c:v>
                </c:pt>
                <c:pt idx="315">
                  <c:v>0.97228739545218024</c:v>
                </c:pt>
                <c:pt idx="316">
                  <c:v>0.94955705624844011</c:v>
                </c:pt>
                <c:pt idx="317">
                  <c:v>0.92741409712417122</c:v>
                </c:pt>
                <c:pt idx="318">
                  <c:v>0.90583881270488864</c:v>
                </c:pt>
                <c:pt idx="319">
                  <c:v>0.88481418101648424</c:v>
                </c:pt>
                <c:pt idx="320">
                  <c:v>0.86432267864134527</c:v>
                </c:pt>
                <c:pt idx="321">
                  <c:v>0.84435610630054225</c:v>
                </c:pt>
                <c:pt idx="322">
                  <c:v>0.82489489414486195</c:v>
                </c:pt>
                <c:pt idx="323">
                  <c:v>0.80592752252622168</c:v>
                </c:pt>
                <c:pt idx="324">
                  <c:v>0.78743905655969537</c:v>
                </c:pt>
                <c:pt idx="325">
                  <c:v>0.76941682463239214</c:v>
                </c:pt>
                <c:pt idx="326">
                  <c:v>0.75184574278158722</c:v>
                </c:pt>
                <c:pt idx="327">
                  <c:v>0.73471736778286256</c:v>
                </c:pt>
                <c:pt idx="328">
                  <c:v>0.71801875697278394</c:v>
                </c:pt>
                <c:pt idx="329">
                  <c:v>0.70173593769585352</c:v>
                </c:pt>
                <c:pt idx="330">
                  <c:v>0.6858566584675222</c:v>
                </c:pt>
                <c:pt idx="331">
                  <c:v>0.67037507814858566</c:v>
                </c:pt>
                <c:pt idx="332">
                  <c:v>0.65527554357017881</c:v>
                </c:pt>
                <c:pt idx="333">
                  <c:v>0.64055199675266272</c:v>
                </c:pt>
                <c:pt idx="334">
                  <c:v>0.62619024820010505</c:v>
                </c:pt>
                <c:pt idx="335">
                  <c:v>0.61218222060632077</c:v>
                </c:pt>
                <c:pt idx="336">
                  <c:v>0.59851887443569673</c:v>
                </c:pt>
                <c:pt idx="337">
                  <c:v>0.58518928635134526</c:v>
                </c:pt>
                <c:pt idx="338">
                  <c:v>0.57218422708227301</c:v>
                </c:pt>
                <c:pt idx="339">
                  <c:v>0.55950078283514149</c:v>
                </c:pt>
                <c:pt idx="340">
                  <c:v>0.54712453372105652</c:v>
                </c:pt>
                <c:pt idx="341">
                  <c:v>0.53505023491200876</c:v>
                </c:pt>
                <c:pt idx="342">
                  <c:v>0.52326784398537551</c:v>
                </c:pt>
                <c:pt idx="343">
                  <c:v>0.51176948692287927</c:v>
                </c:pt>
                <c:pt idx="344">
                  <c:v>0.50054784535985553</c:v>
                </c:pt>
                <c:pt idx="345">
                  <c:v>0.48959775578345799</c:v>
                </c:pt>
                <c:pt idx="346">
                  <c:v>0.47891040905103516</c:v>
                </c:pt>
                <c:pt idx="347">
                  <c:v>0.46848154289279648</c:v>
                </c:pt>
                <c:pt idx="348">
                  <c:v>0.45829950891165122</c:v>
                </c:pt>
                <c:pt idx="349">
                  <c:v>0.44836123068393507</c:v>
                </c:pt>
                <c:pt idx="350">
                  <c:v>0.43865762124018981</c:v>
                </c:pt>
                <c:pt idx="351">
                  <c:v>0.42918780644241389</c:v>
                </c:pt>
                <c:pt idx="352">
                  <c:v>0.4199420623523728</c:v>
                </c:pt>
                <c:pt idx="353">
                  <c:v>0.41091459526470742</c:v>
                </c:pt>
                <c:pt idx="354">
                  <c:v>0.40209782254047383</c:v>
                </c:pt>
                <c:pt idx="355">
                  <c:v>0.3934902127441034</c:v>
                </c:pt>
                <c:pt idx="356">
                  <c:v>0.38508598572276415</c:v>
                </c:pt>
                <c:pt idx="357">
                  <c:v>0.37687838554166869</c:v>
                </c:pt>
                <c:pt idx="358">
                  <c:v>0.36886280434158397</c:v>
                </c:pt>
                <c:pt idx="359">
                  <c:v>0.36103378045406614</c:v>
                </c:pt>
                <c:pt idx="360">
                  <c:v>0.35338958593190278</c:v>
                </c:pt>
                <c:pt idx="361">
                  <c:v>0.34592000894588182</c:v>
                </c:pt>
                <c:pt idx="362">
                  <c:v>0.33862655382651752</c:v>
                </c:pt>
                <c:pt idx="363">
                  <c:v>0.33149980156743641</c:v>
                </c:pt>
                <c:pt idx="364">
                  <c:v>0.32453676383640068</c:v>
                </c:pt>
                <c:pt idx="365">
                  <c:v>0.31773664781057159</c:v>
                </c:pt>
                <c:pt idx="366">
                  <c:v>0.31109239939956446</c:v>
                </c:pt>
                <c:pt idx="367">
                  <c:v>0.30460088796960622</c:v>
                </c:pt>
                <c:pt idx="368">
                  <c:v>0.29825656376082643</c:v>
                </c:pt>
                <c:pt idx="369">
                  <c:v>0.29206011795211012</c:v>
                </c:pt>
                <c:pt idx="370">
                  <c:v>0.2859995362281334</c:v>
                </c:pt>
                <c:pt idx="371">
                  <c:v>0.28008288234255413</c:v>
                </c:pt>
                <c:pt idx="372">
                  <c:v>0.2742973965910549</c:v>
                </c:pt>
                <c:pt idx="373">
                  <c:v>0.26864541678457005</c:v>
                </c:pt>
                <c:pt idx="374">
                  <c:v>0.26311876397296097</c:v>
                </c:pt>
                <c:pt idx="375">
                  <c:v>0.25771932873376591</c:v>
                </c:pt>
                <c:pt idx="376">
                  <c:v>0.25243837646323281</c:v>
                </c:pt>
                <c:pt idx="377">
                  <c:v>0.2472777841863727</c:v>
                </c:pt>
                <c:pt idx="378">
                  <c:v>0.24223397403601646</c:v>
                </c:pt>
                <c:pt idx="379">
                  <c:v>0.23730397800871689</c:v>
                </c:pt>
                <c:pt idx="380">
                  <c:v>0.23248114181364035</c:v>
                </c:pt>
                <c:pt idx="381">
                  <c:v>0.2277657297250664</c:v>
                </c:pt>
                <c:pt idx="382">
                  <c:v>0.2231570370115829</c:v>
                </c:pt>
                <c:pt idx="383">
                  <c:v>0.21865097758625232</c:v>
                </c:pt>
                <c:pt idx="384">
                  <c:v>0.2142416425472346</c:v>
                </c:pt>
                <c:pt idx="385">
                  <c:v>0.20993467652209025</c:v>
                </c:pt>
                <c:pt idx="386">
                  <c:v>0.20571914939766789</c:v>
                </c:pt>
                <c:pt idx="387">
                  <c:v>0.20159676879238919</c:v>
                </c:pt>
                <c:pt idx="388">
                  <c:v>0.19756609136211203</c:v>
                </c:pt>
                <c:pt idx="389">
                  <c:v>0.1936239458154819</c:v>
                </c:pt>
                <c:pt idx="390">
                  <c:v>0.18976745562860992</c:v>
                </c:pt>
                <c:pt idx="391">
                  <c:v>0.18599516390482679</c:v>
                </c:pt>
                <c:pt idx="392">
                  <c:v>0.1823043635268331</c:v>
                </c:pt>
                <c:pt idx="393">
                  <c:v>0.17869480716100825</c:v>
                </c:pt>
                <c:pt idx="394">
                  <c:v>0.17516242566107365</c:v>
                </c:pt>
                <c:pt idx="395">
                  <c:v>0.17171118991748599</c:v>
                </c:pt>
                <c:pt idx="396">
                  <c:v>0.16832754401495745</c:v>
                </c:pt>
                <c:pt idx="397">
                  <c:v>0.16502306858794288</c:v>
                </c:pt>
                <c:pt idx="398">
                  <c:v>0.16178667766922861</c:v>
                </c:pt>
                <c:pt idx="399">
                  <c:v>0.15862096995589681</c:v>
                </c:pt>
                <c:pt idx="400">
                  <c:v>0.1555229740563685</c:v>
                </c:pt>
                <c:pt idx="401">
                  <c:v>0.15249032505465498</c:v>
                </c:pt>
                <c:pt idx="402">
                  <c:v>0.14952582493574576</c:v>
                </c:pt>
                <c:pt idx="403">
                  <c:v>0.14661805569551184</c:v>
                </c:pt>
                <c:pt idx="404">
                  <c:v>0.14377929931168842</c:v>
                </c:pt>
                <c:pt idx="405">
                  <c:v>0.14099599309272404</c:v>
                </c:pt>
                <c:pt idx="406">
                  <c:v>0.13827447284506419</c:v>
                </c:pt>
                <c:pt idx="407">
                  <c:v>0.1356085552281939</c:v>
                </c:pt>
                <c:pt idx="408">
                  <c:v>0.13299909743945579</c:v>
                </c:pt>
                <c:pt idx="409">
                  <c:v>0.13044684825597522</c:v>
                </c:pt>
                <c:pt idx="410">
                  <c:v>0.12794677969017731</c:v>
                </c:pt>
                <c:pt idx="411">
                  <c:v>0.12549917295700055</c:v>
                </c:pt>
                <c:pt idx="412">
                  <c:v>0.1231044719017093</c:v>
                </c:pt>
                <c:pt idx="413">
                  <c:v>0.12075877000835081</c:v>
                </c:pt>
                <c:pt idx="414">
                  <c:v>0.11845964815082773</c:v>
                </c:pt>
                <c:pt idx="415">
                  <c:v>0.11621367930481075</c:v>
                </c:pt>
                <c:pt idx="416">
                  <c:v>0.11401154949601186</c:v>
                </c:pt>
                <c:pt idx="417">
                  <c:v>0.111854576707697</c:v>
                </c:pt>
                <c:pt idx="418">
                  <c:v>0.10974451260400107</c:v>
                </c:pt>
                <c:pt idx="419">
                  <c:v>0.10767391345938362</c:v>
                </c:pt>
                <c:pt idx="420">
                  <c:v>0.10565108697299132</c:v>
                </c:pt>
                <c:pt idx="421">
                  <c:v>0.10366436780707457</c:v>
                </c:pt>
                <c:pt idx="422">
                  <c:v>0.10172173501199651</c:v>
                </c:pt>
                <c:pt idx="423">
                  <c:v>9.9818590892919445E-2</c:v>
                </c:pt>
                <c:pt idx="424">
                  <c:v>9.7954013877996765E-2</c:v>
                </c:pt>
                <c:pt idx="425">
                  <c:v>9.6128762908749207E-2</c:v>
                </c:pt>
                <c:pt idx="426">
                  <c:v>9.4343867977240634E-2</c:v>
                </c:pt>
                <c:pt idx="427">
                  <c:v>9.2588351536474628E-2</c:v>
                </c:pt>
                <c:pt idx="428">
                  <c:v>9.087407543584454E-2</c:v>
                </c:pt>
                <c:pt idx="429">
                  <c:v>8.9189852064183034E-2</c:v>
                </c:pt>
                <c:pt idx="430">
                  <c:v>8.75441991848077E-2</c:v>
                </c:pt>
                <c:pt idx="431">
                  <c:v>8.5931577202243495E-2</c:v>
                </c:pt>
                <c:pt idx="432">
                  <c:v>8.4349204460291635E-2</c:v>
                </c:pt>
                <c:pt idx="433">
                  <c:v>8.2799096897366586E-2</c:v>
                </c:pt>
                <c:pt idx="434">
                  <c:v>8.127948929680627E-2</c:v>
                </c:pt>
                <c:pt idx="435">
                  <c:v>7.9791594609791155E-2</c:v>
                </c:pt>
                <c:pt idx="436">
                  <c:v>7.8333579857023383E-2</c:v>
                </c:pt>
                <c:pt idx="437">
                  <c:v>7.6906041349697821E-2</c:v>
                </c:pt>
                <c:pt idx="438">
                  <c:v>7.5505167439551824E-2</c:v>
                </c:pt>
                <c:pt idx="439">
                  <c:v>7.4135271218352811E-2</c:v>
                </c:pt>
                <c:pt idx="440">
                  <c:v>7.2788961476603048E-2</c:v>
                </c:pt>
                <c:pt idx="441">
                  <c:v>7.146744269515351E-2</c:v>
                </c:pt>
                <c:pt idx="442">
                  <c:v>7.0176745748588676E-2</c:v>
                </c:pt>
                <c:pt idx="443">
                  <c:v>6.891152247087956E-2</c:v>
                </c:pt>
                <c:pt idx="444">
                  <c:v>6.7670356622938355E-2</c:v>
                </c:pt>
                <c:pt idx="445">
                  <c:v>6.6451564303265931E-2</c:v>
                </c:pt>
                <c:pt idx="446">
                  <c:v>6.5259604293296636E-2</c:v>
                </c:pt>
                <c:pt idx="447">
                  <c:v>6.4091606845405158E-2</c:v>
                </c:pt>
                <c:pt idx="448">
                  <c:v>6.2944232955713428E-2</c:v>
                </c:pt>
                <c:pt idx="449">
                  <c:v>6.181746060136481E-2</c:v>
                </c:pt>
                <c:pt idx="450">
                  <c:v>6.0716920857392664E-2</c:v>
                </c:pt>
                <c:pt idx="451">
                  <c:v>5.963277120094989E-2</c:v>
                </c:pt>
                <c:pt idx="452">
                  <c:v>5.8576377120122744E-2</c:v>
                </c:pt>
                <c:pt idx="453">
                  <c:v>5.7537708050749842E-2</c:v>
                </c:pt>
                <c:pt idx="454">
                  <c:v>5.6518495328175371E-2</c:v>
                </c:pt>
                <c:pt idx="455">
                  <c:v>5.5520566849499506E-2</c:v>
                </c:pt>
                <c:pt idx="456">
                  <c:v>5.4538740467150945E-2</c:v>
                </c:pt>
                <c:pt idx="457">
                  <c:v>5.3576936249609582E-2</c:v>
                </c:pt>
                <c:pt idx="458">
                  <c:v>5.2636609399478798E-2</c:v>
                </c:pt>
                <c:pt idx="459">
                  <c:v>5.1713299441258354E-2</c:v>
                </c:pt>
                <c:pt idx="460">
                  <c:v>5.0805397012348465E-2</c:v>
                </c:pt>
                <c:pt idx="461">
                  <c:v>4.9914816407209926E-2</c:v>
                </c:pt>
                <c:pt idx="462">
                  <c:v>4.9046927814728331E-2</c:v>
                </c:pt>
                <c:pt idx="463">
                  <c:v>4.818943401057544E-2</c:v>
                </c:pt>
                <c:pt idx="464">
                  <c:v>4.7352119919357935E-2</c:v>
                </c:pt>
                <c:pt idx="465">
                  <c:v>4.6529603493728963E-2</c:v>
                </c:pt>
                <c:pt idx="466">
                  <c:v>4.5722611487957268E-2</c:v>
                </c:pt>
                <c:pt idx="467">
                  <c:v>4.492840459749143E-2</c:v>
                </c:pt>
                <c:pt idx="468">
                  <c:v>4.415214294704612E-2</c:v>
                </c:pt>
                <c:pt idx="469">
                  <c:v>4.3385983011529766E-2</c:v>
                </c:pt>
                <c:pt idx="470">
                  <c:v>4.2638637371837824E-2</c:v>
                </c:pt>
                <c:pt idx="471">
                  <c:v>4.1907251526938048E-2</c:v>
                </c:pt>
                <c:pt idx="472">
                  <c:v>4.1186665352115764E-2</c:v>
                </c:pt>
                <c:pt idx="473">
                  <c:v>4.0479967129496662E-2</c:v>
                </c:pt>
                <c:pt idx="474">
                  <c:v>3.9787016251611497E-2</c:v>
                </c:pt>
                <c:pt idx="475">
                  <c:v>3.9103819805146912E-2</c:v>
                </c:pt>
                <c:pt idx="476">
                  <c:v>3.8439593508569035E-2</c:v>
                </c:pt>
                <c:pt idx="477">
                  <c:v>3.7783890057506431E-2</c:v>
                </c:pt>
                <c:pt idx="478">
                  <c:v>3.7145056114621343E-2</c:v>
                </c:pt>
                <c:pt idx="479">
                  <c:v>3.6509417180013298E-2</c:v>
                </c:pt>
                <c:pt idx="480">
                  <c:v>3.5892573906504827E-2</c:v>
                </c:pt>
                <c:pt idx="481">
                  <c:v>3.528508865299762E-2</c:v>
                </c:pt>
                <c:pt idx="482">
                  <c:v>3.4687632269585905E-2</c:v>
                </c:pt>
                <c:pt idx="483">
                  <c:v>3.4099513577384721E-2</c:v>
                </c:pt>
                <c:pt idx="484">
                  <c:v>3.3528125479957704E-2</c:v>
                </c:pt>
                <c:pt idx="485">
                  <c:v>3.2961658643954235E-2</c:v>
                </c:pt>
                <c:pt idx="486">
                  <c:v>3.2409713340798493E-2</c:v>
                </c:pt>
                <c:pt idx="487">
                  <c:v>3.1865862284486714E-2</c:v>
                </c:pt>
                <c:pt idx="488">
                  <c:v>3.1333876465700072E-2</c:v>
                </c:pt>
                <c:pt idx="489">
                  <c:v>3.0806571350979958E-2</c:v>
                </c:pt>
                <c:pt idx="490">
                  <c:v>3.0296405100914588E-2</c:v>
                </c:pt>
                <c:pt idx="491">
                  <c:v>2.9789469434510045E-2</c:v>
                </c:pt>
                <c:pt idx="492">
                  <c:v>2.9293706979712734E-2</c:v>
                </c:pt>
                <c:pt idx="493">
                  <c:v>2.8810128246828728E-2</c:v>
                </c:pt>
                <c:pt idx="494">
                  <c:v>2.8328277461157122E-2</c:v>
                </c:pt>
                <c:pt idx="495">
                  <c:v>2.7862293296653483E-2</c:v>
                </c:pt>
                <c:pt idx="496">
                  <c:v>2.7398436878913347E-2</c:v>
                </c:pt>
                <c:pt idx="497">
                  <c:v>2.6949319681488382E-2</c:v>
                </c:pt>
                <c:pt idx="498">
                  <c:v>2.6501739848862685E-2</c:v>
                </c:pt>
                <c:pt idx="499">
                  <c:v>2.6070338345529544E-2</c:v>
                </c:pt>
                <c:pt idx="500">
                  <c:v>2.5638017811448633E-2</c:v>
                </c:pt>
                <c:pt idx="501">
                  <c:v>2.5215623656476595E-2</c:v>
                </c:pt>
                <c:pt idx="502">
                  <c:v>2.4807441867326536E-2</c:v>
                </c:pt>
                <c:pt idx="503">
                  <c:v>2.4400490817048839E-2</c:v>
                </c:pt>
                <c:pt idx="504">
                  <c:v>2.4003534755548742E-2</c:v>
                </c:pt>
                <c:pt idx="505">
                  <c:v>2.361251554797595E-2</c:v>
                </c:pt>
                <c:pt idx="506">
                  <c:v>2.3229288196484951E-2</c:v>
                </c:pt>
                <c:pt idx="507">
                  <c:v>2.2851198946851996E-2</c:v>
                </c:pt>
                <c:pt idx="508">
                  <c:v>2.247590490594498E-2</c:v>
                </c:pt>
                <c:pt idx="509">
                  <c:v>2.2116627411037596E-2</c:v>
                </c:pt>
                <c:pt idx="510">
                  <c:v>2.1758585737200256E-2</c:v>
                </c:pt>
                <c:pt idx="511">
                  <c:v>2.1406853611787013E-2</c:v>
                </c:pt>
                <c:pt idx="512">
                  <c:v>2.1060264670429499E-2</c:v>
                </c:pt>
                <c:pt idx="513">
                  <c:v>2.0721063550437936E-2</c:v>
                </c:pt>
                <c:pt idx="514">
                  <c:v>2.0389019011817725E-2</c:v>
                </c:pt>
                <c:pt idx="515">
                  <c:v>2.0063573706889572E-2</c:v>
                </c:pt>
                <c:pt idx="516">
                  <c:v>1.9739275284572002E-2</c:v>
                </c:pt>
                <c:pt idx="517">
                  <c:v>1.9425999301997052E-2</c:v>
                </c:pt>
                <c:pt idx="518">
                  <c:v>1.9113968457854565E-2</c:v>
                </c:pt>
                <c:pt idx="519">
                  <c:v>1.8811651387551191E-2</c:v>
                </c:pt>
                <c:pt idx="520">
                  <c:v>1.8508123060133243E-2</c:v>
                </c:pt>
                <c:pt idx="521">
                  <c:v>1.8214234814687997E-2</c:v>
                </c:pt>
                <c:pt idx="522">
                  <c:v>1.7927186360291829E-2</c:v>
                </c:pt>
                <c:pt idx="523">
                  <c:v>1.7640690171377271E-2</c:v>
                </c:pt>
                <c:pt idx="524">
                  <c:v>1.7358675633786635E-2</c:v>
                </c:pt>
                <c:pt idx="525">
                  <c:v>1.7085664209392365E-2</c:v>
                </c:pt>
                <c:pt idx="526">
                  <c:v>1.6817756158505302E-2</c:v>
                </c:pt>
                <c:pt idx="527">
                  <c:v>1.6551576901863586E-2</c:v>
                </c:pt>
                <c:pt idx="528">
                  <c:v>1.6291420896509794E-2</c:v>
                </c:pt>
                <c:pt idx="529">
                  <c:v>1.6036036227747887E-2</c:v>
                </c:pt>
                <c:pt idx="530">
                  <c:v>1.5785005308334866E-2</c:v>
                </c:pt>
                <c:pt idx="531">
                  <c:v>1.5537082152805321E-2</c:v>
                </c:pt>
                <c:pt idx="532">
                  <c:v>1.5292409062694391E-2</c:v>
                </c:pt>
                <c:pt idx="533">
                  <c:v>1.5054002322327249E-2</c:v>
                </c:pt>
                <c:pt idx="534">
                  <c:v>1.4819078581439216E-2</c:v>
                </c:pt>
                <c:pt idx="535">
                  <c:v>1.4589670719103703E-2</c:v>
                </c:pt>
                <c:pt idx="536">
                  <c:v>1.4361881536730393E-2</c:v>
                </c:pt>
                <c:pt idx="537">
                  <c:v>1.4135332410591863E-2</c:v>
                </c:pt>
                <c:pt idx="538">
                  <c:v>1.3917223120739775E-2</c:v>
                </c:pt>
                <c:pt idx="539">
                  <c:v>1.3703403205732583E-2</c:v>
                </c:pt>
                <c:pt idx="540">
                  <c:v>1.3490815723663646E-2</c:v>
                </c:pt>
                <c:pt idx="541">
                  <c:v>1.3280222157152546E-2</c:v>
                </c:pt>
                <c:pt idx="542">
                  <c:v>1.3076691151355652E-2</c:v>
                </c:pt>
                <c:pt idx="543">
                  <c:v>1.287528789232226E-2</c:v>
                </c:pt>
                <c:pt idx="544">
                  <c:v>1.2678705944824641E-2</c:v>
                </c:pt>
                <c:pt idx="545">
                  <c:v>1.2482501774021496E-2</c:v>
                </c:pt>
                <c:pt idx="546">
                  <c:v>1.2293781139307344E-2</c:v>
                </c:pt>
                <c:pt idx="547">
                  <c:v>1.2102355081359661E-2</c:v>
                </c:pt>
                <c:pt idx="548">
                  <c:v>1.1917828953800311E-2</c:v>
                </c:pt>
                <c:pt idx="549">
                  <c:v>1.1734684760494407E-2</c:v>
                </c:pt>
                <c:pt idx="550">
                  <c:v>1.1556509262457097E-2</c:v>
                </c:pt>
                <c:pt idx="551">
                  <c:v>1.1381096362377257E-2</c:v>
                </c:pt>
                <c:pt idx="552">
                  <c:v>1.1209846205716698E-2</c:v>
                </c:pt>
                <c:pt idx="553">
                  <c:v>1.1040266398028124E-2</c:v>
                </c:pt>
                <c:pt idx="554">
                  <c:v>1.0868734602912603E-2</c:v>
                </c:pt>
                <c:pt idx="555">
                  <c:v>1.0707594631510471E-2</c:v>
                </c:pt>
                <c:pt idx="556">
                  <c:v>1.0547078076357519E-2</c:v>
                </c:pt>
                <c:pt idx="557">
                  <c:v>1.038751358623728E-2</c:v>
                </c:pt>
                <c:pt idx="558">
                  <c:v>1.0230321211885827E-2</c:v>
                </c:pt>
                <c:pt idx="559">
                  <c:v>1.0073591741040049E-2</c:v>
                </c:pt>
                <c:pt idx="560">
                  <c:v>9.9199149769361745E-3</c:v>
                </c:pt>
                <c:pt idx="561">
                  <c:v>9.774184228910493E-3</c:v>
                </c:pt>
                <c:pt idx="562">
                  <c:v>9.6253990800770125E-3</c:v>
                </c:pt>
                <c:pt idx="563">
                  <c:v>9.4835854359159085E-3</c:v>
                </c:pt>
                <c:pt idx="564">
                  <c:v>9.3402776256358479E-3</c:v>
                </c:pt>
                <c:pt idx="565">
                  <c:v>9.2029837492812929E-3</c:v>
                </c:pt>
                <c:pt idx="566">
                  <c:v>9.0660723083024232E-3</c:v>
                </c:pt>
                <c:pt idx="567">
                  <c:v>8.9301624837836817E-3</c:v>
                </c:pt>
                <c:pt idx="568">
                  <c:v>8.7951403497936627E-3</c:v>
                </c:pt>
                <c:pt idx="569">
                  <c:v>8.6656396000703208E-3</c:v>
                </c:pt>
                <c:pt idx="570">
                  <c:v>8.5403702034349879E-3</c:v>
                </c:pt>
                <c:pt idx="571">
                  <c:v>8.4099296706566674E-3</c:v>
                </c:pt>
                <c:pt idx="572">
                  <c:v>8.2865165467252422E-3</c:v>
                </c:pt>
                <c:pt idx="573">
                  <c:v>8.162781973790334E-3</c:v>
                </c:pt>
                <c:pt idx="574">
                  <c:v>8.0449114099492673E-3</c:v>
                </c:pt>
                <c:pt idx="575">
                  <c:v>7.9290063860623042E-3</c:v>
                </c:pt>
                <c:pt idx="576">
                  <c:v>7.8075270383494606E-3</c:v>
                </c:pt>
                <c:pt idx="577">
                  <c:v>7.6955907873368576E-3</c:v>
                </c:pt>
                <c:pt idx="578">
                  <c:v>7.579812394875509E-3</c:v>
                </c:pt>
                <c:pt idx="579">
                  <c:v>7.4727368424307248E-3</c:v>
                </c:pt>
                <c:pt idx="580">
                  <c:v>7.3609284933931571E-3</c:v>
                </c:pt>
                <c:pt idx="581">
                  <c:v>7.2548736156498143E-3</c:v>
                </c:pt>
                <c:pt idx="582">
                  <c:v>7.1490914825154874E-3</c:v>
                </c:pt>
                <c:pt idx="583">
                  <c:v>7.0452744658187905E-3</c:v>
                </c:pt>
                <c:pt idx="584">
                  <c:v>6.9446664334427664E-3</c:v>
                </c:pt>
                <c:pt idx="585">
                  <c:v>6.8446305718226127E-3</c:v>
                </c:pt>
                <c:pt idx="586">
                  <c:v>6.7388759672590715E-3</c:v>
                </c:pt>
                <c:pt idx="587">
                  <c:v>6.6423269167662901E-3</c:v>
                </c:pt>
                <c:pt idx="588">
                  <c:v>6.5497529918949731E-3</c:v>
                </c:pt>
                <c:pt idx="589">
                  <c:v>6.4490678795207489E-3</c:v>
                </c:pt>
                <c:pt idx="590">
                  <c:v>6.3607905292743794E-3</c:v>
                </c:pt>
                <c:pt idx="591">
                  <c:v>6.2698407900794225E-3</c:v>
                </c:pt>
                <c:pt idx="592">
                  <c:v>6.1752331391017479E-3</c:v>
                </c:pt>
                <c:pt idx="593">
                  <c:v>6.0897077989010076E-3</c:v>
                </c:pt>
                <c:pt idx="594">
                  <c:v>5.9972545762246744E-3</c:v>
                </c:pt>
                <c:pt idx="595">
                  <c:v>5.9125563636969278E-3</c:v>
                </c:pt>
                <c:pt idx="596">
                  <c:v>5.830026979030626E-3</c:v>
                </c:pt>
                <c:pt idx="597">
                  <c:v>5.7514807667987874E-3</c:v>
                </c:pt>
                <c:pt idx="598">
                  <c:v>5.6657661147343358E-3</c:v>
                </c:pt>
                <c:pt idx="599">
                  <c:v>5.587125881845352E-3</c:v>
                </c:pt>
                <c:pt idx="600">
                  <c:v>5.5090997478431276E-3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BC-4DF1-A08B-EA16715DB54F}"/>
            </c:ext>
          </c:extLst>
        </c:ser>
        <c:ser>
          <c:idx val="1"/>
          <c:order val="1"/>
          <c:tx>
            <c:strRef>
              <c:f>Densities!$T$4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Densities!$T$5:$T$605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3.8168350217872866E-42</c:v>
                </c:pt>
                <c:pt idx="52">
                  <c:v>1.1890467802011467E-29</c:v>
                </c:pt>
                <c:pt idx="53">
                  <c:v>2.5635948096283242E-23</c:v>
                </c:pt>
                <c:pt idx="54">
                  <c:v>2.9211408847168149E-19</c:v>
                </c:pt>
                <c:pt idx="55">
                  <c:v>2.3025586867928831E-16</c:v>
                </c:pt>
                <c:pt idx="56">
                  <c:v>3.6882058549275201E-14</c:v>
                </c:pt>
                <c:pt idx="57">
                  <c:v>2.0749790700483373E-12</c:v>
                </c:pt>
                <c:pt idx="58">
                  <c:v>5.6084294233549114E-11</c:v>
                </c:pt>
                <c:pt idx="59">
                  <c:v>8.8485362499563695E-10</c:v>
                </c:pt>
                <c:pt idx="60">
                  <c:v>9.2677211696857425E-9</c:v>
                </c:pt>
                <c:pt idx="61">
                  <c:v>7.0438751918646826E-8</c:v>
                </c:pt>
                <c:pt idx="62">
                  <c:v>4.1414669126451685E-7</c:v>
                </c:pt>
                <c:pt idx="63">
                  <c:v>1.974914507247712E-6</c:v>
                </c:pt>
                <c:pt idx="64">
                  <c:v>7.9174136105840307E-6</c:v>
                </c:pt>
                <c:pt idx="65">
                  <c:v>2.7437083431041686E-5</c:v>
                </c:pt>
                <c:pt idx="66">
                  <c:v>8.4011900322762448E-5</c:v>
                </c:pt>
                <c:pt idx="67">
                  <c:v>2.3140244991943614E-4</c:v>
                </c:pt>
                <c:pt idx="68">
                  <c:v>5.8071403239771588E-4</c:v>
                </c:pt>
                <c:pt idx="69">
                  <c:v>1.3473117067114297E-3</c:v>
                </c:pt>
                <c:pt idx="70">
                  <c:v>2.910129082089982E-3</c:v>
                </c:pt>
                <c:pt idx="71">
                  <c:v>5.9070447974437362E-3</c:v>
                </c:pt>
                <c:pt idx="72">
                  <c:v>1.1346436401178515E-2</c:v>
                </c:pt>
                <c:pt idx="73">
                  <c:v>2.0742647321399431E-2</c:v>
                </c:pt>
                <c:pt idx="74">
                  <c:v>3.6274839131138145E-2</c:v>
                </c:pt>
                <c:pt idx="75">
                  <c:v>6.0946786455009387E-2</c:v>
                </c:pt>
                <c:pt idx="76">
                  <c:v>9.8758770226330964E-2</c:v>
                </c:pt>
                <c:pt idx="77">
                  <c:v>0.15485359689949882</c:v>
                </c:pt>
                <c:pt idx="78">
                  <c:v>0.23563681425119001</c:v>
                </c:pt>
                <c:pt idx="79">
                  <c:v>0.34887431248217199</c:v>
                </c:pt>
                <c:pt idx="80">
                  <c:v>0.50371314723852645</c:v>
                </c:pt>
                <c:pt idx="81">
                  <c:v>0.71067295140563103</c:v>
                </c:pt>
                <c:pt idx="82">
                  <c:v>0.98155619535552907</c:v>
                </c:pt>
                <c:pt idx="83">
                  <c:v>1.3293055280168271</c:v>
                </c:pt>
                <c:pt idx="84">
                  <c:v>1.7677938411351461</c:v>
                </c:pt>
                <c:pt idx="85">
                  <c:v>2.3115738563701229</c:v>
                </c:pt>
                <c:pt idx="86">
                  <c:v>2.9755693199527311</c:v>
                </c:pt>
                <c:pt idx="87">
                  <c:v>3.7747450259658417</c:v>
                </c:pt>
                <c:pt idx="88">
                  <c:v>4.7237466429002186</c:v>
                </c:pt>
                <c:pt idx="89">
                  <c:v>5.836542066775638</c:v>
                </c:pt>
                <c:pt idx="90">
                  <c:v>7.1260657812289736</c:v>
                </c:pt>
                <c:pt idx="91">
                  <c:v>8.6038770864962437</c:v>
                </c:pt>
                <c:pt idx="92">
                  <c:v>10.279856454194649</c:v>
                </c:pt>
                <c:pt idx="93">
                  <c:v>12.16193149945863</c:v>
                </c:pt>
                <c:pt idx="94">
                  <c:v>14.255857568913362</c:v>
                </c:pt>
                <c:pt idx="95">
                  <c:v>16.565034493566927</c:v>
                </c:pt>
                <c:pt idx="96">
                  <c:v>19.090402320748584</c:v>
                </c:pt>
                <c:pt idx="97">
                  <c:v>21.83036038180472</c:v>
                </c:pt>
                <c:pt idx="98">
                  <c:v>24.780770764933937</c:v>
                </c:pt>
                <c:pt idx="99">
                  <c:v>27.93499241334537</c:v>
                </c:pt>
                <c:pt idx="100">
                  <c:v>31.283968606821492</c:v>
                </c:pt>
                <c:pt idx="101">
                  <c:v>34.816369012531482</c:v>
                </c:pt>
                <c:pt idx="102">
                  <c:v>38.51874887301522</c:v>
                </c:pt>
                <c:pt idx="103">
                  <c:v>42.375759178774409</c:v>
                </c:pt>
                <c:pt idx="104">
                  <c:v>46.370367967488519</c:v>
                </c:pt>
                <c:pt idx="105">
                  <c:v>50.484107427242392</c:v>
                </c:pt>
                <c:pt idx="106">
                  <c:v>54.697334769121532</c:v>
                </c:pt>
                <c:pt idx="107">
                  <c:v>58.989489399967347</c:v>
                </c:pt>
                <c:pt idx="108">
                  <c:v>63.339360611893575</c:v>
                </c:pt>
                <c:pt idx="109">
                  <c:v>67.725352236036599</c:v>
                </c:pt>
                <c:pt idx="110">
                  <c:v>72.125725097266226</c:v>
                </c:pt>
                <c:pt idx="111">
                  <c:v>76.51884844066953</c:v>
                </c:pt>
                <c:pt idx="112">
                  <c:v>80.883411784655337</c:v>
                </c:pt>
                <c:pt idx="113">
                  <c:v>85.198643496112169</c:v>
                </c:pt>
                <c:pt idx="114">
                  <c:v>89.444483070133529</c:v>
                </c:pt>
                <c:pt idx="115">
                  <c:v>93.601762408621056</c:v>
                </c:pt>
                <c:pt idx="116">
                  <c:v>97.652337171377781</c:v>
                </c:pt>
                <c:pt idx="117">
                  <c:v>101.57921259777019</c:v>
                </c:pt>
                <c:pt idx="118">
                  <c:v>105.36664347016861</c:v>
                </c:pt>
                <c:pt idx="119">
                  <c:v>109.00021727225374</c:v>
                </c:pt>
                <c:pt idx="120">
                  <c:v>112.46690189391229</c:v>
                </c:pt>
                <c:pt idx="121">
                  <c:v>115.75509387823368</c:v>
                </c:pt>
                <c:pt idx="122">
                  <c:v>118.8546333835</c:v>
                </c:pt>
                <c:pt idx="123">
                  <c:v>121.75680927893617</c:v>
                </c:pt>
                <c:pt idx="124">
                  <c:v>124.45434786900745</c:v>
                </c:pt>
                <c:pt idx="125">
                  <c:v>126.94139381146108</c:v>
                </c:pt>
                <c:pt idx="126">
                  <c:v>129.21345894298386</c:v>
                </c:pt>
                <c:pt idx="127">
                  <c:v>131.26738519948776</c:v>
                </c:pt>
                <c:pt idx="128">
                  <c:v>133.1012943091292</c:v>
                </c:pt>
                <c:pt idx="129">
                  <c:v>134.7145101634334</c:v>
                </c:pt>
                <c:pt idx="130">
                  <c:v>136.10749094623841</c:v>
                </c:pt>
                <c:pt idx="131">
                  <c:v>137.28176841837359</c:v>
                </c:pt>
                <c:pt idx="132">
                  <c:v>138.23985576047471</c:v>
                </c:pt>
                <c:pt idx="133">
                  <c:v>138.98517709984293</c:v>
                </c:pt>
                <c:pt idx="134">
                  <c:v>139.52198294267527</c:v>
                </c:pt>
                <c:pt idx="135">
                  <c:v>139.8552640884121</c:v>
                </c:pt>
                <c:pt idx="136">
                  <c:v>139.99068354184075</c:v>
                </c:pt>
                <c:pt idx="137">
                  <c:v>139.93449454741125</c:v>
                </c:pt>
                <c:pt idx="138">
                  <c:v>139.69345341938165</c:v>
                </c:pt>
                <c:pt idx="139">
                  <c:v>139.27475275496425</c:v>
                </c:pt>
                <c:pt idx="140">
                  <c:v>138.68595074434387</c:v>
                </c:pt>
                <c:pt idx="141">
                  <c:v>137.93490828695187</c:v>
                </c:pt>
                <c:pt idx="142">
                  <c:v>137.02970615842025</c:v>
                </c:pt>
                <c:pt idx="143">
                  <c:v>135.97861421923986</c:v>
                </c:pt>
                <c:pt idx="144">
                  <c:v>134.78999687233096</c:v>
                </c:pt>
                <c:pt idx="145">
                  <c:v>133.47229614948941</c:v>
                </c:pt>
                <c:pt idx="146">
                  <c:v>132.03396665925627</c:v>
                </c:pt>
                <c:pt idx="147">
                  <c:v>130.4834244125752</c:v>
                </c:pt>
                <c:pt idx="148">
                  <c:v>128.82902036825962</c:v>
                </c:pt>
                <c:pt idx="149">
                  <c:v>127.07900357011859</c:v>
                </c:pt>
                <c:pt idx="150">
                  <c:v>125.24147777887018</c:v>
                </c:pt>
                <c:pt idx="151">
                  <c:v>123.32437501760829</c:v>
                </c:pt>
                <c:pt idx="152">
                  <c:v>121.33544082665315</c:v>
                </c:pt>
                <c:pt idx="153">
                  <c:v>119.28220390589051</c:v>
                </c:pt>
                <c:pt idx="154">
                  <c:v>117.1719535633664</c:v>
                </c:pt>
                <c:pt idx="155">
                  <c:v>115.011737113202</c:v>
                </c:pt>
                <c:pt idx="156">
                  <c:v>112.80833081897535</c:v>
                </c:pt>
                <c:pt idx="157">
                  <c:v>110.56824509789176</c:v>
                </c:pt>
                <c:pt idx="158">
                  <c:v>108.29770110201697</c:v>
                </c:pt>
                <c:pt idx="159">
                  <c:v>106.00264112661795</c:v>
                </c:pt>
                <c:pt idx="160">
                  <c:v>103.68871473237506</c:v>
                </c:pt>
                <c:pt idx="161">
                  <c:v>101.36127397489258</c:v>
                </c:pt>
                <c:pt idx="162">
                  <c:v>99.025388149848183</c:v>
                </c:pt>
                <c:pt idx="163">
                  <c:v>96.685833384652085</c:v>
                </c:pt>
                <c:pt idx="164">
                  <c:v>94.347092204766227</c:v>
                </c:pt>
                <c:pt idx="165">
                  <c:v>92.013370447258112</c:v>
                </c:pt>
                <c:pt idx="166">
                  <c:v>89.688593357672985</c:v>
                </c:pt>
                <c:pt idx="167">
                  <c:v>87.376414697332152</c:v>
                </c:pt>
                <c:pt idx="168">
                  <c:v>85.080220212779835</c:v>
                </c:pt>
                <c:pt idx="169">
                  <c:v>82.803142814613651</c:v>
                </c:pt>
                <c:pt idx="170">
                  <c:v>80.548062577484586</c:v>
                </c:pt>
                <c:pt idx="171">
                  <c:v>78.317617148437876</c:v>
                </c:pt>
                <c:pt idx="172">
                  <c:v>76.114212588934691</c:v>
                </c:pt>
                <c:pt idx="173">
                  <c:v>73.940035951597366</c:v>
                </c:pt>
                <c:pt idx="174">
                  <c:v>71.797055280209406</c:v>
                </c:pt>
                <c:pt idx="175">
                  <c:v>69.687036523269356</c:v>
                </c:pt>
                <c:pt idx="176">
                  <c:v>67.611553942331653</c:v>
                </c:pt>
                <c:pt idx="177">
                  <c:v>65.571989678325778</c:v>
                </c:pt>
                <c:pt idx="178">
                  <c:v>63.569556736642333</c:v>
                </c:pt>
                <c:pt idx="179">
                  <c:v>61.605298119771227</c:v>
                </c:pt>
                <c:pt idx="180">
                  <c:v>59.680102873493901</c:v>
                </c:pt>
                <c:pt idx="181">
                  <c:v>57.794712158415471</c:v>
                </c:pt>
                <c:pt idx="182">
                  <c:v>55.949729224624711</c:v>
                </c:pt>
                <c:pt idx="183">
                  <c:v>54.14562201377926</c:v>
                </c:pt>
                <c:pt idx="184">
                  <c:v>52.382742457904307</c:v>
                </c:pt>
                <c:pt idx="185">
                  <c:v>50.661326913073459</c:v>
                </c:pt>
                <c:pt idx="186">
                  <c:v>48.981503748823933</c:v>
                </c:pt>
                <c:pt idx="187">
                  <c:v>47.343308526986981</c:v>
                </c:pt>
                <c:pt idx="188">
                  <c:v>45.74668595325182</c:v>
                </c:pt>
                <c:pt idx="189">
                  <c:v>44.191495081336022</c:v>
                </c:pt>
                <c:pt idx="190">
                  <c:v>42.677518853964649</c:v>
                </c:pt>
                <c:pt idx="191">
                  <c:v>41.204470391242864</c:v>
                </c:pt>
                <c:pt idx="192">
                  <c:v>39.771996460102876</c:v>
                </c:pt>
                <c:pt idx="193">
                  <c:v>38.37968723212348</c:v>
                </c:pt>
                <c:pt idx="194">
                  <c:v>37.027089944477453</c:v>
                </c:pt>
                <c:pt idx="195">
                  <c:v>35.713684180121994</c:v>
                </c:pt>
                <c:pt idx="196">
                  <c:v>34.438923718002613</c:v>
                </c:pt>
                <c:pt idx="197">
                  <c:v>33.202221787903554</c:v>
                </c:pt>
                <c:pt idx="198">
                  <c:v>32.002949769405213</c:v>
                </c:pt>
                <c:pt idx="199">
                  <c:v>30.840459526448871</c:v>
                </c:pt>
                <c:pt idx="200">
                  <c:v>29.714073649517172</c:v>
                </c:pt>
                <c:pt idx="201">
                  <c:v>28.623093695570589</c:v>
                </c:pt>
                <c:pt idx="202">
                  <c:v>27.566802356451813</c:v>
                </c:pt>
                <c:pt idx="203">
                  <c:v>26.544464543087898</c:v>
                </c:pt>
                <c:pt idx="204">
                  <c:v>25.555342022219598</c:v>
                </c:pt>
                <c:pt idx="205">
                  <c:v>24.598678129150731</c:v>
                </c:pt>
                <c:pt idx="206">
                  <c:v>23.673713054998824</c:v>
                </c:pt>
                <c:pt idx="207">
                  <c:v>22.779679943567277</c:v>
                </c:pt>
                <c:pt idx="208">
                  <c:v>21.915812914441446</c:v>
                </c:pt>
                <c:pt idx="209">
                  <c:v>21.081342726179951</c:v>
                </c:pt>
                <c:pt idx="210">
                  <c:v>20.275504582570324</c:v>
                </c:pt>
                <c:pt idx="211">
                  <c:v>19.49753379582031</c:v>
                </c:pt>
                <c:pt idx="212">
                  <c:v>18.746670882308081</c:v>
                </c:pt>
                <c:pt idx="213">
                  <c:v>18.022163947827018</c:v>
                </c:pt>
                <c:pt idx="214">
                  <c:v>17.323263374995069</c:v>
                </c:pt>
                <c:pt idx="215">
                  <c:v>16.649239387329928</c:v>
                </c:pt>
                <c:pt idx="216">
                  <c:v>15.999354402093658</c:v>
                </c:pt>
                <c:pt idx="217">
                  <c:v>15.372895122676978</c:v>
                </c:pt>
                <c:pt idx="218">
                  <c:v>14.769151721917561</c:v>
                </c:pt>
                <c:pt idx="219">
                  <c:v>14.187431828308062</c:v>
                </c:pt>
                <c:pt idx="220">
                  <c:v>13.627048382931772</c:v>
                </c:pt>
                <c:pt idx="221">
                  <c:v>13.087331240425881</c:v>
                </c:pt>
                <c:pt idx="222">
                  <c:v>12.567621422709951</c:v>
                </c:pt>
                <c:pt idx="223">
                  <c:v>12.067274588432875</c:v>
                </c:pt>
                <c:pt idx="224">
                  <c:v>11.585665098731019</c:v>
                </c:pt>
                <c:pt idx="225">
                  <c:v>11.122168019472163</c:v>
                </c:pt>
                <c:pt idx="226">
                  <c:v>10.676187852613067</c:v>
                </c:pt>
                <c:pt idx="227">
                  <c:v>10.247133274288862</c:v>
                </c:pt>
                <c:pt idx="228">
                  <c:v>9.8344299826087784</c:v>
                </c:pt>
                <c:pt idx="229">
                  <c:v>9.4375236792121342</c:v>
                </c:pt>
                <c:pt idx="230">
                  <c:v>9.0558655951693261</c:v>
                </c:pt>
                <c:pt idx="231">
                  <c:v>8.6889265856100746</c:v>
                </c:pt>
                <c:pt idx="232">
                  <c:v>8.3361936602764644</c:v>
                </c:pt>
                <c:pt idx="233">
                  <c:v>7.9971645083019851</c:v>
                </c:pt>
                <c:pt idx="234">
                  <c:v>7.6713501002967366</c:v>
                </c:pt>
                <c:pt idx="235">
                  <c:v>7.3582778325337328</c:v>
                </c:pt>
                <c:pt idx="236">
                  <c:v>7.0574920690499869</c:v>
                </c:pt>
                <c:pt idx="237">
                  <c:v>6.768543353834894</c:v>
                </c:pt>
                <c:pt idx="238">
                  <c:v>6.4910039149213006</c:v>
                </c:pt>
                <c:pt idx="239">
                  <c:v>6.2244505882012859</c:v>
                </c:pt>
                <c:pt idx="240">
                  <c:v>5.9684788578442953</c:v>
                </c:pt>
                <c:pt idx="241">
                  <c:v>5.7227013384140992</c:v>
                </c:pt>
                <c:pt idx="242">
                  <c:v>5.4867322707777282</c:v>
                </c:pt>
                <c:pt idx="243">
                  <c:v>5.2602067395889769</c:v>
                </c:pt>
                <c:pt idx="244">
                  <c:v>5.0427689639049449</c:v>
                </c:pt>
                <c:pt idx="245">
                  <c:v>4.8340741132246734</c:v>
                </c:pt>
                <c:pt idx="246">
                  <c:v>4.6337874401274073</c:v>
                </c:pt>
                <c:pt idx="247">
                  <c:v>4.441593821251713</c:v>
                </c:pt>
                <c:pt idx="248">
                  <c:v>4.2571777808704523</c:v>
                </c:pt>
                <c:pt idx="249">
                  <c:v>4.0802416783822242</c:v>
                </c:pt>
                <c:pt idx="250">
                  <c:v>3.9104946494492032</c:v>
                </c:pt>
                <c:pt idx="251">
                  <c:v>3.7476635293340332</c:v>
                </c:pt>
                <c:pt idx="252">
                  <c:v>3.5914720362181103</c:v>
                </c:pt>
                <c:pt idx="253">
                  <c:v>3.4416640273381844</c:v>
                </c:pt>
                <c:pt idx="254">
                  <c:v>3.2979898922490953</c:v>
                </c:pt>
                <c:pt idx="255">
                  <c:v>3.1602048452053499</c:v>
                </c:pt>
                <c:pt idx="256">
                  <c:v>3.0280827487388224</c:v>
                </c:pt>
                <c:pt idx="257">
                  <c:v>2.9013914209542748</c:v>
                </c:pt>
                <c:pt idx="258">
                  <c:v>2.7799206079454075</c:v>
                </c:pt>
                <c:pt idx="259">
                  <c:v>2.6634639047236344</c:v>
                </c:pt>
                <c:pt idx="260">
                  <c:v>2.5518164783935178</c:v>
                </c:pt>
                <c:pt idx="261">
                  <c:v>2.4447860050421863</c:v>
                </c:pt>
                <c:pt idx="262">
                  <c:v>2.3421892951600713</c:v>
                </c:pt>
                <c:pt idx="263">
                  <c:v>2.2438499355011827</c:v>
                </c:pt>
                <c:pt idx="264">
                  <c:v>2.1495921497883055</c:v>
                </c:pt>
                <c:pt idx="265">
                  <c:v>2.0592537549289638</c:v>
                </c:pt>
                <c:pt idx="266">
                  <c:v>1.9726730828267121</c:v>
                </c:pt>
                <c:pt idx="267">
                  <c:v>1.8897006762120736</c:v>
                </c:pt>
                <c:pt idx="268">
                  <c:v>1.8101889074067374</c:v>
                </c:pt>
                <c:pt idx="269">
                  <c:v>1.7339959221089607</c:v>
                </c:pt>
                <c:pt idx="270">
                  <c:v>1.6609829017830842</c:v>
                </c:pt>
                <c:pt idx="271">
                  <c:v>1.591027724606904</c:v>
                </c:pt>
                <c:pt idx="272">
                  <c:v>1.5239987142265723</c:v>
                </c:pt>
                <c:pt idx="273">
                  <c:v>1.4597770420839846</c:v>
                </c:pt>
                <c:pt idx="274">
                  <c:v>1.398247159332608</c:v>
                </c:pt>
                <c:pt idx="275">
                  <c:v>1.3392998054985104</c:v>
                </c:pt>
                <c:pt idx="276">
                  <c:v>1.2828271024655293</c:v>
                </c:pt>
                <c:pt idx="277">
                  <c:v>1.2287260103696975</c:v>
                </c:pt>
                <c:pt idx="278">
                  <c:v>1.1769000487701908</c:v>
                </c:pt>
                <c:pt idx="279">
                  <c:v>1.1272529066327746</c:v>
                </c:pt>
                <c:pt idx="280">
                  <c:v>1.079696350229399</c:v>
                </c:pt>
                <c:pt idx="281">
                  <c:v>1.0341425591840931</c:v>
                </c:pt>
                <c:pt idx="282">
                  <c:v>0.99050759591991566</c:v>
                </c:pt>
                <c:pt idx="283">
                  <c:v>0.94871292354199721</c:v>
                </c:pt>
                <c:pt idx="284">
                  <c:v>0.90868104870005939</c:v>
                </c:pt>
                <c:pt idx="285">
                  <c:v>0.87033572487632205</c:v>
                </c:pt>
                <c:pt idx="286">
                  <c:v>0.83361135783934992</c:v>
                </c:pt>
                <c:pt idx="287">
                  <c:v>0.79843611919521584</c:v>
                </c:pt>
                <c:pt idx="288">
                  <c:v>0.76474705745527982</c:v>
                </c:pt>
                <c:pt idx="289">
                  <c:v>0.7324816344829802</c:v>
                </c:pt>
                <c:pt idx="290">
                  <c:v>0.70158145243880143</c:v>
                </c:pt>
                <c:pt idx="291">
                  <c:v>0.67198408160639922</c:v>
                </c:pt>
                <c:pt idx="292">
                  <c:v>0.64364023822077043</c:v>
                </c:pt>
                <c:pt idx="293">
                  <c:v>0.61649741979171235</c:v>
                </c:pt>
                <c:pt idx="294">
                  <c:v>0.59049891576934066</c:v>
                </c:pt>
                <c:pt idx="295">
                  <c:v>0.56560383140296167</c:v>
                </c:pt>
                <c:pt idx="296">
                  <c:v>0.54176168352891918</c:v>
                </c:pt>
                <c:pt idx="297">
                  <c:v>0.51892711522695356</c:v>
                </c:pt>
                <c:pt idx="298">
                  <c:v>0.49706197613312053</c:v>
                </c:pt>
                <c:pt idx="299">
                  <c:v>0.47612242043393838</c:v>
                </c:pt>
                <c:pt idx="300">
                  <c:v>0.45606907126175511</c:v>
                </c:pt>
                <c:pt idx="301">
                  <c:v>0.43686382568647147</c:v>
                </c:pt>
                <c:pt idx="302">
                  <c:v>0.41847215864515735</c:v>
                </c:pt>
                <c:pt idx="303">
                  <c:v>0.40085962300191391</c:v>
                </c:pt>
                <c:pt idx="304">
                  <c:v>0.38399365881024855</c:v>
                </c:pt>
                <c:pt idx="305">
                  <c:v>0.36783919212988148</c:v>
                </c:pt>
                <c:pt idx="306">
                  <c:v>0.35237074082162745</c:v>
                </c:pt>
                <c:pt idx="307">
                  <c:v>0.3375577981468581</c:v>
                </c:pt>
                <c:pt idx="308">
                  <c:v>0.32337165985305699</c:v>
                </c:pt>
                <c:pt idx="309">
                  <c:v>0.30978754175618739</c:v>
                </c:pt>
                <c:pt idx="310">
                  <c:v>0.29677696322043084</c:v>
                </c:pt>
                <c:pt idx="311">
                  <c:v>0.28432124547523446</c:v>
                </c:pt>
                <c:pt idx="312">
                  <c:v>0.27238792344179591</c:v>
                </c:pt>
                <c:pt idx="313">
                  <c:v>0.26096039188621722</c:v>
                </c:pt>
                <c:pt idx="314">
                  <c:v>0.25001566911057349</c:v>
                </c:pt>
                <c:pt idx="315">
                  <c:v>0.23953904045850502</c:v>
                </c:pt>
                <c:pt idx="316">
                  <c:v>0.22950308747350917</c:v>
                </c:pt>
                <c:pt idx="317">
                  <c:v>0.21988741190815017</c:v>
                </c:pt>
                <c:pt idx="318">
                  <c:v>0.21068289291165196</c:v>
                </c:pt>
                <c:pt idx="319">
                  <c:v>0.20186653353949663</c:v>
                </c:pt>
                <c:pt idx="320">
                  <c:v>0.19342281445402457</c:v>
                </c:pt>
                <c:pt idx="321">
                  <c:v>0.18533363625521884</c:v>
                </c:pt>
                <c:pt idx="322">
                  <c:v>0.17758810779344367</c:v>
                </c:pt>
                <c:pt idx="323">
                  <c:v>0.17017069448444638</c:v>
                </c:pt>
                <c:pt idx="324">
                  <c:v>0.1630653264191517</c:v>
                </c:pt>
                <c:pt idx="325">
                  <c:v>0.15626367556962217</c:v>
                </c:pt>
                <c:pt idx="326">
                  <c:v>0.14974294150298367</c:v>
                </c:pt>
                <c:pt idx="327">
                  <c:v>0.14350107101137199</c:v>
                </c:pt>
                <c:pt idx="328">
                  <c:v>0.13752033569520117</c:v>
                </c:pt>
                <c:pt idx="329">
                  <c:v>0.13179659695149085</c:v>
                </c:pt>
                <c:pt idx="330">
                  <c:v>0.12630650208188526</c:v>
                </c:pt>
                <c:pt idx="331">
                  <c:v>0.12105381021860433</c:v>
                </c:pt>
                <c:pt idx="332">
                  <c:v>0.11601816546585962</c:v>
                </c:pt>
                <c:pt idx="333">
                  <c:v>0.11119850479730234</c:v>
                </c:pt>
                <c:pt idx="334">
                  <c:v>0.10657930209900932</c:v>
                </c:pt>
                <c:pt idx="335">
                  <c:v>0.10215556919395416</c:v>
                </c:pt>
                <c:pt idx="336">
                  <c:v>9.7916234514483336E-2</c:v>
                </c:pt>
                <c:pt idx="337">
                  <c:v>9.3857499964861327E-2</c:v>
                </c:pt>
                <c:pt idx="338">
                  <c:v>8.9966383918138521E-2</c:v>
                </c:pt>
                <c:pt idx="339">
                  <c:v>8.6238039651790735E-2</c:v>
                </c:pt>
                <c:pt idx="340">
                  <c:v>8.266823962437822E-2</c:v>
                </c:pt>
                <c:pt idx="341">
                  <c:v>7.9248540611482746E-2</c:v>
                </c:pt>
                <c:pt idx="342">
                  <c:v>7.5973928178056566E-2</c:v>
                </c:pt>
                <c:pt idx="343">
                  <c:v>7.2835711766060851E-2</c:v>
                </c:pt>
                <c:pt idx="344">
                  <c:v>6.9826240126883057E-2</c:v>
                </c:pt>
                <c:pt idx="345">
                  <c:v>6.6945898660514175E-2</c:v>
                </c:pt>
                <c:pt idx="346">
                  <c:v>6.4182944949206427E-2</c:v>
                </c:pt>
                <c:pt idx="347">
                  <c:v>6.1537966833825203E-2</c:v>
                </c:pt>
                <c:pt idx="348">
                  <c:v>5.9005763532074366E-2</c:v>
                </c:pt>
                <c:pt idx="349">
                  <c:v>5.6573578727768269E-2</c:v>
                </c:pt>
                <c:pt idx="350">
                  <c:v>5.4247514446258922E-2</c:v>
                </c:pt>
                <c:pt idx="351">
                  <c:v>5.2018819566651768E-2</c:v>
                </c:pt>
                <c:pt idx="352">
                  <c:v>4.9879222388700406E-2</c:v>
                </c:pt>
                <c:pt idx="353">
                  <c:v>4.7832685756048557E-2</c:v>
                </c:pt>
                <c:pt idx="354">
                  <c:v>4.5869623373315675E-2</c:v>
                </c:pt>
                <c:pt idx="355">
                  <c:v>4.3989820517649623E-2</c:v>
                </c:pt>
                <c:pt idx="356">
                  <c:v>4.2186608498656672E-2</c:v>
                </c:pt>
                <c:pt idx="357">
                  <c:v>4.0459890331064369E-2</c:v>
                </c:pt>
                <c:pt idx="358">
                  <c:v>3.8803566954135997E-2</c:v>
                </c:pt>
                <c:pt idx="359">
                  <c:v>3.721620518812481E-2</c:v>
                </c:pt>
                <c:pt idx="360">
                  <c:v>3.5694475770031625E-2</c:v>
                </c:pt>
                <c:pt idx="361">
                  <c:v>3.4236656681874665E-2</c:v>
                </c:pt>
                <c:pt idx="362">
                  <c:v>3.2839616866364413E-2</c:v>
                </c:pt>
                <c:pt idx="363">
                  <c:v>3.14990584783265E-2</c:v>
                </c:pt>
                <c:pt idx="364">
                  <c:v>3.0214657951175075E-2</c:v>
                </c:pt>
                <c:pt idx="365">
                  <c:v>2.8988072928387912E-2</c:v>
                </c:pt>
                <c:pt idx="366">
                  <c:v>2.7806152376425943E-2</c:v>
                </c:pt>
                <c:pt idx="367">
                  <c:v>2.6674501112301147E-2</c:v>
                </c:pt>
                <c:pt idx="368">
                  <c:v>2.5591018494304334E-2</c:v>
                </c:pt>
                <c:pt idx="369">
                  <c:v>2.4554029091265837E-2</c:v>
                </c:pt>
                <c:pt idx="370">
                  <c:v>2.3558806459339977E-2</c:v>
                </c:pt>
                <c:pt idx="371">
                  <c:v>2.2601067788187195E-2</c:v>
                </c:pt>
                <c:pt idx="372">
                  <c:v>2.1687579176990164E-2</c:v>
                </c:pt>
                <c:pt idx="373">
                  <c:v>2.080895655948449E-2</c:v>
                </c:pt>
                <c:pt idx="374">
                  <c:v>1.9963772685154046E-2</c:v>
                </c:pt>
                <c:pt idx="375">
                  <c:v>1.9158216823744419E-2</c:v>
                </c:pt>
                <c:pt idx="376">
                  <c:v>1.8386850388459532E-2</c:v>
                </c:pt>
                <c:pt idx="377">
                  <c:v>1.7645109989296043E-2</c:v>
                </c:pt>
                <c:pt idx="378">
                  <c:v>1.6931993586277359E-2</c:v>
                </c:pt>
                <c:pt idx="379">
                  <c:v>1.6247898649613974E-2</c:v>
                </c:pt>
                <c:pt idx="380">
                  <c:v>1.5593783808843945E-2</c:v>
                </c:pt>
                <c:pt idx="381">
                  <c:v>1.4966084749325226E-2</c:v>
                </c:pt>
                <c:pt idx="382">
                  <c:v>1.4365349713132925E-2</c:v>
                </c:pt>
                <c:pt idx="383">
                  <c:v>1.3787274925862047E-2</c:v>
                </c:pt>
                <c:pt idx="384">
                  <c:v>1.3234636961513687E-2</c:v>
                </c:pt>
                <c:pt idx="385">
                  <c:v>1.2703640265451203E-2</c:v>
                </c:pt>
                <c:pt idx="386">
                  <c:v>1.2193880167684041E-2</c:v>
                </c:pt>
                <c:pt idx="387">
                  <c:v>1.1706317838849099E-2</c:v>
                </c:pt>
                <c:pt idx="388">
                  <c:v>1.1234109676249035E-2</c:v>
                </c:pt>
                <c:pt idx="389">
                  <c:v>1.0786303897584656E-2</c:v>
                </c:pt>
                <c:pt idx="390">
                  <c:v>1.0354810067660265E-2</c:v>
                </c:pt>
                <c:pt idx="391">
                  <c:v>9.9410311906738685E-3</c:v>
                </c:pt>
                <c:pt idx="392">
                  <c:v>9.5462440629143358E-3</c:v>
                </c:pt>
                <c:pt idx="393">
                  <c:v>9.1629777479077627E-3</c:v>
                </c:pt>
                <c:pt idx="394">
                  <c:v>8.7983412873013367E-3</c:v>
                </c:pt>
                <c:pt idx="395">
                  <c:v>8.4476534476329405E-3</c:v>
                </c:pt>
                <c:pt idx="396">
                  <c:v>8.1124151712851072E-3</c:v>
                </c:pt>
                <c:pt idx="397">
                  <c:v>7.7923303143636533E-3</c:v>
                </c:pt>
                <c:pt idx="398">
                  <c:v>7.4795800216115923E-3</c:v>
                </c:pt>
                <c:pt idx="399">
                  <c:v>7.186320698129682E-3</c:v>
                </c:pt>
                <c:pt idx="400">
                  <c:v>6.8983316136455881E-3</c:v>
                </c:pt>
                <c:pt idx="401">
                  <c:v>6.6261534579131797E-3</c:v>
                </c:pt>
                <c:pt idx="402">
                  <c:v>6.3624266792911199E-3</c:v>
                </c:pt>
                <c:pt idx="403">
                  <c:v>6.1110341826887396E-3</c:v>
                </c:pt>
                <c:pt idx="404">
                  <c:v>5.8706901720921084E-3</c:v>
                </c:pt>
                <c:pt idx="405">
                  <c:v>5.6404601584021663E-3</c:v>
                </c:pt>
                <c:pt idx="406">
                  <c:v>5.4167147113190484E-3</c:v>
                </c:pt>
                <c:pt idx="407">
                  <c:v>5.20327336709972E-3</c:v>
                </c:pt>
                <c:pt idx="408">
                  <c:v>4.9966378796720201E-3</c:v>
                </c:pt>
                <c:pt idx="409">
                  <c:v>4.7999742464345501E-3</c:v>
                </c:pt>
                <c:pt idx="410">
                  <c:v>4.6122585633727549E-3</c:v>
                </c:pt>
                <c:pt idx="411">
                  <c:v>4.4279769636373662E-3</c:v>
                </c:pt>
                <c:pt idx="412">
                  <c:v>4.2557083557368527E-3</c:v>
                </c:pt>
                <c:pt idx="413">
                  <c:v>4.0886476240334134E-3</c:v>
                </c:pt>
                <c:pt idx="414">
                  <c:v>3.925699025530657E-3</c:v>
                </c:pt>
                <c:pt idx="415">
                  <c:v>3.7737221506728034E-3</c:v>
                </c:pt>
                <c:pt idx="416">
                  <c:v>3.6284645234877229E-3</c:v>
                </c:pt>
                <c:pt idx="417">
                  <c:v>3.4866384914697653E-3</c:v>
                </c:pt>
                <c:pt idx="418">
                  <c:v>3.3471973336543612E-3</c:v>
                </c:pt>
                <c:pt idx="419">
                  <c:v>3.2184631487482845E-3</c:v>
                </c:pt>
                <c:pt idx="420">
                  <c:v>3.0960309948488982E-3</c:v>
                </c:pt>
                <c:pt idx="421">
                  <c:v>2.9710010967794014E-3</c:v>
                </c:pt>
                <c:pt idx="422">
                  <c:v>2.8545198257905096E-3</c:v>
                </c:pt>
                <c:pt idx="423">
                  <c:v>2.7465928464150569E-3</c:v>
                </c:pt>
                <c:pt idx="424">
                  <c:v>2.6386699963252226E-3</c:v>
                </c:pt>
                <c:pt idx="425">
                  <c:v>2.5371832202059812E-3</c:v>
                </c:pt>
                <c:pt idx="426">
                  <c:v>2.4405853329698348E-3</c:v>
                </c:pt>
                <c:pt idx="427">
                  <c:v>2.3452723682448932E-3</c:v>
                </c:pt>
                <c:pt idx="428">
                  <c:v>2.2503074811217141E-3</c:v>
                </c:pt>
                <c:pt idx="429">
                  <c:v>2.1638763185932242E-3</c:v>
                </c:pt>
                <c:pt idx="430">
                  <c:v>2.0813869032941211E-3</c:v>
                </c:pt>
                <c:pt idx="431">
                  <c:v>1.9989200667170177E-3</c:v>
                </c:pt>
                <c:pt idx="432">
                  <c:v>1.9231480197363351E-3</c:v>
                </c:pt>
                <c:pt idx="433">
                  <c:v>1.8469764114325648E-3</c:v>
                </c:pt>
                <c:pt idx="434">
                  <c:v>1.7798636352112222E-3</c:v>
                </c:pt>
                <c:pt idx="435">
                  <c:v>1.7099336803468707E-3</c:v>
                </c:pt>
                <c:pt idx="436">
                  <c:v>1.6430065631596544E-3</c:v>
                </c:pt>
                <c:pt idx="437">
                  <c:v>1.5790159239121113E-3</c:v>
                </c:pt>
                <c:pt idx="438">
                  <c:v>1.5168161770128599E-3</c:v>
                </c:pt>
                <c:pt idx="439">
                  <c:v>1.4624479643950237E-3</c:v>
                </c:pt>
                <c:pt idx="440">
                  <c:v>1.4045181899922201E-3</c:v>
                </c:pt>
                <c:pt idx="441">
                  <c:v>1.3544403580709045E-3</c:v>
                </c:pt>
                <c:pt idx="442">
                  <c:v>1.3004312609529245E-3</c:v>
                </c:pt>
                <c:pt idx="443">
                  <c:v>1.2501386003003618E-3</c:v>
                </c:pt>
                <c:pt idx="444">
                  <c:v>1.2020574367939613E-3</c:v>
                </c:pt>
                <c:pt idx="445">
                  <c:v>1.1574371440309238E-3</c:v>
                </c:pt>
                <c:pt idx="446">
                  <c:v>1.1098508198192872E-3</c:v>
                </c:pt>
                <c:pt idx="447">
                  <c:v>1.0688313170545869E-3</c:v>
                </c:pt>
                <c:pt idx="448">
                  <c:v>1.0312829553077345E-3</c:v>
                </c:pt>
                <c:pt idx="449">
                  <c:v>9.8913636932759395E-4</c:v>
                </c:pt>
                <c:pt idx="450">
                  <c:v>9.5202448101148378E-4</c:v>
                </c:pt>
                <c:pt idx="451">
                  <c:v>9.1688407511499785E-4</c:v>
                </c:pt>
                <c:pt idx="452">
                  <c:v>8.8007979210763911E-4</c:v>
                </c:pt>
                <c:pt idx="453">
                  <c:v>8.4802847566512016E-4</c:v>
                </c:pt>
                <c:pt idx="454">
                  <c:v>8.1376210189108226E-4</c:v>
                </c:pt>
                <c:pt idx="455">
                  <c:v>7.8823587728795732E-4</c:v>
                </c:pt>
                <c:pt idx="456">
                  <c:v>7.5380987750803133E-4</c:v>
                </c:pt>
                <c:pt idx="457">
                  <c:v>7.2598843184586365E-4</c:v>
                </c:pt>
                <c:pt idx="458">
                  <c:v>7.0176081462999785E-4</c:v>
                </c:pt>
                <c:pt idx="459">
                  <c:v>6.7189194475052866E-4</c:v>
                </c:pt>
                <c:pt idx="460">
                  <c:v>6.5028707241160724E-4</c:v>
                </c:pt>
                <c:pt idx="461">
                  <c:v>6.2377102363516659E-4</c:v>
                </c:pt>
                <c:pt idx="462">
                  <c:v>5.9717952275197136E-4</c:v>
                </c:pt>
                <c:pt idx="463">
                  <c:v>5.7559022787834549E-4</c:v>
                </c:pt>
                <c:pt idx="464">
                  <c:v>5.5648985991088769E-4</c:v>
                </c:pt>
                <c:pt idx="465">
                  <c:v>5.3232728556094813E-4</c:v>
                </c:pt>
                <c:pt idx="466">
                  <c:v>5.1722597851315956E-4</c:v>
                </c:pt>
                <c:pt idx="467">
                  <c:v>4.9329846904097292E-4</c:v>
                </c:pt>
                <c:pt idx="468">
                  <c:v>4.7879783408424079E-4</c:v>
                </c:pt>
                <c:pt idx="469">
                  <c:v>4.574569051526177E-4</c:v>
                </c:pt>
                <c:pt idx="470">
                  <c:v>4.4129954654294998E-4</c:v>
                </c:pt>
                <c:pt idx="471">
                  <c:v>4.2554826743959682E-4</c:v>
                </c:pt>
                <c:pt idx="472">
                  <c:v>4.0661608183428327E-4</c:v>
                </c:pt>
                <c:pt idx="473">
                  <c:v>3.9139808276312057E-4</c:v>
                </c:pt>
                <c:pt idx="474">
                  <c:v>3.7799874283905171E-4</c:v>
                </c:pt>
                <c:pt idx="475">
                  <c:v>3.6699998693173009E-4</c:v>
                </c:pt>
                <c:pt idx="476">
                  <c:v>3.5121405888687831E-4</c:v>
                </c:pt>
                <c:pt idx="477">
                  <c:v>3.381653178110788E-4</c:v>
                </c:pt>
                <c:pt idx="478">
                  <c:v>3.2261225765227295E-4</c:v>
                </c:pt>
                <c:pt idx="479">
                  <c:v>3.1730613225076172E-4</c:v>
                </c:pt>
                <c:pt idx="480">
                  <c:v>3.0089364467040305E-4</c:v>
                </c:pt>
                <c:pt idx="481">
                  <c:v>2.8995383696225446E-4</c:v>
                </c:pt>
                <c:pt idx="482">
                  <c:v>2.8019471377323951E-4</c:v>
                </c:pt>
                <c:pt idx="483">
                  <c:v>2.6931317266743913E-4</c:v>
                </c:pt>
                <c:pt idx="484">
                  <c:v>2.5944822991702152E-4</c:v>
                </c:pt>
                <c:pt idx="485">
                  <c:v>2.5126905809392982E-4</c:v>
                </c:pt>
                <c:pt idx="486">
                  <c:v>2.4415814040111366E-4</c:v>
                </c:pt>
                <c:pt idx="487">
                  <c:v>2.3133184142691944E-4</c:v>
                </c:pt>
                <c:pt idx="488">
                  <c:v>2.2483715343812053E-4</c:v>
                </c:pt>
                <c:pt idx="489">
                  <c:v>2.143453169712286E-4</c:v>
                </c:pt>
                <c:pt idx="490">
                  <c:v>2.0764750981993362E-4</c:v>
                </c:pt>
                <c:pt idx="491">
                  <c:v>1.9869711780708935E-4</c:v>
                </c:pt>
                <c:pt idx="492">
                  <c:v>1.8987495202408059E-4</c:v>
                </c:pt>
                <c:pt idx="493">
                  <c:v>1.8604390472171063E-4</c:v>
                </c:pt>
                <c:pt idx="494">
                  <c:v>1.8034396193928532E-4</c:v>
                </c:pt>
                <c:pt idx="495">
                  <c:v>1.6856932054355636E-4</c:v>
                </c:pt>
                <c:pt idx="496">
                  <c:v>1.6715406083759243E-4</c:v>
                </c:pt>
                <c:pt idx="497">
                  <c:v>1.6259571332727401E-4</c:v>
                </c:pt>
                <c:pt idx="498">
                  <c:v>1.5178447264737328E-4</c:v>
                </c:pt>
                <c:pt idx="499">
                  <c:v>1.4709849778598284E-4</c:v>
                </c:pt>
                <c:pt idx="500">
                  <c:v>1.4409712587289337E-4</c:v>
                </c:pt>
                <c:pt idx="501">
                  <c:v>1.4024398623072335E-4</c:v>
                </c:pt>
                <c:pt idx="502">
                  <c:v>1.2991735758449295E-4</c:v>
                </c:pt>
                <c:pt idx="503">
                  <c:v>1.2701334152077855E-4</c:v>
                </c:pt>
                <c:pt idx="504">
                  <c:v>1.2061562556955045E-4</c:v>
                </c:pt>
                <c:pt idx="505">
                  <c:v>1.1823770299286466E-4</c:v>
                </c:pt>
                <c:pt idx="506">
                  <c:v>1.1202838404359043E-4</c:v>
                </c:pt>
                <c:pt idx="507">
                  <c:v>1.1034611870770051E-4</c:v>
                </c:pt>
                <c:pt idx="508">
                  <c:v>1.0642864426620857E-4</c:v>
                </c:pt>
                <c:pt idx="509">
                  <c:v>1.0222400745762396E-4</c:v>
                </c:pt>
                <c:pt idx="510">
                  <c:v>1.0281125771606107E-4</c:v>
                </c:pt>
                <c:pt idx="511">
                  <c:v>9.450723456003308E-5</c:v>
                </c:pt>
                <c:pt idx="512">
                  <c:v>9.2395258822089221E-5</c:v>
                </c:pt>
                <c:pt idx="513">
                  <c:v>8.5868090759357805E-5</c:v>
                </c:pt>
                <c:pt idx="514">
                  <c:v>8.6079647164101917E-5</c:v>
                </c:pt>
                <c:pt idx="515">
                  <c:v>8.3284048008913601E-5</c:v>
                </c:pt>
                <c:pt idx="516">
                  <c:v>7.7994108877628781E-5</c:v>
                </c:pt>
                <c:pt idx="517">
                  <c:v>7.7390262067381403E-5</c:v>
                </c:pt>
                <c:pt idx="518">
                  <c:v>7.2576889811129202E-5</c:v>
                </c:pt>
                <c:pt idx="519">
                  <c:v>7.0385086180990293E-5</c:v>
                </c:pt>
                <c:pt idx="520">
                  <c:v>7.080730563541696E-5</c:v>
                </c:pt>
                <c:pt idx="521">
                  <c:v>6.7496955293759345E-5</c:v>
                </c:pt>
                <c:pt idx="522">
                  <c:v>6.2478801241979849E-5</c:v>
                </c:pt>
                <c:pt idx="523">
                  <c:v>6.5271735221234526E-5</c:v>
                </c:pt>
                <c:pt idx="524">
                  <c:v>5.8449912189421921E-5</c:v>
                </c:pt>
                <c:pt idx="525">
                  <c:v>5.5679570167057299E-5</c:v>
                </c:pt>
                <c:pt idx="526">
                  <c:v>5.6971373993778303E-5</c:v>
                </c:pt>
                <c:pt idx="527">
                  <c:v>5.2299775531434023E-5</c:v>
                </c:pt>
                <c:pt idx="528">
                  <c:v>5.4876492770373457E-5</c:v>
                </c:pt>
                <c:pt idx="529">
                  <c:v>4.9769189328076055E-5</c:v>
                </c:pt>
                <c:pt idx="530">
                  <c:v>4.5471570801195574E-5</c:v>
                </c:pt>
                <c:pt idx="531">
                  <c:v>4.4199199101424673E-5</c:v>
                </c:pt>
                <c:pt idx="532">
                  <c:v>4.1506298555187875E-5</c:v>
                </c:pt>
                <c:pt idx="533">
                  <c:v>4.1274205737375912E-5</c:v>
                </c:pt>
                <c:pt idx="534">
                  <c:v>3.970157574705438E-5</c:v>
                </c:pt>
                <c:pt idx="535">
                  <c:v>4.0014879503045581E-5</c:v>
                </c:pt>
                <c:pt idx="536">
                  <c:v>3.9989679445684149E-5</c:v>
                </c:pt>
                <c:pt idx="537">
                  <c:v>3.5880520786484076E-5</c:v>
                </c:pt>
                <c:pt idx="538">
                  <c:v>3.522221488624804E-5</c:v>
                </c:pt>
                <c:pt idx="539">
                  <c:v>3.6978530257754315E-5</c:v>
                </c:pt>
                <c:pt idx="540">
                  <c:v>3.0210279578313714E-5</c:v>
                </c:pt>
                <c:pt idx="541">
                  <c:v>3.3943402758227794E-5</c:v>
                </c:pt>
                <c:pt idx="542">
                  <c:v>2.9167557204825293E-5</c:v>
                </c:pt>
                <c:pt idx="543">
                  <c:v>2.8386459651378207E-5</c:v>
                </c:pt>
                <c:pt idx="544">
                  <c:v>2.9393210421568534E-5</c:v>
                </c:pt>
                <c:pt idx="545">
                  <c:v>2.7288893548916296E-5</c:v>
                </c:pt>
                <c:pt idx="546">
                  <c:v>2.7521983946547001E-5</c:v>
                </c:pt>
                <c:pt idx="547">
                  <c:v>2.2939927371921282E-5</c:v>
                </c:pt>
                <c:pt idx="548">
                  <c:v>2.8994417135679677E-5</c:v>
                </c:pt>
                <c:pt idx="549">
                  <c:v>2.522726539972639E-5</c:v>
                </c:pt>
                <c:pt idx="550">
                  <c:v>2.3243351696266451E-5</c:v>
                </c:pt>
                <c:pt idx="551">
                  <c:v>1.803895917034156E-5</c:v>
                </c:pt>
                <c:pt idx="552">
                  <c:v>2.0175583236178282E-5</c:v>
                </c:pt>
                <c:pt idx="553">
                  <c:v>2.1879554204931897E-5</c:v>
                </c:pt>
                <c:pt idx="554">
                  <c:v>1.977368347349898E-5</c:v>
                </c:pt>
                <c:pt idx="555">
                  <c:v>1.7209067059740584E-5</c:v>
                </c:pt>
                <c:pt idx="556">
                  <c:v>1.5849044407131415E-5</c:v>
                </c:pt>
                <c:pt idx="557">
                  <c:v>1.9655333366587035E-5</c:v>
                </c:pt>
                <c:pt idx="558">
                  <c:v>1.8489709738456406E-5</c:v>
                </c:pt>
                <c:pt idx="559">
                  <c:v>1.5142886935639795E-5</c:v>
                </c:pt>
                <c:pt idx="560">
                  <c:v>1.5813683263125385E-5</c:v>
                </c:pt>
                <c:pt idx="561">
                  <c:v>1.3733847627882267E-5</c:v>
                </c:pt>
                <c:pt idx="562">
                  <c:v>1.6301404668718289E-5</c:v>
                </c:pt>
                <c:pt idx="563">
                  <c:v>1.7780777076009672E-5</c:v>
                </c:pt>
                <c:pt idx="564">
                  <c:v>1.6488310264027708E-5</c:v>
                </c:pt>
                <c:pt idx="565">
                  <c:v>1.2406243424249971E-5</c:v>
                </c:pt>
                <c:pt idx="566">
                  <c:v>1.2355561240938235E-5</c:v>
                </c:pt>
                <c:pt idx="567">
                  <c:v>1.4686252218237553E-5</c:v>
                </c:pt>
                <c:pt idx="568">
                  <c:v>1.1342482952652183E-5</c:v>
                </c:pt>
                <c:pt idx="569">
                  <c:v>1.1487976784569902E-5</c:v>
                </c:pt>
                <c:pt idx="570">
                  <c:v>1.2806867054039258E-5</c:v>
                </c:pt>
                <c:pt idx="571">
                  <c:v>7.2933325245800752E-6</c:v>
                </c:pt>
                <c:pt idx="572">
                  <c:v>8.7241326795071903E-6</c:v>
                </c:pt>
                <c:pt idx="573">
                  <c:v>1.0770107262785144E-5</c:v>
                </c:pt>
                <c:pt idx="574">
                  <c:v>7.0576875864226532E-6</c:v>
                </c:pt>
                <c:pt idx="575">
                  <c:v>8.0995767822390795E-6</c:v>
                </c:pt>
                <c:pt idx="576">
                  <c:v>8.4992568057445953E-6</c:v>
                </c:pt>
                <c:pt idx="577">
                  <c:v>9.6492818754740069E-6</c:v>
                </c:pt>
                <c:pt idx="578">
                  <c:v>1.2520151778067659E-5</c:v>
                </c:pt>
                <c:pt idx="579">
                  <c:v>6.6361915014416638E-6</c:v>
                </c:pt>
                <c:pt idx="580">
                  <c:v>7.2122861953427421E-6</c:v>
                </c:pt>
                <c:pt idx="581">
                  <c:v>7.8304585330286272E-6</c:v>
                </c:pt>
                <c:pt idx="582">
                  <c:v>5.5370152919174182E-6</c:v>
                </c:pt>
                <c:pt idx="583">
                  <c:v>6.2319036683339213E-6</c:v>
                </c:pt>
                <c:pt idx="584">
                  <c:v>1.0486334268252396E-5</c:v>
                </c:pt>
                <c:pt idx="585">
                  <c:v>4.7715719247677451E-6</c:v>
                </c:pt>
                <c:pt idx="586">
                  <c:v>7.2447052647050735E-6</c:v>
                </c:pt>
                <c:pt idx="587">
                  <c:v>8.0908055658187212E-6</c:v>
                </c:pt>
                <c:pt idx="588">
                  <c:v>6.5432101967361093E-6</c:v>
                </c:pt>
                <c:pt idx="589">
                  <c:v>3.1398220952961331E-6</c:v>
                </c:pt>
                <c:pt idx="590">
                  <c:v>4.6358474060770088E-6</c:v>
                </c:pt>
                <c:pt idx="591">
                  <c:v>6.7230666622629288E-6</c:v>
                </c:pt>
                <c:pt idx="592">
                  <c:v>5.8372750300341137E-6</c:v>
                </c:pt>
                <c:pt idx="593">
                  <c:v>6.0856876043438686E-6</c:v>
                </c:pt>
                <c:pt idx="594">
                  <c:v>8.2672758641104778E-6</c:v>
                </c:pt>
                <c:pt idx="595">
                  <c:v>4.9875660501006281E-6</c:v>
                </c:pt>
                <c:pt idx="596">
                  <c:v>1.7194023332735233E-6</c:v>
                </c:pt>
                <c:pt idx="597">
                  <c:v>6.4616644572039474E-6</c:v>
                </c:pt>
                <c:pt idx="598">
                  <c:v>7.452925236448453E-7</c:v>
                </c:pt>
                <c:pt idx="599">
                  <c:v>4.170996924035737E-6</c:v>
                </c:pt>
                <c:pt idx="600">
                  <c:v>4.5758395885393494E-6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BC-4DF1-A08B-EA16715DB54F}"/>
            </c:ext>
          </c:extLst>
        </c:ser>
        <c:ser>
          <c:idx val="2"/>
          <c:order val="2"/>
          <c:tx>
            <c:strRef>
              <c:f>Densities!$U$4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Densities!$U$5:$U$605</c:f>
              <c:numCache>
                <c:formatCode>0</c:formatCode>
                <c:ptCount val="601"/>
                <c:pt idx="0">
                  <c:v>1.3440176921011954E-3</c:v>
                </c:pt>
                <c:pt idx="1">
                  <c:v>1.5647458241920976E-3</c:v>
                </c:pt>
                <c:pt idx="2">
                  <c:v>1.8197364836671892E-3</c:v>
                </c:pt>
                <c:pt idx="3">
                  <c:v>2.1155182911183575E-3</c:v>
                </c:pt>
                <c:pt idx="4">
                  <c:v>2.4551253946632837E-3</c:v>
                </c:pt>
                <c:pt idx="5">
                  <c:v>2.8477308037787069E-3</c:v>
                </c:pt>
                <c:pt idx="6">
                  <c:v>3.2996453672166481E-3</c:v>
                </c:pt>
                <c:pt idx="7">
                  <c:v>3.8185374065974973E-3</c:v>
                </c:pt>
                <c:pt idx="8">
                  <c:v>4.4160696656324406E-3</c:v>
                </c:pt>
                <c:pt idx="9">
                  <c:v>5.0996373176687149E-3</c:v>
                </c:pt>
                <c:pt idx="10">
                  <c:v>5.8840718566731823E-3</c:v>
                </c:pt>
                <c:pt idx="11">
                  <c:v>6.7829805096014601E-3</c:v>
                </c:pt>
                <c:pt idx="12">
                  <c:v>7.8106191718280817E-3</c:v>
                </c:pt>
                <c:pt idx="13">
                  <c:v>8.9839043420068022E-3</c:v>
                </c:pt>
                <c:pt idx="14">
                  <c:v>1.032531976856866E-2</c:v>
                </c:pt>
                <c:pt idx="15">
                  <c:v>1.1853944286315404E-2</c:v>
                </c:pt>
                <c:pt idx="16">
                  <c:v>1.3593485619521745E-2</c:v>
                </c:pt>
                <c:pt idx="17">
                  <c:v>1.5573573523313119E-2</c:v>
                </c:pt>
                <c:pt idx="18">
                  <c:v>1.7823934764557205E-2</c:v>
                </c:pt>
                <c:pt idx="19">
                  <c:v>2.0377825736117555E-2</c:v>
                </c:pt>
                <c:pt idx="20">
                  <c:v>2.327487656849736E-2</c:v>
                </c:pt>
                <c:pt idx="21">
                  <c:v>2.6557643388106757E-2</c:v>
                </c:pt>
                <c:pt idx="22">
                  <c:v>3.0270740479068817E-2</c:v>
                </c:pt>
                <c:pt idx="23">
                  <c:v>3.4469472104817427E-2</c:v>
                </c:pt>
                <c:pt idx="24">
                  <c:v>3.9208782486844333E-2</c:v>
                </c:pt>
                <c:pt idx="25">
                  <c:v>4.4555212998238621E-2</c:v>
                </c:pt>
                <c:pt idx="26">
                  <c:v>5.0580690659326244E-2</c:v>
                </c:pt>
                <c:pt idx="27">
                  <c:v>5.73603083290131E-2</c:v>
                </c:pt>
                <c:pt idx="28">
                  <c:v>6.4983359108867975E-2</c:v>
                </c:pt>
                <c:pt idx="29">
                  <c:v>7.3544632391375306E-2</c:v>
                </c:pt>
                <c:pt idx="30">
                  <c:v>8.3148358757068289E-2</c:v>
                </c:pt>
                <c:pt idx="31">
                  <c:v>9.3910868863889857E-2</c:v>
                </c:pt>
                <c:pt idx="32">
                  <c:v>0.10595941543612136</c:v>
                </c:pt>
                <c:pt idx="33">
                  <c:v>0.11943059418321057</c:v>
                </c:pt>
                <c:pt idx="34">
                  <c:v>0.13447927226818962</c:v>
                </c:pt>
                <c:pt idx="35">
                  <c:v>0.15126866235208256</c:v>
                </c:pt>
                <c:pt idx="36">
                  <c:v>0.16998066857196051</c:v>
                </c:pt>
                <c:pt idx="37">
                  <c:v>0.19081248633893316</c:v>
                </c:pt>
                <c:pt idx="38">
                  <c:v>0.21398026342630497</c:v>
                </c:pt>
                <c:pt idx="39">
                  <c:v>0.23971687968446229</c:v>
                </c:pt>
                <c:pt idx="40">
                  <c:v>0.2682740868578562</c:v>
                </c:pt>
                <c:pt idx="41">
                  <c:v>0.29992913534726551</c:v>
                </c:pt>
                <c:pt idx="42">
                  <c:v>0.33497700691767041</c:v>
                </c:pt>
                <c:pt idx="43">
                  <c:v>0.37374115126437529</c:v>
                </c:pt>
                <c:pt idx="44">
                  <c:v>0.4165649530030982</c:v>
                </c:pt>
                <c:pt idx="45">
                  <c:v>0.46382430756813875</c:v>
                </c:pt>
                <c:pt idx="46">
                  <c:v>0.515917962072164</c:v>
                </c:pt>
                <c:pt idx="47">
                  <c:v>0.57327783470860483</c:v>
                </c:pt>
                <c:pt idx="48">
                  <c:v>0.63636719828950083</c:v>
                </c:pt>
                <c:pt idx="49">
                  <c:v>0.70568046848726307</c:v>
                </c:pt>
                <c:pt idx="50">
                  <c:v>0.78174807003895652</c:v>
                </c:pt>
                <c:pt idx="51">
                  <c:v>0.86513163915168634</c:v>
                </c:pt>
                <c:pt idx="52">
                  <c:v>0.95643481470234637</c:v>
                </c:pt>
                <c:pt idx="53">
                  <c:v>1.0562982983414702</c:v>
                </c:pt>
                <c:pt idx="54">
                  <c:v>1.165400881944197</c:v>
                </c:pt>
                <c:pt idx="55">
                  <c:v>1.2844624791411887</c:v>
                </c:pt>
                <c:pt idx="56">
                  <c:v>1.4142468849519729</c:v>
                </c:pt>
                <c:pt idx="57">
                  <c:v>1.5555586976672124</c:v>
                </c:pt>
                <c:pt idx="58">
                  <c:v>1.7092498579430582</c:v>
                </c:pt>
                <c:pt idx="59">
                  <c:v>1.876214258283472</c:v>
                </c:pt>
                <c:pt idx="60">
                  <c:v>2.0573913090489362</c:v>
                </c:pt>
                <c:pt idx="61">
                  <c:v>2.2537661366621617</c:v>
                </c:pt>
                <c:pt idx="62">
                  <c:v>2.4663714030348594</c:v>
                </c:pt>
                <c:pt idx="63">
                  <c:v>2.6962843714456106</c:v>
                </c:pt>
                <c:pt idx="64">
                  <c:v>2.9446295763877179</c:v>
                </c:pt>
                <c:pt idx="65">
                  <c:v>3.2125741648879931</c:v>
                </c:pt>
                <c:pt idx="66">
                  <c:v>3.5013315895704098</c:v>
                </c:pt>
                <c:pt idx="67">
                  <c:v>3.8121592742332981</c:v>
                </c:pt>
                <c:pt idx="68">
                  <c:v>4.146354402401534</c:v>
                </c:pt>
                <c:pt idx="69">
                  <c:v>4.5052566346082301</c:v>
                </c:pt>
                <c:pt idx="70">
                  <c:v>4.8902404952626091</c:v>
                </c:pt>
                <c:pt idx="71">
                  <c:v>5.3027180221690635</c:v>
                </c:pt>
                <c:pt idx="72">
                  <c:v>5.744132735652566</c:v>
                </c:pt>
                <c:pt idx="73">
                  <c:v>6.2159571991037872</c:v>
                </c:pt>
                <c:pt idx="74">
                  <c:v>6.7196899696604815</c:v>
                </c:pt>
                <c:pt idx="75">
                  <c:v>7.2568491200995098</c:v>
                </c:pt>
                <c:pt idx="76">
                  <c:v>7.8289686745221942</c:v>
                </c:pt>
                <c:pt idx="77">
                  <c:v>8.4375941427966215</c:v>
                </c:pt>
                <c:pt idx="78">
                  <c:v>9.0842779533559934</c:v>
                </c:pt>
                <c:pt idx="79">
                  <c:v>9.7705669238872677</c:v>
                </c:pt>
                <c:pt idx="80">
                  <c:v>10.498004890521425</c:v>
                </c:pt>
                <c:pt idx="81">
                  <c:v>11.268117054664614</c:v>
                </c:pt>
                <c:pt idx="82">
                  <c:v>12.082412232717644</c:v>
                </c:pt>
                <c:pt idx="83">
                  <c:v>12.94236106361233</c:v>
                </c:pt>
                <c:pt idx="84">
                  <c:v>13.849402608892211</c:v>
                </c:pt>
                <c:pt idx="85">
                  <c:v>14.80492483707345</c:v>
                </c:pt>
                <c:pt idx="86">
                  <c:v>15.810258999346058</c:v>
                </c:pt>
                <c:pt idx="87">
                  <c:v>16.866671904633424</c:v>
                </c:pt>
                <c:pt idx="88">
                  <c:v>17.975353302189522</c:v>
                </c:pt>
                <c:pt idx="89">
                  <c:v>19.137407614557358</c:v>
                </c:pt>
                <c:pt idx="90">
                  <c:v>20.353842526341094</c:v>
                </c:pt>
                <c:pt idx="91">
                  <c:v>21.625560202168451</c:v>
                </c:pt>
                <c:pt idx="92">
                  <c:v>22.953342134965361</c:v>
                </c:pt>
                <c:pt idx="93">
                  <c:v>24.337845459668564</c:v>
                </c:pt>
                <c:pt idx="94">
                  <c:v>25.779587584659829</c:v>
                </c:pt>
                <c:pt idx="95">
                  <c:v>27.278935973160461</c:v>
                </c:pt>
                <c:pt idx="96">
                  <c:v>28.836099984609966</c:v>
                </c:pt>
                <c:pt idx="97">
                  <c:v>30.451118487656235</c:v>
                </c:pt>
                <c:pt idx="98">
                  <c:v>32.123851430483633</c:v>
                </c:pt>
                <c:pt idx="99">
                  <c:v>33.853969324051938</c:v>
                </c:pt>
                <c:pt idx="100">
                  <c:v>35.640945435840706</c:v>
                </c:pt>
                <c:pt idx="101">
                  <c:v>37.484046465710577</c:v>
                </c:pt>
                <c:pt idx="102">
                  <c:v>39.382325254643661</c:v>
                </c:pt>
                <c:pt idx="103">
                  <c:v>41.334611731655421</c:v>
                </c:pt>
                <c:pt idx="104">
                  <c:v>43.339511179071174</c:v>
                </c:pt>
                <c:pt idx="105">
                  <c:v>45.395393607344793</c:v>
                </c:pt>
                <c:pt idx="106">
                  <c:v>47.500392562436353</c:v>
                </c:pt>
                <c:pt idx="107">
                  <c:v>49.652398783229387</c:v>
                </c:pt>
                <c:pt idx="108">
                  <c:v>51.849062098884708</c:v>
                </c:pt>
                <c:pt idx="109">
                  <c:v>54.087785953619431</c:v>
                </c:pt>
                <c:pt idx="110">
                  <c:v>56.365730279842737</c:v>
                </c:pt>
                <c:pt idx="111">
                  <c:v>58.67981035974357</c:v>
                </c:pt>
                <c:pt idx="112">
                  <c:v>61.026702083671196</c:v>
                </c:pt>
                <c:pt idx="113">
                  <c:v>63.402842383816079</c:v>
                </c:pt>
                <c:pt idx="114">
                  <c:v>65.804438016247445</c:v>
                </c:pt>
                <c:pt idx="115">
                  <c:v>68.227470765083737</c:v>
                </c:pt>
                <c:pt idx="116">
                  <c:v>70.667706332950416</c:v>
                </c:pt>
                <c:pt idx="117">
                  <c:v>73.120700900403122</c:v>
                </c:pt>
                <c:pt idx="118">
                  <c:v>75.581817063699603</c:v>
                </c:pt>
                <c:pt idx="119">
                  <c:v>78.046232671047377</c:v>
                </c:pt>
                <c:pt idx="120">
                  <c:v>80.508955296702823</c:v>
                </c:pt>
                <c:pt idx="121">
                  <c:v>82.964837582431841</c:v>
                </c:pt>
                <c:pt idx="122">
                  <c:v>85.408594801585082</c:v>
                </c:pt>
                <c:pt idx="123">
                  <c:v>87.834820037928367</c:v>
                </c:pt>
                <c:pt idx="124">
                  <c:v>90.238005436005238</c:v>
                </c:pt>
                <c:pt idx="125">
                  <c:v>92.612559873632435</c:v>
                </c:pt>
                <c:pt idx="126">
                  <c:v>94.952832272246496</c:v>
                </c:pt>
                <c:pt idx="127">
                  <c:v>97.253129811500358</c:v>
                </c:pt>
                <c:pt idx="128">
                  <c:v>99.507745142737861</c:v>
                </c:pt>
                <c:pt idx="129">
                  <c:v>101.71097362780823</c:v>
                </c:pt>
                <c:pt idx="130">
                  <c:v>103.85714293778548</c:v>
                </c:pt>
                <c:pt idx="131">
                  <c:v>105.9406324601872</c:v>
                </c:pt>
                <c:pt idx="132">
                  <c:v>107.95590040402897</c:v>
                </c:pt>
                <c:pt idx="133">
                  <c:v>109.89750559228796</c:v>
                </c:pt>
                <c:pt idx="134">
                  <c:v>111.76013521747852</c:v>
                </c:pt>
                <c:pt idx="135">
                  <c:v>113.538625658334</c:v>
                </c:pt>
                <c:pt idx="136">
                  <c:v>115.2279879585577</c:v>
                </c:pt>
                <c:pt idx="137">
                  <c:v>116.82343102874943</c:v>
                </c:pt>
                <c:pt idx="138">
                  <c:v>118.32038333044886</c:v>
                </c:pt>
                <c:pt idx="139">
                  <c:v>119.71451456017913</c:v>
                </c:pt>
                <c:pt idx="140">
                  <c:v>121.00175744191033</c:v>
                </c:pt>
                <c:pt idx="141">
                  <c:v>122.17832897742225</c:v>
                </c:pt>
                <c:pt idx="142">
                  <c:v>123.24074519145384</c:v>
                </c:pt>
                <c:pt idx="143">
                  <c:v>124.18584032208163</c:v>
                </c:pt>
                <c:pt idx="144">
                  <c:v>125.01078330059285</c:v>
                </c:pt>
                <c:pt idx="145">
                  <c:v>125.71309119559227</c:v>
                </c:pt>
                <c:pt idx="146">
                  <c:v>126.2906407055453</c:v>
                </c:pt>
                <c:pt idx="147">
                  <c:v>126.74167856711883</c:v>
                </c:pt>
                <c:pt idx="148">
                  <c:v>127.06483543296898</c:v>
                </c:pt>
                <c:pt idx="149">
                  <c:v>127.25912424543795</c:v>
                </c:pt>
                <c:pt idx="150">
                  <c:v>127.32395346382042</c:v>
                </c:pt>
                <c:pt idx="151">
                  <c:v>127.25912467911883</c:v>
                </c:pt>
                <c:pt idx="152">
                  <c:v>127.06483521612854</c:v>
                </c:pt>
                <c:pt idx="153">
                  <c:v>126.74167921764013</c:v>
                </c:pt>
                <c:pt idx="154">
                  <c:v>126.29064027186443</c:v>
                </c:pt>
                <c:pt idx="155">
                  <c:v>125.7130907619114</c:v>
                </c:pt>
                <c:pt idx="156">
                  <c:v>125.01078395111415</c:v>
                </c:pt>
                <c:pt idx="157">
                  <c:v>124.18584064734229</c:v>
                </c:pt>
                <c:pt idx="158">
                  <c:v>123.24074508303362</c:v>
                </c:pt>
                <c:pt idx="159">
                  <c:v>122.17832973636378</c:v>
                </c:pt>
                <c:pt idx="160">
                  <c:v>121.00175820085185</c:v>
                </c:pt>
                <c:pt idx="161">
                  <c:v>119.71451401807803</c:v>
                </c:pt>
                <c:pt idx="162">
                  <c:v>118.32038267992756</c:v>
                </c:pt>
                <c:pt idx="163">
                  <c:v>116.82343135401008</c:v>
                </c:pt>
                <c:pt idx="164">
                  <c:v>115.22798893433966</c:v>
                </c:pt>
                <c:pt idx="165">
                  <c:v>113.53862576675422</c:v>
                </c:pt>
                <c:pt idx="166">
                  <c:v>111.76013565115939</c:v>
                </c:pt>
                <c:pt idx="167">
                  <c:v>109.8975052670273</c:v>
                </c:pt>
                <c:pt idx="168">
                  <c:v>107.95590029560876</c:v>
                </c:pt>
                <c:pt idx="169">
                  <c:v>105.94063170124568</c:v>
                </c:pt>
                <c:pt idx="170">
                  <c:v>103.85714304620569</c:v>
                </c:pt>
                <c:pt idx="171">
                  <c:v>101.71097373622845</c:v>
                </c:pt>
                <c:pt idx="172">
                  <c:v>99.507745034317637</c:v>
                </c:pt>
                <c:pt idx="173">
                  <c:v>97.253130353601449</c:v>
                </c:pt>
                <c:pt idx="174">
                  <c:v>94.952832055406063</c:v>
                </c:pt>
                <c:pt idx="175">
                  <c:v>92.612560632573945</c:v>
                </c:pt>
                <c:pt idx="176">
                  <c:v>90.238005436005238</c:v>
                </c:pt>
                <c:pt idx="177">
                  <c:v>87.8348202547688</c:v>
                </c:pt>
                <c:pt idx="178">
                  <c:v>85.408594584744648</c:v>
                </c:pt>
                <c:pt idx="179">
                  <c:v>82.964837907692498</c:v>
                </c:pt>
                <c:pt idx="180">
                  <c:v>80.508955405123046</c:v>
                </c:pt>
                <c:pt idx="181">
                  <c:v>78.046233321568678</c:v>
                </c:pt>
                <c:pt idx="182">
                  <c:v>75.581817063699603</c:v>
                </c:pt>
                <c:pt idx="183">
                  <c:v>73.120701008823346</c:v>
                </c:pt>
                <c:pt idx="184">
                  <c:v>70.667706061899878</c:v>
                </c:pt>
                <c:pt idx="185">
                  <c:v>68.227471144554499</c:v>
                </c:pt>
                <c:pt idx="186">
                  <c:v>65.804438178877774</c:v>
                </c:pt>
                <c:pt idx="187">
                  <c:v>63.402842600656513</c:v>
                </c:pt>
                <c:pt idx="188">
                  <c:v>61.026701758410546</c:v>
                </c:pt>
                <c:pt idx="189">
                  <c:v>58.679810522373892</c:v>
                </c:pt>
                <c:pt idx="190">
                  <c:v>56.36573049668317</c:v>
                </c:pt>
                <c:pt idx="191">
                  <c:v>54.08778611624976</c:v>
                </c:pt>
                <c:pt idx="192">
                  <c:v>51.849061882044275</c:v>
                </c:pt>
                <c:pt idx="193">
                  <c:v>49.652398891649604</c:v>
                </c:pt>
                <c:pt idx="194">
                  <c:v>47.500392020335262</c:v>
                </c:pt>
                <c:pt idx="195">
                  <c:v>45.395393661554898</c:v>
                </c:pt>
                <c:pt idx="196">
                  <c:v>43.339511612752041</c:v>
                </c:pt>
                <c:pt idx="197">
                  <c:v>41.334611785865533</c:v>
                </c:pt>
                <c:pt idx="198">
                  <c:v>39.382324766752689</c:v>
                </c:pt>
                <c:pt idx="199">
                  <c:v>37.484046736761115</c:v>
                </c:pt>
                <c:pt idx="200">
                  <c:v>35.640944893739622</c:v>
                </c:pt>
                <c:pt idx="201">
                  <c:v>33.85396916142161</c:v>
                </c:pt>
                <c:pt idx="202">
                  <c:v>32.123851322063416</c:v>
                </c:pt>
                <c:pt idx="203">
                  <c:v>30.451118596076451</c:v>
                </c:pt>
                <c:pt idx="204">
                  <c:v>28.836099821979641</c:v>
                </c:pt>
                <c:pt idx="205">
                  <c:v>27.278936054475622</c:v>
                </c:pt>
                <c:pt idx="206">
                  <c:v>25.779587720185098</c:v>
                </c:pt>
                <c:pt idx="207">
                  <c:v>24.337845242828131</c:v>
                </c:pt>
                <c:pt idx="208">
                  <c:v>22.953341836809763</c:v>
                </c:pt>
                <c:pt idx="209">
                  <c:v>21.625560446113941</c:v>
                </c:pt>
                <c:pt idx="210">
                  <c:v>20.353842851601744</c:v>
                </c:pt>
                <c:pt idx="211">
                  <c:v>19.137407831397795</c:v>
                </c:pt>
                <c:pt idx="212">
                  <c:v>17.975353329294578</c:v>
                </c:pt>
                <c:pt idx="213">
                  <c:v>16.866671660687935</c:v>
                </c:pt>
                <c:pt idx="214">
                  <c:v>15.810258945135949</c:v>
                </c:pt>
                <c:pt idx="215">
                  <c:v>14.804924267867309</c:v>
                </c:pt>
                <c:pt idx="216">
                  <c:v>13.849403259413515</c:v>
                </c:pt>
                <c:pt idx="217">
                  <c:v>12.942361809001325</c:v>
                </c:pt>
                <c:pt idx="218">
                  <c:v>12.082411622853924</c:v>
                </c:pt>
                <c:pt idx="219">
                  <c:v>11.268117800053608</c:v>
                </c:pt>
                <c:pt idx="220">
                  <c:v>10.498004402630448</c:v>
                </c:pt>
                <c:pt idx="221">
                  <c:v>9.7705671678327555</c:v>
                </c:pt>
                <c:pt idx="222">
                  <c:v>9.0842771944144722</c:v>
                </c:pt>
                <c:pt idx="223">
                  <c:v>8.4375947933179258</c:v>
                </c:pt>
                <c:pt idx="224">
                  <c:v>7.8289686609696663</c:v>
                </c:pt>
                <c:pt idx="225">
                  <c:v>7.2568492014146724</c:v>
                </c:pt>
                <c:pt idx="226">
                  <c:v>6.7196900577519081</c:v>
                </c:pt>
                <c:pt idx="227">
                  <c:v>6.2159575108119114</c:v>
                </c:pt>
                <c:pt idx="228">
                  <c:v>5.7441327627576202</c:v>
                </c:pt>
                <c:pt idx="229">
                  <c:v>5.3027182728908153</c:v>
                </c:pt>
                <c:pt idx="230">
                  <c:v>4.8902406782217263</c:v>
                </c:pt>
                <c:pt idx="231">
                  <c:v>4.5052566888183385</c:v>
                </c:pt>
                <c:pt idx="232">
                  <c:v>4.1463549241738296</c:v>
                </c:pt>
                <c:pt idx="233">
                  <c:v>3.8121599586359198</c:v>
                </c:pt>
                <c:pt idx="234">
                  <c:v>3.5013316776618364</c:v>
                </c:pt>
                <c:pt idx="235">
                  <c:v>3.2125742157099699</c:v>
                </c:pt>
                <c:pt idx="236">
                  <c:v>2.9446286819209253</c:v>
                </c:pt>
                <c:pt idx="237">
                  <c:v>2.6962840258561682</c:v>
                </c:pt>
                <c:pt idx="238">
                  <c:v>2.4663705593900436</c:v>
                </c:pt>
                <c:pt idx="239">
                  <c:v>2.2537656589355795</c:v>
                </c:pt>
                <c:pt idx="240">
                  <c:v>2.0573904078058805</c:v>
                </c:pt>
                <c:pt idx="241">
                  <c:v>1.8762137771687581</c:v>
                </c:pt>
                <c:pt idx="242">
                  <c:v>1.7092499528107483</c:v>
                </c:pt>
                <c:pt idx="243">
                  <c:v>1.5555587755942437</c:v>
                </c:pt>
                <c:pt idx="244">
                  <c:v>1.4142464156957202</c:v>
                </c:pt>
                <c:pt idx="245">
                  <c:v>1.2844614576194542</c:v>
                </c:pt>
                <c:pt idx="246">
                  <c:v>1.1653998587283967</c:v>
                </c:pt>
                <c:pt idx="247">
                  <c:v>1.0562972852900654</c:v>
                </c:pt>
                <c:pt idx="248">
                  <c:v>0.95643541101354124</c:v>
                </c:pt>
                <c:pt idx="249">
                  <c:v>0.86513163915168634</c:v>
                </c:pt>
                <c:pt idx="250">
                  <c:v>0.78174700023634414</c:v>
                </c:pt>
                <c:pt idx="251">
                  <c:v>0.7056810851272487</c:v>
                </c:pt>
                <c:pt idx="252">
                  <c:v>0.63636779036553093</c:v>
                </c:pt>
                <c:pt idx="253">
                  <c:v>0.57327784402596726</c:v>
                </c:pt>
                <c:pt idx="254">
                  <c:v>0.51591741065371532</c:v>
                </c:pt>
                <c:pt idx="255">
                  <c:v>0.46382317254398947</c:v>
                </c:pt>
                <c:pt idx="256">
                  <c:v>0.41656437575014466</c:v>
                </c:pt>
                <c:pt idx="257">
                  <c:v>0.37374054563581799</c:v>
                </c:pt>
                <c:pt idx="258">
                  <c:v>0.33497820419874136</c:v>
                </c:pt>
                <c:pt idx="259">
                  <c:v>0.29992914254704556</c:v>
                </c:pt>
                <c:pt idx="260">
                  <c:v>0.26827408939895503</c:v>
                </c:pt>
                <c:pt idx="261">
                  <c:v>0.23971564682800756</c:v>
                </c:pt>
                <c:pt idx="262">
                  <c:v>0.21398026215575555</c:v>
                </c:pt>
                <c:pt idx="263">
                  <c:v>0.1908131158961712</c:v>
                </c:pt>
                <c:pt idx="264">
                  <c:v>0.16998066539558696</c:v>
                </c:pt>
                <c:pt idx="265">
                  <c:v>0.15126802220693267</c:v>
                </c:pt>
                <c:pt idx="266">
                  <c:v>0.13447862301743554</c:v>
                </c:pt>
                <c:pt idx="267">
                  <c:v>0.11943059947716649</c:v>
                </c:pt>
                <c:pt idx="268">
                  <c:v>0.10595941713018725</c:v>
                </c:pt>
                <c:pt idx="269">
                  <c:v>9.391086695806572E-2</c:v>
                </c:pt>
                <c:pt idx="270">
                  <c:v>8.3148358545310039E-2</c:v>
                </c:pt>
                <c:pt idx="271">
                  <c:v>7.3544633873682971E-2</c:v>
                </c:pt>
                <c:pt idx="272">
                  <c:v>6.4983358367714156E-2</c:v>
                </c:pt>
                <c:pt idx="273">
                  <c:v>5.7360305258518665E-2</c:v>
                </c:pt>
                <c:pt idx="274">
                  <c:v>5.0580690765205362E-2</c:v>
                </c:pt>
                <c:pt idx="275">
                  <c:v>4.4555214427606717E-2</c:v>
                </c:pt>
                <c:pt idx="276">
                  <c:v>3.9208783333877277E-2</c:v>
                </c:pt>
                <c:pt idx="277">
                  <c:v>3.4469473110669051E-2</c:v>
                </c:pt>
                <c:pt idx="278">
                  <c:v>3.0270740584947935E-2</c:v>
                </c:pt>
                <c:pt idx="279">
                  <c:v>2.6557645293930891E-2</c:v>
                </c:pt>
                <c:pt idx="280">
                  <c:v>2.3274878156684137E-2</c:v>
                </c:pt>
                <c:pt idx="281">
                  <c:v>2.0377826186103808E-2</c:v>
                </c:pt>
                <c:pt idx="282">
                  <c:v>1.7823935082194559E-2</c:v>
                </c:pt>
                <c:pt idx="283">
                  <c:v>1.557357418505761E-2</c:v>
                </c:pt>
                <c:pt idx="284">
                  <c:v>1.3593486545964031E-2</c:v>
                </c:pt>
                <c:pt idx="285">
                  <c:v>1.185394515981813E-2</c:v>
                </c:pt>
                <c:pt idx="286">
                  <c:v>1.0325320337668921E-2</c:v>
                </c:pt>
                <c:pt idx="287">
                  <c:v>8.9839048449326161E-3</c:v>
                </c:pt>
                <c:pt idx="288">
                  <c:v>7.8106196879887844E-3</c:v>
                </c:pt>
                <c:pt idx="289">
                  <c:v>6.7829806684201379E-3</c:v>
                </c:pt>
                <c:pt idx="290">
                  <c:v>5.8840721610756482E-3</c:v>
                </c:pt>
                <c:pt idx="291">
                  <c:v>5.099637641923515E-3</c:v>
                </c:pt>
                <c:pt idx="292">
                  <c:v>4.4160698443034534E-3</c:v>
                </c:pt>
                <c:pt idx="293">
                  <c:v>3.8185377507046325E-3</c:v>
                </c:pt>
                <c:pt idx="294">
                  <c:v>3.2996455326527703E-3</c:v>
                </c:pt>
                <c:pt idx="295">
                  <c:v>2.8477309625973848E-3</c:v>
                </c:pt>
                <c:pt idx="296">
                  <c:v>2.4551254343679529E-3</c:v>
                </c:pt>
                <c:pt idx="297">
                  <c:v>2.1155184433195901E-3</c:v>
                </c:pt>
                <c:pt idx="298">
                  <c:v>1.8197366457945894E-3</c:v>
                </c:pt>
                <c:pt idx="299">
                  <c:v>1.5647458820947405E-3</c:v>
                </c:pt>
                <c:pt idx="300">
                  <c:v>1.3440177930172301E-3</c:v>
                </c:pt>
                <c:pt idx="301">
                  <c:v>1.1518925474218972E-3</c:v>
                </c:pt>
                <c:pt idx="302">
                  <c:v>9.8825067395850899E-4</c:v>
                </c:pt>
                <c:pt idx="303">
                  <c:v>8.4565259622454739E-4</c:v>
                </c:pt>
                <c:pt idx="304">
                  <c:v>7.2343450674152245E-4</c:v>
                </c:pt>
                <c:pt idx="305">
                  <c:v>6.1751466706035953E-4</c:v>
                </c:pt>
                <c:pt idx="306">
                  <c:v>5.2807591552929618E-4</c:v>
                </c:pt>
                <c:pt idx="307">
                  <c:v>4.5020665798460363E-4</c:v>
                </c:pt>
                <c:pt idx="308">
                  <c:v>3.8355407666601954E-4</c:v>
                </c:pt>
                <c:pt idx="309">
                  <c:v>3.2653669778170318E-4</c:v>
                </c:pt>
                <c:pt idx="310">
                  <c:v>2.7750627338486559E-4</c:v>
                </c:pt>
                <c:pt idx="311">
                  <c:v>2.3512240071984675E-4</c:v>
                </c:pt>
                <c:pt idx="312">
                  <c:v>1.987969531303505E-4</c:v>
                </c:pt>
                <c:pt idx="313">
                  <c:v>1.6830118870722637E-4</c:v>
                </c:pt>
                <c:pt idx="314">
                  <c:v>1.4249306612122212E-4</c:v>
                </c:pt>
                <c:pt idx="315">
                  <c:v>1.2078762764496835E-4</c:v>
                </c:pt>
                <c:pt idx="316">
                  <c:v>1.0195504802709112E-4</c:v>
                </c:pt>
                <c:pt idx="317">
                  <c:v>8.661726730956889E-5</c:v>
                </c:pt>
                <c:pt idx="318">
                  <c:v>7.3337464289795811E-5</c:v>
                </c:pt>
                <c:pt idx="319">
                  <c:v>6.2101145936259327E-5</c:v>
                </c:pt>
                <c:pt idx="320">
                  <c:v>5.2285284567873007E-5</c:v>
                </c:pt>
                <c:pt idx="321">
                  <c:v>4.3424784805435492E-5</c:v>
                </c:pt>
                <c:pt idx="322">
                  <c:v>3.698103609802247E-5</c:v>
                </c:pt>
                <c:pt idx="323">
                  <c:v>2.9546795113852788E-5</c:v>
                </c:pt>
                <c:pt idx="324">
                  <c:v>2.5147593069185296E-5</c:v>
                </c:pt>
                <c:pt idx="325">
                  <c:v>2.0785376751246887E-5</c:v>
                </c:pt>
                <c:pt idx="326">
                  <c:v>1.7926497813909169E-5</c:v>
                </c:pt>
                <c:pt idx="327">
                  <c:v>1.4976794703807071E-5</c:v>
                </c:pt>
                <c:pt idx="328">
                  <c:v>1.249970152103048E-5</c:v>
                </c:pt>
                <c:pt idx="329">
                  <c:v>1.0421681715252978E-5</c:v>
                </c:pt>
                <c:pt idx="330">
                  <c:v>8.6802353676217362E-6</c:v>
                </c:pt>
                <c:pt idx="331">
                  <c:v>7.2224582292057628E-6</c:v>
                </c:pt>
                <c:pt idx="332">
                  <c:v>6.0033820477202878E-6</c:v>
                </c:pt>
                <c:pt idx="333">
                  <c:v>4.9849909722302646E-6</c:v>
                </c:pt>
                <c:pt idx="334">
                  <c:v>4.1351404216274104E-6</c:v>
                </c:pt>
                <c:pt idx="335">
                  <c:v>3.4266809323404501E-6</c:v>
                </c:pt>
                <c:pt idx="336">
                  <c:v>2.8367078893636622E-6</c:v>
                </c:pt>
                <c:pt idx="337">
                  <c:v>2.3459196082521416E-6</c:v>
                </c:pt>
                <c:pt idx="338">
                  <c:v>1.9380688917574571E-6</c:v>
                </c:pt>
                <c:pt idx="339">
                  <c:v>1.5994949877726152E-6</c:v>
                </c:pt>
                <c:pt idx="340">
                  <c:v>1.3187247267180943E-6</c:v>
                </c:pt>
                <c:pt idx="341">
                  <c:v>1.0861324743774922E-6</c:v>
                </c:pt>
                <c:pt idx="342">
                  <c:v>8.9365386116650904E-7</c:v>
                </c:pt>
                <c:pt idx="343">
                  <c:v>7.3453664890337851E-7</c:v>
                </c:pt>
                <c:pt idx="344">
                  <c:v>6.0313594625391776E-7</c:v>
                </c:pt>
                <c:pt idx="345">
                  <c:v>4.9473720177396392E-7</c:v>
                </c:pt>
                <c:pt idx="346">
                  <c:v>4.0540727989516523E-7</c:v>
                </c:pt>
                <c:pt idx="347">
                  <c:v>3.3186857397161162E-7</c:v>
                </c:pt>
                <c:pt idx="348">
                  <c:v>2.713928141414205E-7</c:v>
                </c:pt>
                <c:pt idx="349">
                  <c:v>2.2171147898119477E-7</c:v>
                </c:pt>
                <c:pt idx="350">
                  <c:v>1.8094044108897522E-7</c:v>
                </c:pt>
                <c:pt idx="351">
                  <c:v>1.475165348924478E-7</c:v>
                </c:pt>
                <c:pt idx="352">
                  <c:v>1.201443709146507E-7</c:v>
                </c:pt>
                <c:pt idx="353">
                  <c:v>9.7751578355810515E-8</c:v>
                </c:pt>
                <c:pt idx="354">
                  <c:v>7.9451436865857865E-8</c:v>
                </c:pt>
                <c:pt idx="355">
                  <c:v>6.4511533144288002E-8</c:v>
                </c:pt>
                <c:pt idx="356">
                  <c:v>5.2327573888307483E-8</c:v>
                </c:pt>
                <c:pt idx="357">
                  <c:v>4.2401524021148042E-8</c:v>
                </c:pt>
                <c:pt idx="358">
                  <c:v>3.4323373276647683E-8</c:v>
                </c:pt>
                <c:pt idx="359">
                  <c:v>2.7755949427756572E-8</c:v>
                </c:pt>
                <c:pt idx="360">
                  <c:v>2.2422283814548408E-8</c:v>
                </c:pt>
                <c:pt idx="361">
                  <c:v>1.8095110002606525E-8</c:v>
                </c:pt>
                <c:pt idx="362">
                  <c:v>1.4588150896367307E-8</c:v>
                </c:pt>
                <c:pt idx="363">
                  <c:v>1.1748891561537981E-8</c:v>
                </c:pt>
                <c:pt idx="364">
                  <c:v>9.4525977787906535E-9</c:v>
                </c:pt>
                <c:pt idx="365">
                  <c:v>7.5973666673340879E-9</c:v>
                </c:pt>
                <c:pt idx="366">
                  <c:v>6.100039274708498E-9</c:v>
                </c:pt>
                <c:pt idx="367">
                  <c:v>4.8928263220822155E-9</c:v>
                </c:pt>
                <c:pt idx="368">
                  <c:v>3.9205284035721044E-9</c:v>
                </c:pt>
                <c:pt idx="369">
                  <c:v>3.1382464279066801E-9</c:v>
                </c:pt>
                <c:pt idx="370">
                  <c:v>2.5094994531042375E-9</c:v>
                </c:pt>
                <c:pt idx="371">
                  <c:v>2.0046788251766483E-9</c:v>
                </c:pt>
                <c:pt idx="372">
                  <c:v>1.5997795257106992E-9</c:v>
                </c:pt>
                <c:pt idx="373">
                  <c:v>1.2753608933793943E-9</c:v>
                </c:pt>
                <c:pt idx="374">
                  <c:v>1.0156958721655544E-9</c:v>
                </c:pt>
                <c:pt idx="375">
                  <c:v>8.0807544745813515E-10</c:v>
                </c:pt>
                <c:pt idx="376">
                  <c:v>6.4224061019134277E-10</c:v>
                </c:pt>
                <c:pt idx="377">
                  <c:v>5.0991906435702507E-10</c:v>
                </c:pt>
                <c:pt idx="378">
                  <c:v>4.0444769631923273E-10</c:v>
                </c:pt>
                <c:pt idx="379">
                  <c:v>3.2046537581164746E-10</c:v>
                </c:pt>
                <c:pt idx="380">
                  <c:v>2.5366321322461143E-10</c:v>
                </c:pt>
                <c:pt idx="381">
                  <c:v>2.0058179079804905E-10</c:v>
                </c:pt>
                <c:pt idx="382">
                  <c:v>1.5844667920627169E-10</c:v>
                </c:pt>
                <c:pt idx="383">
                  <c:v>1.2503523543590269E-10</c:v>
                </c:pt>
                <c:pt idx="384">
                  <c:v>9.8568766288994547E-11</c:v>
                </c:pt>
                <c:pt idx="385">
                  <c:v>7.7625400273769126E-11</c:v>
                </c:pt>
                <c:pt idx="386">
                  <c:v>6.1069732650354991E-11</c:v>
                </c:pt>
                <c:pt idx="387">
                  <c:v>4.7996085722710885E-11</c:v>
                </c:pt>
                <c:pt idx="388">
                  <c:v>3.76828070695503E-11</c:v>
                </c:pt>
                <c:pt idx="389">
                  <c:v>2.9555500195207231E-11</c:v>
                </c:pt>
                <c:pt idx="390">
                  <c:v>2.3157464136580525E-11</c:v>
                </c:pt>
                <c:pt idx="391">
                  <c:v>1.8125972933403826E-11</c:v>
                </c:pt>
                <c:pt idx="392">
                  <c:v>1.4173244457514752E-11</c:v>
                </c:pt>
                <c:pt idx="393">
                  <c:v>1.1071204291701693E-11</c:v>
                </c:pt>
                <c:pt idx="394">
                  <c:v>8.6392905071028718E-12</c:v>
                </c:pt>
                <c:pt idx="395">
                  <c:v>6.7347104791438121E-12</c:v>
                </c:pt>
                <c:pt idx="396">
                  <c:v>5.2446608393042324E-12</c:v>
                </c:pt>
                <c:pt idx="397">
                  <c:v>4.0801254999850083E-12</c:v>
                </c:pt>
                <c:pt idx="398">
                  <c:v>3.1709344270130901E-12</c:v>
                </c:pt>
                <c:pt idx="399">
                  <c:v>2.4618332387888565E-12</c:v>
                </c:pt>
                <c:pt idx="400">
                  <c:v>1.9093592030863851E-12</c:v>
                </c:pt>
                <c:pt idx="401">
                  <c:v>1.4793613726792037E-12</c:v>
                </c:pt>
                <c:pt idx="402">
                  <c:v>1.1450344204082493E-12</c:v>
                </c:pt>
                <c:pt idx="403">
                  <c:v>8.8536111652468323E-13</c:v>
                </c:pt>
                <c:pt idx="404">
                  <c:v>6.8388010484477622E-13</c:v>
                </c:pt>
                <c:pt idx="405">
                  <c:v>5.2771219339974125E-13</c:v>
                </c:pt>
                <c:pt idx="406">
                  <c:v>4.0679155093532535E-13</c:v>
                </c:pt>
                <c:pt idx="407">
                  <c:v>3.132595701508059E-13</c:v>
                </c:pt>
                <c:pt idx="408">
                  <c:v>2.409874354435675E-13</c:v>
                </c:pt>
                <c:pt idx="409">
                  <c:v>1.8520047181419259E-13</c:v>
                </c:pt>
                <c:pt idx="410">
                  <c:v>1.4218291232453194E-13</c:v>
                </c:pt>
                <c:pt idx="411">
                  <c:v>1.0904615422157727E-13</c:v>
                </c:pt>
                <c:pt idx="412">
                  <c:v>8.3547013936027296E-14</c:v>
                </c:pt>
                <c:pt idx="413">
                  <c:v>6.3945375726011739E-14</c:v>
                </c:pt>
                <c:pt idx="414">
                  <c:v>4.8892808407652638E-14</c:v>
                </c:pt>
                <c:pt idx="415">
                  <c:v>3.7345515825286929E-14</c:v>
                </c:pt>
                <c:pt idx="416">
                  <c:v>2.8496371746694026E-14</c:v>
                </c:pt>
                <c:pt idx="417">
                  <c:v>2.1721924698817464E-14</c:v>
                </c:pt>
                <c:pt idx="418">
                  <c:v>1.6541110820507976E-14</c:v>
                </c:pt>
                <c:pt idx="419">
                  <c:v>1.2583129567718217E-14</c:v>
                </c:pt>
                <c:pt idx="420">
                  <c:v>9.562474705849287E-15</c:v>
                </c:pt>
                <c:pt idx="421">
                  <c:v>7.2595476461522061E-15</c:v>
                </c:pt>
                <c:pt idx="422">
                  <c:v>5.505622800006217E-15</c:v>
                </c:pt>
                <c:pt idx="423">
                  <c:v>4.1711996388745626E-15</c:v>
                </c:pt>
                <c:pt idx="424">
                  <c:v>3.1569894625353786E-15</c:v>
                </c:pt>
                <c:pt idx="425">
                  <c:v>2.3869477727381499E-15</c:v>
                </c:pt>
                <c:pt idx="426">
                  <c:v>1.8028946001734484E-15</c:v>
                </c:pt>
                <c:pt idx="427">
                  <c:v>1.3603647995182559E-15</c:v>
                </c:pt>
                <c:pt idx="428">
                  <c:v>1.0254112254046669E-15</c:v>
                </c:pt>
                <c:pt idx="429">
                  <c:v>7.7214413723954998E-16</c:v>
                </c:pt>
                <c:pt idx="430">
                  <c:v>5.8083973663531638E-16</c:v>
                </c:pt>
                <c:pt idx="431">
                  <c:v>4.3648758515456483E-16</c:v>
                </c:pt>
                <c:pt idx="432">
                  <c:v>3.2767635189838267E-16</c:v>
                </c:pt>
                <c:pt idx="433">
                  <c:v>2.4574004725736667E-16</c:v>
                </c:pt>
                <c:pt idx="434">
                  <c:v>1.8410450109087076E-16</c:v>
                </c:pt>
                <c:pt idx="435">
                  <c:v>1.3778771744259588E-16</c:v>
                </c:pt>
                <c:pt idx="436">
                  <c:v>1.0301826581612083E-16</c:v>
                </c:pt>
                <c:pt idx="437">
                  <c:v>7.6944148745983432E-17</c:v>
                </c:pt>
                <c:pt idx="438">
                  <c:v>5.7410931658821442E-17</c:v>
                </c:pt>
                <c:pt idx="439">
                  <c:v>4.2792850525173608E-17</c:v>
                </c:pt>
                <c:pt idx="440">
                  <c:v>3.1864379932796362E-17</c:v>
                </c:pt>
                <c:pt idx="441">
                  <c:v>2.3702674766788518E-17</c:v>
                </c:pt>
                <c:pt idx="442">
                  <c:v>1.7613549283300226E-17</c:v>
                </c:pt>
                <c:pt idx="443">
                  <c:v>1.3075371163836294E-17</c:v>
                </c:pt>
                <c:pt idx="444">
                  <c:v>9.6965849563595731E-18</c:v>
                </c:pt>
                <c:pt idx="445">
                  <c:v>7.1835847332281702E-18</c:v>
                </c:pt>
                <c:pt idx="446">
                  <c:v>5.3164442412037364E-18</c:v>
                </c:pt>
                <c:pt idx="447">
                  <c:v>3.9306007892873259E-18</c:v>
                </c:pt>
                <c:pt idx="448">
                  <c:v>2.9030481741932852E-18</c:v>
                </c:pt>
                <c:pt idx="449">
                  <c:v>2.1419394063676094E-18</c:v>
                </c:pt>
                <c:pt idx="450">
                  <c:v>1.5787659491766134E-18</c:v>
                </c:pt>
                <c:pt idx="451">
                  <c:v>1.1624812360374452E-18</c:v>
                </c:pt>
                <c:pt idx="452">
                  <c:v>8.5508990704653443E-19</c:v>
                </c:pt>
                <c:pt idx="453">
                  <c:v>6.2834077455937526E-19</c:v>
                </c:pt>
                <c:pt idx="454">
                  <c:v>4.6124995520695646E-19</c:v>
                </c:pt>
                <c:pt idx="455">
                  <c:v>3.3824786321279585E-19</c:v>
                </c:pt>
                <c:pt idx="456">
                  <c:v>2.4779436013089387E-19</c:v>
                </c:pt>
                <c:pt idx="457">
                  <c:v>1.8134492519660123E-19</c:v>
                </c:pt>
                <c:pt idx="458">
                  <c:v>1.3257969872409507E-19</c:v>
                </c:pt>
                <c:pt idx="459">
                  <c:v>9.682918423938042E-20</c:v>
                </c:pt>
                <c:pt idx="460">
                  <c:v>7.0646907243611168E-20</c:v>
                </c:pt>
                <c:pt idx="461">
                  <c:v>5.1491751915611361E-20</c:v>
                </c:pt>
                <c:pt idx="462">
                  <c:v>3.749210386418343E-20</c:v>
                </c:pt>
                <c:pt idx="463">
                  <c:v>2.7270907365018065E-20</c:v>
                </c:pt>
                <c:pt idx="464">
                  <c:v>1.9816045687886574E-20</c:v>
                </c:pt>
                <c:pt idx="465">
                  <c:v>1.4384409278176773E-20</c:v>
                </c:pt>
                <c:pt idx="466">
                  <c:v>1.0430970135622509E-20</c:v>
                </c:pt>
                <c:pt idx="467">
                  <c:v>7.5564010857853839E-21</c:v>
                </c:pt>
                <c:pt idx="468">
                  <c:v>5.4684334695701197E-21</c:v>
                </c:pt>
                <c:pt idx="469">
                  <c:v>3.9533794150434491E-21</c:v>
                </c:pt>
                <c:pt idx="470">
                  <c:v>2.8551681641649947E-21</c:v>
                </c:pt>
                <c:pt idx="471">
                  <c:v>2.0599302507176672E-21</c:v>
                </c:pt>
                <c:pt idx="472">
                  <c:v>1.4846735608719275E-21</c:v>
                </c:pt>
                <c:pt idx="473">
                  <c:v>1.0689737977711491E-21</c:v>
                </c:pt>
                <c:pt idx="474">
                  <c:v>7.6888392129289833E-22</c:v>
                </c:pt>
                <c:pt idx="475">
                  <c:v>5.5247436380788711E-22</c:v>
                </c:pt>
                <c:pt idx="476">
                  <c:v>3.9657114743334731E-22</c:v>
                </c:pt>
                <c:pt idx="477">
                  <c:v>2.8437258573842862E-22</c:v>
                </c:pt>
                <c:pt idx="478">
                  <c:v>2.0370982223048433E-22</c:v>
                </c:pt>
                <c:pt idx="479">
                  <c:v>1.4577862394545469E-22</c:v>
                </c:pt>
                <c:pt idx="480">
                  <c:v>1.0421574881511728E-22</c:v>
                </c:pt>
                <c:pt idx="481">
                  <c:v>7.4426996013987973E-23</c:v>
                </c:pt>
                <c:pt idx="482">
                  <c:v>5.3098867659275457E-23</c:v>
                </c:pt>
                <c:pt idx="483">
                  <c:v>3.7844054648703273E-23</c:v>
                </c:pt>
                <c:pt idx="484">
                  <c:v>2.6944348883892516E-23</c:v>
                </c:pt>
                <c:pt idx="485">
                  <c:v>1.9164405727040894E-23</c:v>
                </c:pt>
                <c:pt idx="486">
                  <c:v>1.3616975275786233E-23</c:v>
                </c:pt>
                <c:pt idx="487">
                  <c:v>9.6654833765017964E-24</c:v>
                </c:pt>
                <c:pt idx="488">
                  <c:v>6.8536849279848575E-24</c:v>
                </c:pt>
                <c:pt idx="489">
                  <c:v>4.854922729538819E-24</c:v>
                </c:pt>
                <c:pt idx="490">
                  <c:v>3.4355647902316799E-24</c:v>
                </c:pt>
                <c:pt idx="491">
                  <c:v>2.4286872599023578E-24</c:v>
                </c:pt>
                <c:pt idx="492">
                  <c:v>1.7151522559891946E-24</c:v>
                </c:pt>
                <c:pt idx="493">
                  <c:v>1.2100167734205569E-24</c:v>
                </c:pt>
                <c:pt idx="494">
                  <c:v>8.5278142975478038E-25</c:v>
                </c:pt>
                <c:pt idx="495">
                  <c:v>6.0040142112637637E-25</c:v>
                </c:pt>
                <c:pt idx="496">
                  <c:v>4.2228272855520955E-25</c:v>
                </c:pt>
                <c:pt idx="497">
                  <c:v>2.9670342587636799E-25</c:v>
                </c:pt>
                <c:pt idx="498">
                  <c:v>2.0825691435273239E-25</c:v>
                </c:pt>
                <c:pt idx="499">
                  <c:v>1.4602725883890279E-25</c:v>
                </c:pt>
                <c:pt idx="500">
                  <c:v>1.0228832388105803E-25</c:v>
                </c:pt>
                <c:pt idx="501">
                  <c:v>7.1577384848536326E-26</c:v>
                </c:pt>
                <c:pt idx="502">
                  <c:v>5.0036073443989523E-26</c:v>
                </c:pt>
                <c:pt idx="503">
                  <c:v>3.494203932146371E-26</c:v>
                </c:pt>
                <c:pt idx="504">
                  <c:v>2.4376475078784844E-26</c:v>
                </c:pt>
                <c:pt idx="505">
                  <c:v>1.6988349827197975E-26</c:v>
                </c:pt>
                <c:pt idx="506">
                  <c:v>1.1827395390106074E-26</c:v>
                </c:pt>
                <c:pt idx="507">
                  <c:v>8.2259235274999685E-27</c:v>
                </c:pt>
                <c:pt idx="508">
                  <c:v>5.7152844298242792E-27</c:v>
                </c:pt>
                <c:pt idx="509">
                  <c:v>3.966876360527367E-27</c:v>
                </c:pt>
                <c:pt idx="510">
                  <c:v>2.7505345798595503E-27</c:v>
                </c:pt>
                <c:pt idx="511">
                  <c:v>1.9052114598278483E-27</c:v>
                </c:pt>
                <c:pt idx="512">
                  <c:v>1.3183383738924667E-27</c:v>
                </c:pt>
                <c:pt idx="513">
                  <c:v>9.1131440155782975E-28</c:v>
                </c:pt>
                <c:pt idx="514">
                  <c:v>6.2931372261730711E-28</c:v>
                </c:pt>
                <c:pt idx="515">
                  <c:v>4.3413400217515038E-28</c:v>
                </c:pt>
                <c:pt idx="516">
                  <c:v>2.9918377566688914E-28</c:v>
                </c:pt>
                <c:pt idx="517">
                  <c:v>2.0597281372175638E-28</c:v>
                </c:pt>
                <c:pt idx="518">
                  <c:v>1.4165744376318145E-28</c:v>
                </c:pt>
                <c:pt idx="519">
                  <c:v>9.7325473414981007E-29</c:v>
                </c:pt>
                <c:pt idx="520">
                  <c:v>6.6799203132124816E-29</c:v>
                </c:pt>
                <c:pt idx="521">
                  <c:v>4.5800864272206327E-29</c:v>
                </c:pt>
                <c:pt idx="522">
                  <c:v>3.1371385184510141E-29</c:v>
                </c:pt>
                <c:pt idx="523">
                  <c:v>2.1466010932628763E-29</c:v>
                </c:pt>
                <c:pt idx="524">
                  <c:v>1.4673260588448163E-29</c:v>
                </c:pt>
                <c:pt idx="525">
                  <c:v>1.0019811302944449E-29</c:v>
                </c:pt>
                <c:pt idx="526">
                  <c:v>6.8351821517584921E-30</c:v>
                </c:pt>
                <c:pt idx="527">
                  <c:v>4.6579869290260391E-30</c:v>
                </c:pt>
                <c:pt idx="528">
                  <c:v>3.1710571887564628E-30</c:v>
                </c:pt>
                <c:pt idx="529">
                  <c:v>2.156589647437821E-30</c:v>
                </c:pt>
                <c:pt idx="530">
                  <c:v>1.4651719147263059E-30</c:v>
                </c:pt>
                <c:pt idx="531">
                  <c:v>9.9441413515823206E-31</c:v>
                </c:pt>
                <c:pt idx="532">
                  <c:v>6.7422309163013796E-31</c:v>
                </c:pt>
                <c:pt idx="533">
                  <c:v>4.5666485386872905E-31</c:v>
                </c:pt>
                <c:pt idx="534">
                  <c:v>3.0899338619180979E-31</c:v>
                </c:pt>
                <c:pt idx="535">
                  <c:v>2.0886150841466668E-31</c:v>
                </c:pt>
                <c:pt idx="536">
                  <c:v>1.4103446970806834E-31</c:v>
                </c:pt>
                <c:pt idx="537">
                  <c:v>9.513706720583466E-32</c:v>
                </c:pt>
                <c:pt idx="538">
                  <c:v>6.4110901157002445E-32</c:v>
                </c:pt>
                <c:pt idx="539">
                  <c:v>4.315902592879917E-32</c:v>
                </c:pt>
                <c:pt idx="540">
                  <c:v>2.9024785342519018E-32</c:v>
                </c:pt>
                <c:pt idx="541">
                  <c:v>1.9499525036866064E-32</c:v>
                </c:pt>
                <c:pt idx="542">
                  <c:v>1.3086896832775253E-32</c:v>
                </c:pt>
                <c:pt idx="543">
                  <c:v>8.7741884380312969E-33</c:v>
                </c:pt>
                <c:pt idx="544">
                  <c:v>5.8767181971122834E-33</c:v>
                </c:pt>
                <c:pt idx="545">
                  <c:v>3.9320624375815612E-33</c:v>
                </c:pt>
                <c:pt idx="546">
                  <c:v>2.628231281980921E-33</c:v>
                </c:pt>
                <c:pt idx="547">
                  <c:v>1.7549485165094898E-33</c:v>
                </c:pt>
                <c:pt idx="548">
                  <c:v>1.1706385305280283E-33</c:v>
                </c:pt>
                <c:pt idx="549">
                  <c:v>7.8007952266180025E-34</c:v>
                </c:pt>
                <c:pt idx="550">
                  <c:v>5.1929312991693916E-34</c:v>
                </c:pt>
                <c:pt idx="551">
                  <c:v>3.4533762995550122E-34</c:v>
                </c:pt>
                <c:pt idx="552">
                  <c:v>2.294208398161779E-34</c:v>
                </c:pt>
                <c:pt idx="553">
                  <c:v>1.5225776733298794E-34</c:v>
                </c:pt>
                <c:pt idx="554">
                  <c:v>1.0094473613449673E-34</c:v>
                </c:pt>
                <c:pt idx="555">
                  <c:v>6.6856791434518272E-35</c:v>
                </c:pt>
                <c:pt idx="556">
                  <c:v>4.4234896165960457E-35</c:v>
                </c:pt>
                <c:pt idx="557">
                  <c:v>2.9237627528223325E-35</c:v>
                </c:pt>
                <c:pt idx="558">
                  <c:v>1.9305314329517555E-35</c:v>
                </c:pt>
                <c:pt idx="559">
                  <c:v>1.2734129324267828E-35</c:v>
                </c:pt>
                <c:pt idx="560">
                  <c:v>8.3911071237011462E-36</c:v>
                </c:pt>
                <c:pt idx="561">
                  <c:v>5.5236595877578378E-36</c:v>
                </c:pt>
                <c:pt idx="562">
                  <c:v>3.6323875420820186E-36</c:v>
                </c:pt>
                <c:pt idx="563">
                  <c:v>2.3862452589478838E-36</c:v>
                </c:pt>
                <c:pt idx="564">
                  <c:v>1.5660139061605401E-36</c:v>
                </c:pt>
                <c:pt idx="565">
                  <c:v>1.0266768759966584E-36</c:v>
                </c:pt>
                <c:pt idx="566">
                  <c:v>6.7240289960665973E-37</c:v>
                </c:pt>
                <c:pt idx="567">
                  <c:v>4.3992942036168668E-37</c:v>
                </c:pt>
                <c:pt idx="568">
                  <c:v>2.8753721862193379E-37</c:v>
                </c:pt>
                <c:pt idx="569">
                  <c:v>1.8774256937025787E-37</c:v>
                </c:pt>
                <c:pt idx="570">
                  <c:v>1.2245854048638382E-37</c:v>
                </c:pt>
                <c:pt idx="571">
                  <c:v>7.9794513792302751E-38</c:v>
                </c:pt>
                <c:pt idx="572">
                  <c:v>5.1941515486671527E-38</c:v>
                </c:pt>
                <c:pt idx="573">
                  <c:v>3.3776436990779361E-38</c:v>
                </c:pt>
                <c:pt idx="574">
                  <c:v>2.1941720527414004E-38</c:v>
                </c:pt>
                <c:pt idx="575">
                  <c:v>1.4239185936102083E-38</c:v>
                </c:pt>
                <c:pt idx="576">
                  <c:v>9.2311810557950878E-39</c:v>
                </c:pt>
                <c:pt idx="577">
                  <c:v>5.9784281157087633E-39</c:v>
                </c:pt>
                <c:pt idx="578">
                  <c:v>3.8678923995891493E-39</c:v>
                </c:pt>
                <c:pt idx="579">
                  <c:v>2.4998812955806499E-39</c:v>
                </c:pt>
                <c:pt idx="580">
                  <c:v>1.6140687223545328E-39</c:v>
                </c:pt>
                <c:pt idx="581">
                  <c:v>1.041075651906323E-39</c:v>
                </c:pt>
                <c:pt idx="582">
                  <c:v>6.7081101717090623E-40</c:v>
                </c:pt>
                <c:pt idx="583">
                  <c:v>4.3179311764938825E-40</c:v>
                </c:pt>
                <c:pt idx="584">
                  <c:v>2.7765715834162522E-40</c:v>
                </c:pt>
                <c:pt idx="585">
                  <c:v>1.783609041580487E-40</c:v>
                </c:pt>
                <c:pt idx="586">
                  <c:v>1.1445851002601339E-40</c:v>
                </c:pt>
                <c:pt idx="587">
                  <c:v>7.3376018709154617E-41</c:v>
                </c:pt>
                <c:pt idx="588">
                  <c:v>4.6991340002047832E-41</c:v>
                </c:pt>
                <c:pt idx="589">
                  <c:v>3.0063472607170319E-41</c:v>
                </c:pt>
                <c:pt idx="590">
                  <c:v>1.9214013561573106E-41</c:v>
                </c:pt>
                <c:pt idx="591">
                  <c:v>1.2267460665597911E-41</c:v>
                </c:pt>
                <c:pt idx="592">
                  <c:v>7.8243610950308471E-42</c:v>
                </c:pt>
                <c:pt idx="593">
                  <c:v>4.9854082332988988E-42</c:v>
                </c:pt>
                <c:pt idx="594">
                  <c:v>3.1732931815762327E-42</c:v>
                </c:pt>
                <c:pt idx="595">
                  <c:v>2.0177962177177195E-42</c:v>
                </c:pt>
                <c:pt idx="596">
                  <c:v>1.2817462015623549E-42</c:v>
                </c:pt>
                <c:pt idx="597">
                  <c:v>8.133629858666766E-43</c:v>
                </c:pt>
                <c:pt idx="598">
                  <c:v>5.156136494579041E-43</c:v>
                </c:pt>
                <c:pt idx="599">
                  <c:v>3.2652920686813804E-43</c:v>
                </c:pt>
                <c:pt idx="600">
                  <c:v>2.0657477761919498E-43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BC-4DF1-A08B-EA16715D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65088"/>
        <c:axId val="194667264"/>
      </c:scatterChart>
      <c:valAx>
        <c:axId val="194665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Option 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667264"/>
        <c:crosses val="autoZero"/>
        <c:crossBetween val="midCat"/>
      </c:valAx>
      <c:valAx>
        <c:axId val="194667264"/>
        <c:scaling>
          <c:orientation val="minMax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Implied 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66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Densities!$S$4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2.7636904687705941E-4</c:v>
                </c:pt>
                <c:pt idx="102">
                  <c:v>4.2911950048922988E-2</c:v>
                </c:pt>
                <c:pt idx="103">
                  <c:v>0.47444815609682195</c:v>
                </c:pt>
                <c:pt idx="104">
                  <c:v>2.0418928764007092</c:v>
                </c:pt>
                <c:pt idx="105">
                  <c:v>5.5047315281274765</c:v>
                </c:pt>
                <c:pt idx="106">
                  <c:v>11.301096745263587</c:v>
                </c:pt>
                <c:pt idx="107">
                  <c:v>19.476262822386889</c:v>
                </c:pt>
                <c:pt idx="108">
                  <c:v>29.766803092033602</c:v>
                </c:pt>
                <c:pt idx="109">
                  <c:v>41.725804276050546</c:v>
                </c:pt>
                <c:pt idx="110">
                  <c:v>54.832386777963599</c:v>
                </c:pt>
                <c:pt idx="111">
                  <c:v>68.568863403255335</c:v>
                </c:pt>
                <c:pt idx="112">
                  <c:v>82.467111847564325</c:v>
                </c:pt>
                <c:pt idx="113">
                  <c:v>96.131494793292006</c:v>
                </c:pt>
                <c:pt idx="114">
                  <c:v>109.24601474778017</c:v>
                </c:pt>
                <c:pt idx="115">
                  <c:v>121.57188171196994</c:v>
                </c:pt>
                <c:pt idx="116">
                  <c:v>132.93990299594657</c:v>
                </c:pt>
                <c:pt idx="117">
                  <c:v>143.24058195266335</c:v>
                </c:pt>
                <c:pt idx="118">
                  <c:v>152.41372668616492</c:v>
                </c:pt>
                <c:pt idx="119">
                  <c:v>160.43856667464703</c:v>
                </c:pt>
                <c:pt idx="120">
                  <c:v>167.32489832170691</c:v>
                </c:pt>
                <c:pt idx="121">
                  <c:v>173.10546306928063</c:v>
                </c:pt>
                <c:pt idx="122">
                  <c:v>177.82957018822736</c:v>
                </c:pt>
                <c:pt idx="123">
                  <c:v>181.55789355657828</c:v>
                </c:pt>
                <c:pt idx="124">
                  <c:v>184.35830206192662</c:v>
                </c:pt>
                <c:pt idx="125">
                  <c:v>186.30259666788456</c:v>
                </c:pt>
                <c:pt idx="126">
                  <c:v>187.46398677089647</c:v>
                </c:pt>
                <c:pt idx="127">
                  <c:v>187.91520292951725</c:v>
                </c:pt>
                <c:pt idx="128">
                  <c:v>187.72710068306469</c:v>
                </c:pt>
                <c:pt idx="129">
                  <c:v>186.96767593341656</c:v>
                </c:pt>
                <c:pt idx="130">
                  <c:v>185.70139675121166</c:v>
                </c:pt>
                <c:pt idx="131">
                  <c:v>183.988786229064</c:v>
                </c:pt>
                <c:pt idx="132">
                  <c:v>181.88619143807983</c:v>
                </c:pt>
                <c:pt idx="133">
                  <c:v>179.44570449793946</c:v>
                </c:pt>
                <c:pt idx="134">
                  <c:v>176.71518740512704</c:v>
                </c:pt>
                <c:pt idx="135">
                  <c:v>173.73837503213696</c:v>
                </c:pt>
                <c:pt idx="136">
                  <c:v>170.55503754095923</c:v>
                </c:pt>
                <c:pt idx="137">
                  <c:v>167.20117456368865</c:v>
                </c:pt>
                <c:pt idx="138">
                  <c:v>163.70923670502859</c:v>
                </c:pt>
                <c:pt idx="139">
                  <c:v>160.10835907943888</c:v>
                </c:pt>
                <c:pt idx="140">
                  <c:v>156.42459224619876</c:v>
                </c:pt>
                <c:pt idx="141">
                  <c:v>152.68114723909764</c:v>
                </c:pt>
                <c:pt idx="142">
                  <c:v>148.89862064680625</c:v>
                </c:pt>
                <c:pt idx="143">
                  <c:v>145.09520993542802</c:v>
                </c:pt>
                <c:pt idx="144">
                  <c:v>141.28693701098706</c:v>
                </c:pt>
                <c:pt idx="145">
                  <c:v>137.48783491904226</c:v>
                </c:pt>
                <c:pt idx="146">
                  <c:v>133.7101397484719</c:v>
                </c:pt>
                <c:pt idx="147">
                  <c:v>129.96446063437418</c:v>
                </c:pt>
                <c:pt idx="148">
                  <c:v>126.2599447736379</c:v>
                </c:pt>
                <c:pt idx="149">
                  <c:v>122.60441576913972</c:v>
                </c:pt>
                <c:pt idx="150">
                  <c:v>119.00451869599482</c:v>
                </c:pt>
                <c:pt idx="151">
                  <c:v>115.46584109851932</c:v>
                </c:pt>
                <c:pt idx="152">
                  <c:v>111.99302249464971</c:v>
                </c:pt>
                <c:pt idx="153">
                  <c:v>108.58985997723447</c:v>
                </c:pt>
                <c:pt idx="154">
                  <c:v>105.25940319014438</c:v>
                </c:pt>
                <c:pt idx="155">
                  <c:v>102.00403716131845</c:v>
                </c:pt>
                <c:pt idx="156">
                  <c:v>98.825561449522596</c:v>
                </c:pt>
                <c:pt idx="157">
                  <c:v>95.725257364884243</c:v>
                </c:pt>
                <c:pt idx="158">
                  <c:v>92.703948684214055</c:v>
                </c:pt>
                <c:pt idx="159">
                  <c:v>89.762063016848856</c:v>
                </c:pt>
                <c:pt idx="160">
                  <c:v>86.899673871695953</c:v>
                </c:pt>
                <c:pt idx="161">
                  <c:v>84.116558770469524</c:v>
                </c:pt>
                <c:pt idx="162">
                  <c:v>81.412228087468506</c:v>
                </c:pt>
                <c:pt idx="163">
                  <c:v>78.785968851344265</c:v>
                </c:pt>
                <c:pt idx="164">
                  <c:v>76.236868163867541</c:v>
                </c:pt>
                <c:pt idx="165">
                  <c:v>73.763852881728042</c:v>
                </c:pt>
                <c:pt idx="166">
                  <c:v>71.36571368582257</c:v>
                </c:pt>
                <c:pt idx="167">
                  <c:v>69.041118308521561</c:v>
                </c:pt>
                <c:pt idx="168">
                  <c:v>66.788642325010812</c:v>
                </c:pt>
                <c:pt idx="169">
                  <c:v>64.606782163717511</c:v>
                </c:pt>
                <c:pt idx="170">
                  <c:v>62.493977224034602</c:v>
                </c:pt>
                <c:pt idx="171">
                  <c:v>60.448610960522899</c:v>
                </c:pt>
                <c:pt idx="172">
                  <c:v>58.469037771125002</c:v>
                </c:pt>
                <c:pt idx="173">
                  <c:v>56.553588201335714</c:v>
                </c:pt>
                <c:pt idx="174">
                  <c:v>54.700574365212915</c:v>
                </c:pt>
                <c:pt idx="175">
                  <c:v>52.908302738963187</c:v>
                </c:pt>
                <c:pt idx="176">
                  <c:v>51.175080449314407</c:v>
                </c:pt>
                <c:pt idx="177">
                  <c:v>49.499223730292698</c:v>
                </c:pt>
                <c:pt idx="178">
                  <c:v>47.879062910552442</c:v>
                </c:pt>
                <c:pt idx="179">
                  <c:v>46.312937859727121</c:v>
                </c:pt>
                <c:pt idx="180">
                  <c:v>44.799218154589759</c:v>
                </c:pt>
                <c:pt idx="181">
                  <c:v>43.336291803350299</c:v>
                </c:pt>
                <c:pt idx="182">
                  <c:v>41.922578906603</c:v>
                </c:pt>
                <c:pt idx="183">
                  <c:v>40.556526453155996</c:v>
                </c:pt>
                <c:pt idx="184">
                  <c:v>39.236613307361281</c:v>
                </c:pt>
                <c:pt idx="185">
                  <c:v>37.961350642795601</c:v>
                </c:pt>
                <c:pt idx="186">
                  <c:v>36.729285411707394</c:v>
                </c:pt>
                <c:pt idx="187">
                  <c:v>35.539001212378516</c:v>
                </c:pt>
                <c:pt idx="188">
                  <c:v>34.389114385996457</c:v>
                </c:pt>
                <c:pt idx="189">
                  <c:v>33.278277919782106</c:v>
                </c:pt>
                <c:pt idx="190">
                  <c:v>32.205181121729154</c:v>
                </c:pt>
                <c:pt idx="191">
                  <c:v>31.168555692136223</c:v>
                </c:pt>
                <c:pt idx="192">
                  <c:v>30.167164231063861</c:v>
                </c:pt>
                <c:pt idx="193">
                  <c:v>29.199803599361253</c:v>
                </c:pt>
                <c:pt idx="194">
                  <c:v>28.265311315459062</c:v>
                </c:pt>
                <c:pt idx="195">
                  <c:v>27.362561110140515</c:v>
                </c:pt>
                <c:pt idx="196">
                  <c:v>26.490454361344231</c:v>
                </c:pt>
                <c:pt idx="197">
                  <c:v>25.647938417180939</c:v>
                </c:pt>
                <c:pt idx="198">
                  <c:v>24.833982851905912</c:v>
                </c:pt>
                <c:pt idx="199">
                  <c:v>24.047598005776106</c:v>
                </c:pt>
                <c:pt idx="200">
                  <c:v>23.287825010390172</c:v>
                </c:pt>
                <c:pt idx="201">
                  <c:v>22.5537353550076</c:v>
                </c:pt>
                <c:pt idx="202">
                  <c:v>21.844431537069998</c:v>
                </c:pt>
                <c:pt idx="203">
                  <c:v>21.159049881126769</c:v>
                </c:pt>
                <c:pt idx="204">
                  <c:v>20.496750781015539</c:v>
                </c:pt>
                <c:pt idx="205">
                  <c:v>19.856723578771941</c:v>
                </c:pt>
                <c:pt idx="206">
                  <c:v>19.238192744581994</c:v>
                </c:pt>
                <c:pt idx="207">
                  <c:v>18.640402806371913</c:v>
                </c:pt>
                <c:pt idx="208">
                  <c:v>18.062622903457225</c:v>
                </c:pt>
                <c:pt idx="209">
                  <c:v>17.504154484378198</c:v>
                </c:pt>
                <c:pt idx="210">
                  <c:v>16.964318296473767</c:v>
                </c:pt>
                <c:pt idx="211">
                  <c:v>16.442461324775447</c:v>
                </c:pt>
                <c:pt idx="212">
                  <c:v>15.937953539400807</c:v>
                </c:pt>
                <c:pt idx="213">
                  <c:v>15.450184317686301</c:v>
                </c:pt>
                <c:pt idx="214">
                  <c:v>14.978571876746171</c:v>
                </c:pt>
                <c:pt idx="215">
                  <c:v>14.52254690201965</c:v>
                </c:pt>
                <c:pt idx="216">
                  <c:v>14.0815623050905</c:v>
                </c:pt>
                <c:pt idx="217">
                  <c:v>13.655096367873321</c:v>
                </c:pt>
                <c:pt idx="218">
                  <c:v>13.242642117432258</c:v>
                </c:pt>
                <c:pt idx="219">
                  <c:v>12.843706567039481</c:v>
                </c:pt>
                <c:pt idx="220">
                  <c:v>12.457820582414959</c:v>
                </c:pt>
                <c:pt idx="221">
                  <c:v>12.084529449167547</c:v>
                </c:pt>
                <c:pt idx="222">
                  <c:v>11.723397209603693</c:v>
                </c:pt>
                <c:pt idx="223">
                  <c:v>11.37399842279091</c:v>
                </c:pt>
                <c:pt idx="224">
                  <c:v>11.03592878973908</c:v>
                </c:pt>
                <c:pt idx="225">
                  <c:v>10.708794853479809</c:v>
                </c:pt>
                <c:pt idx="226">
                  <c:v>10.392217847984137</c:v>
                </c:pt>
                <c:pt idx="227">
                  <c:v>10.085834457104065</c:v>
                </c:pt>
                <c:pt idx="228">
                  <c:v>9.7892928030245123</c:v>
                </c:pt>
                <c:pt idx="229">
                  <c:v>9.5022540183564708</c:v>
                </c:pt>
                <c:pt idx="230">
                  <c:v>9.2243914329853691</c:v>
                </c:pt>
                <c:pt idx="231">
                  <c:v>8.9553924714248776</c:v>
                </c:pt>
                <c:pt idx="232">
                  <c:v>8.6949514428724672</c:v>
                </c:pt>
                <c:pt idx="233">
                  <c:v>8.4427751248505878</c:v>
                </c:pt>
                <c:pt idx="234">
                  <c:v>8.1985846063503676</c:v>
                </c:pt>
                <c:pt idx="235">
                  <c:v>7.9621051505412987</c:v>
                </c:pt>
                <c:pt idx="236">
                  <c:v>7.7330753020694862</c:v>
                </c:pt>
                <c:pt idx="237">
                  <c:v>7.5112446644431952</c:v>
                </c:pt>
                <c:pt idx="238">
                  <c:v>7.2963689669129641</c:v>
                </c:pt>
                <c:pt idx="239">
                  <c:v>7.0882109318333439</c:v>
                </c:pt>
                <c:pt idx="240">
                  <c:v>6.8865474846073473</c:v>
                </c:pt>
                <c:pt idx="241">
                  <c:v>6.6911566890502652</c:v>
                </c:pt>
                <c:pt idx="242">
                  <c:v>6.5018303783449802</c:v>
                </c:pt>
                <c:pt idx="243">
                  <c:v>6.3183653730043696</c:v>
                </c:pt>
                <c:pt idx="244">
                  <c:v>6.1405647277038016</c:v>
                </c:pt>
                <c:pt idx="245">
                  <c:v>5.9682398996854795</c:v>
                </c:pt>
                <c:pt idx="246">
                  <c:v>5.8012100982371422</c:v>
                </c:pt>
                <c:pt idx="247">
                  <c:v>5.6392964842104378</c:v>
                </c:pt>
                <c:pt idx="248">
                  <c:v>5.4823325241516727</c:v>
                </c:pt>
                <c:pt idx="249">
                  <c:v>5.3301543409024763</c:v>
                </c:pt>
                <c:pt idx="250">
                  <c:v>5.1826012014907779</c:v>
                </c:pt>
                <c:pt idx="251">
                  <c:v>5.0395238654875332</c:v>
                </c:pt>
                <c:pt idx="252">
                  <c:v>4.9007762366500005</c:v>
                </c:pt>
                <c:pt idx="253">
                  <c:v>4.7662140076690234</c:v>
                </c:pt>
                <c:pt idx="254">
                  <c:v>4.6356996474990195</c:v>
                </c:pt>
                <c:pt idx="255">
                  <c:v>4.5091041360814659</c:v>
                </c:pt>
                <c:pt idx="256">
                  <c:v>4.3862986159881601</c:v>
                </c:pt>
                <c:pt idx="257">
                  <c:v>4.2671594881714405</c:v>
                </c:pt>
                <c:pt idx="258">
                  <c:v>4.1515707972089588</c:v>
                </c:pt>
                <c:pt idx="259">
                  <c:v>4.0394139313830459</c:v>
                </c:pt>
                <c:pt idx="260">
                  <c:v>3.9305809583674303</c:v>
                </c:pt>
                <c:pt idx="261">
                  <c:v>3.8249644879369273</c:v>
                </c:pt>
                <c:pt idx="262">
                  <c:v>3.7224627677176492</c:v>
                </c:pt>
                <c:pt idx="263">
                  <c:v>3.6229719311414721</c:v>
                </c:pt>
                <c:pt idx="264">
                  <c:v>3.5263995499731915</c:v>
                </c:pt>
                <c:pt idx="265">
                  <c:v>3.4326517323046701</c:v>
                </c:pt>
                <c:pt idx="266">
                  <c:v>3.3416397903981987</c:v>
                </c:pt>
                <c:pt idx="267">
                  <c:v>3.2532746028351989</c:v>
                </c:pt>
                <c:pt idx="268">
                  <c:v>3.1674750441881145</c:v>
                </c:pt>
                <c:pt idx="269">
                  <c:v>3.0841601787647694</c:v>
                </c:pt>
                <c:pt idx="270">
                  <c:v>3.0032498027094539</c:v>
                </c:pt>
                <c:pt idx="271">
                  <c:v>2.924669295807647</c:v>
                </c:pt>
                <c:pt idx="272">
                  <c:v>2.8483458809885205</c:v>
                </c:pt>
                <c:pt idx="273">
                  <c:v>2.7742100879978722</c:v>
                </c:pt>
                <c:pt idx="274">
                  <c:v>2.7021930971028034</c:v>
                </c:pt>
                <c:pt idx="275">
                  <c:v>2.6322271456675344</c:v>
                </c:pt>
                <c:pt idx="276">
                  <c:v>2.5642537138798049</c:v>
                </c:pt>
                <c:pt idx="277">
                  <c:v>2.4982059877807354</c:v>
                </c:pt>
                <c:pt idx="278">
                  <c:v>2.4340263420248589</c:v>
                </c:pt>
                <c:pt idx="279">
                  <c:v>2.3716563381150775</c:v>
                </c:pt>
                <c:pt idx="280">
                  <c:v>2.3110445848684158</c:v>
                </c:pt>
                <c:pt idx="281">
                  <c:v>2.2521331587838089</c:v>
                </c:pt>
                <c:pt idx="282">
                  <c:v>2.1948689610598593</c:v>
                </c:pt>
                <c:pt idx="283">
                  <c:v>2.1392051270576613</c:v>
                </c:pt>
                <c:pt idx="284">
                  <c:v>2.085093491095702</c:v>
                </c:pt>
                <c:pt idx="285">
                  <c:v>2.0324849388155681</c:v>
                </c:pt>
                <c:pt idx="286">
                  <c:v>1.9813350992433505</c:v>
                </c:pt>
                <c:pt idx="287">
                  <c:v>1.9315979751018815</c:v>
                </c:pt>
                <c:pt idx="288">
                  <c:v>1.8832328817046384</c:v>
                </c:pt>
                <c:pt idx="289">
                  <c:v>1.8361981043730353</c:v>
                </c:pt>
                <c:pt idx="290">
                  <c:v>1.790453636046907</c:v>
                </c:pt>
                <c:pt idx="291">
                  <c:v>1.7459615025451625</c:v>
                </c:pt>
                <c:pt idx="292">
                  <c:v>1.7026846512585569</c:v>
                </c:pt>
                <c:pt idx="293">
                  <c:v>1.6605853519514879</c:v>
                </c:pt>
                <c:pt idx="294">
                  <c:v>1.6196307804031835</c:v>
                </c:pt>
                <c:pt idx="295">
                  <c:v>1.5797865674047757</c:v>
                </c:pt>
                <c:pt idx="296">
                  <c:v>1.5410178829614736</c:v>
                </c:pt>
                <c:pt idx="297">
                  <c:v>1.5032946946730992</c:v>
                </c:pt>
                <c:pt idx="298">
                  <c:v>1.4665855064665418</c:v>
                </c:pt>
                <c:pt idx="299">
                  <c:v>1.4308628338167291</c:v>
                </c:pt>
                <c:pt idx="300">
                  <c:v>1.3960977014206011</c:v>
                </c:pt>
                <c:pt idx="301">
                  <c:v>1.362257366372549</c:v>
                </c:pt>
                <c:pt idx="302">
                  <c:v>1.3293194263451837</c:v>
                </c:pt>
                <c:pt idx="303">
                  <c:v>1.29725622063058</c:v>
                </c:pt>
                <c:pt idx="304">
                  <c:v>1.2660451707184952</c:v>
                </c:pt>
                <c:pt idx="305">
                  <c:v>1.2356568134148926</c:v>
                </c:pt>
                <c:pt idx="306">
                  <c:v>1.2060708605866195</c:v>
                </c:pt>
                <c:pt idx="307">
                  <c:v>1.1772633920232451</c:v>
                </c:pt>
                <c:pt idx="308">
                  <c:v>1.1492130218369174</c:v>
                </c:pt>
                <c:pt idx="309">
                  <c:v>1.1218959111323688</c:v>
                </c:pt>
                <c:pt idx="310">
                  <c:v>1.0952897795549545</c:v>
                </c:pt>
                <c:pt idx="311">
                  <c:v>1.0693808170795029</c:v>
                </c:pt>
                <c:pt idx="312">
                  <c:v>1.0441427318033312</c:v>
                </c:pt>
                <c:pt idx="313">
                  <c:v>1.0195611580476536</c:v>
                </c:pt>
                <c:pt idx="314">
                  <c:v>0.99561639043798533</c:v>
                </c:pt>
                <c:pt idx="315">
                  <c:v>0.97228739545218024</c:v>
                </c:pt>
                <c:pt idx="316">
                  <c:v>0.94955705624844011</c:v>
                </c:pt>
                <c:pt idx="317">
                  <c:v>0.92741409712417122</c:v>
                </c:pt>
                <c:pt idx="318">
                  <c:v>0.90583881270488864</c:v>
                </c:pt>
                <c:pt idx="319">
                  <c:v>0.88481418101648424</c:v>
                </c:pt>
                <c:pt idx="320">
                  <c:v>0.86432267864134527</c:v>
                </c:pt>
                <c:pt idx="321">
                  <c:v>0.84435610630054225</c:v>
                </c:pt>
                <c:pt idx="322">
                  <c:v>0.82489489414486195</c:v>
                </c:pt>
                <c:pt idx="323">
                  <c:v>0.80592752252622168</c:v>
                </c:pt>
                <c:pt idx="324">
                  <c:v>0.78743905655969537</c:v>
                </c:pt>
                <c:pt idx="325">
                  <c:v>0.76941682463239214</c:v>
                </c:pt>
                <c:pt idx="326">
                  <c:v>0.75184574278158722</c:v>
                </c:pt>
                <c:pt idx="327">
                  <c:v>0.73471736778286256</c:v>
                </c:pt>
                <c:pt idx="328">
                  <c:v>0.71801875697278394</c:v>
                </c:pt>
                <c:pt idx="329">
                  <c:v>0.70173593769585352</c:v>
                </c:pt>
                <c:pt idx="330">
                  <c:v>0.6858566584675222</c:v>
                </c:pt>
                <c:pt idx="331">
                  <c:v>0.67037507814858566</c:v>
                </c:pt>
                <c:pt idx="332">
                  <c:v>0.65527554357017881</c:v>
                </c:pt>
                <c:pt idx="333">
                  <c:v>0.64055199675266272</c:v>
                </c:pt>
                <c:pt idx="334">
                  <c:v>0.62619024820010505</c:v>
                </c:pt>
                <c:pt idx="335">
                  <c:v>0.61218222060632077</c:v>
                </c:pt>
                <c:pt idx="336">
                  <c:v>0.59851887443569673</c:v>
                </c:pt>
                <c:pt idx="337">
                  <c:v>0.58518928635134526</c:v>
                </c:pt>
                <c:pt idx="338">
                  <c:v>0.57218422708227301</c:v>
                </c:pt>
                <c:pt idx="339">
                  <c:v>0.55950078283514149</c:v>
                </c:pt>
                <c:pt idx="340">
                  <c:v>0.54712453372105652</c:v>
                </c:pt>
                <c:pt idx="341">
                  <c:v>0.53505023491200876</c:v>
                </c:pt>
                <c:pt idx="342">
                  <c:v>0.52326784398537551</c:v>
                </c:pt>
                <c:pt idx="343">
                  <c:v>0.51176948692287927</c:v>
                </c:pt>
                <c:pt idx="344">
                  <c:v>0.50054784535985553</c:v>
                </c:pt>
                <c:pt idx="345">
                  <c:v>0.48959775578345799</c:v>
                </c:pt>
                <c:pt idx="346">
                  <c:v>0.47891040905103516</c:v>
                </c:pt>
                <c:pt idx="347">
                  <c:v>0.46848154289279648</c:v>
                </c:pt>
                <c:pt idx="348">
                  <c:v>0.45829950891165122</c:v>
                </c:pt>
                <c:pt idx="349">
                  <c:v>0.44836123068393507</c:v>
                </c:pt>
                <c:pt idx="350">
                  <c:v>0.43865762124018981</c:v>
                </c:pt>
                <c:pt idx="351">
                  <c:v>0.42918780644241389</c:v>
                </c:pt>
                <c:pt idx="352">
                  <c:v>0.4199420623523728</c:v>
                </c:pt>
                <c:pt idx="353">
                  <c:v>0.41091459526470742</c:v>
                </c:pt>
                <c:pt idx="354">
                  <c:v>0.40209782254047383</c:v>
                </c:pt>
                <c:pt idx="355">
                  <c:v>0.3934902127441034</c:v>
                </c:pt>
                <c:pt idx="356">
                  <c:v>0.38508598572276415</c:v>
                </c:pt>
                <c:pt idx="357">
                  <c:v>0.37687838554166869</c:v>
                </c:pt>
                <c:pt idx="358">
                  <c:v>0.36886280434158397</c:v>
                </c:pt>
                <c:pt idx="359">
                  <c:v>0.36103378045406614</c:v>
                </c:pt>
                <c:pt idx="360">
                  <c:v>0.35338958593190278</c:v>
                </c:pt>
                <c:pt idx="361">
                  <c:v>0.34592000894588182</c:v>
                </c:pt>
                <c:pt idx="362">
                  <c:v>0.33862655382651752</c:v>
                </c:pt>
                <c:pt idx="363">
                  <c:v>0.33149980156743641</c:v>
                </c:pt>
                <c:pt idx="364">
                  <c:v>0.32453676383640068</c:v>
                </c:pt>
                <c:pt idx="365">
                  <c:v>0.31773664781057159</c:v>
                </c:pt>
                <c:pt idx="366">
                  <c:v>0.31109239939956446</c:v>
                </c:pt>
                <c:pt idx="367">
                  <c:v>0.30460088796960622</c:v>
                </c:pt>
                <c:pt idx="368">
                  <c:v>0.29825656376082643</c:v>
                </c:pt>
                <c:pt idx="369">
                  <c:v>0.29206011795211012</c:v>
                </c:pt>
                <c:pt idx="370">
                  <c:v>0.2859995362281334</c:v>
                </c:pt>
                <c:pt idx="371">
                  <c:v>0.28008288234255413</c:v>
                </c:pt>
                <c:pt idx="372">
                  <c:v>0.2742973965910549</c:v>
                </c:pt>
                <c:pt idx="373">
                  <c:v>0.26864541678457005</c:v>
                </c:pt>
                <c:pt idx="374">
                  <c:v>0.26311876397296097</c:v>
                </c:pt>
                <c:pt idx="375">
                  <c:v>0.25771932873376591</c:v>
                </c:pt>
                <c:pt idx="376">
                  <c:v>0.25243837646323281</c:v>
                </c:pt>
                <c:pt idx="377">
                  <c:v>0.2472777841863727</c:v>
                </c:pt>
                <c:pt idx="378">
                  <c:v>0.24223397403601646</c:v>
                </c:pt>
                <c:pt idx="379">
                  <c:v>0.23730397800871689</c:v>
                </c:pt>
                <c:pt idx="380">
                  <c:v>0.23248114181364035</c:v>
                </c:pt>
                <c:pt idx="381">
                  <c:v>0.2277657297250664</c:v>
                </c:pt>
                <c:pt idx="382">
                  <c:v>0.2231570370115829</c:v>
                </c:pt>
                <c:pt idx="383">
                  <c:v>0.21865097758625232</c:v>
                </c:pt>
                <c:pt idx="384">
                  <c:v>0.2142416425472346</c:v>
                </c:pt>
                <c:pt idx="385">
                  <c:v>0.20993467652209025</c:v>
                </c:pt>
                <c:pt idx="386">
                  <c:v>0.20571914939766789</c:v>
                </c:pt>
                <c:pt idx="387">
                  <c:v>0.20159676879238919</c:v>
                </c:pt>
                <c:pt idx="388">
                  <c:v>0.19756609136211203</c:v>
                </c:pt>
                <c:pt idx="389">
                  <c:v>0.1936239458154819</c:v>
                </c:pt>
                <c:pt idx="390">
                  <c:v>0.18976745562860992</c:v>
                </c:pt>
                <c:pt idx="391">
                  <c:v>0.18599516390482679</c:v>
                </c:pt>
                <c:pt idx="392">
                  <c:v>0.1823043635268331</c:v>
                </c:pt>
                <c:pt idx="393">
                  <c:v>0.17869480716100825</c:v>
                </c:pt>
                <c:pt idx="394">
                  <c:v>0.17516242566107365</c:v>
                </c:pt>
                <c:pt idx="395">
                  <c:v>0.17171118991748599</c:v>
                </c:pt>
                <c:pt idx="396">
                  <c:v>0.16832754401495745</c:v>
                </c:pt>
                <c:pt idx="397">
                  <c:v>0.16502306858794288</c:v>
                </c:pt>
                <c:pt idx="398">
                  <c:v>0.16178667766922861</c:v>
                </c:pt>
                <c:pt idx="399">
                  <c:v>0.15862096995589681</c:v>
                </c:pt>
                <c:pt idx="400">
                  <c:v>0.1555229740563685</c:v>
                </c:pt>
                <c:pt idx="401">
                  <c:v>0.15249032505465498</c:v>
                </c:pt>
                <c:pt idx="402">
                  <c:v>0.14952582493574576</c:v>
                </c:pt>
                <c:pt idx="403">
                  <c:v>0.14661805569551184</c:v>
                </c:pt>
                <c:pt idx="404">
                  <c:v>0.14377929931168842</c:v>
                </c:pt>
                <c:pt idx="405">
                  <c:v>0.14099599309272404</c:v>
                </c:pt>
                <c:pt idx="406">
                  <c:v>0.13827447284506419</c:v>
                </c:pt>
                <c:pt idx="407">
                  <c:v>0.1356085552281939</c:v>
                </c:pt>
                <c:pt idx="408">
                  <c:v>0.13299909743945579</c:v>
                </c:pt>
                <c:pt idx="409">
                  <c:v>0.13044684825597522</c:v>
                </c:pt>
                <c:pt idx="410">
                  <c:v>0.12794677969017731</c:v>
                </c:pt>
                <c:pt idx="411">
                  <c:v>0.12549917295700055</c:v>
                </c:pt>
                <c:pt idx="412">
                  <c:v>0.1231044719017093</c:v>
                </c:pt>
                <c:pt idx="413">
                  <c:v>0.12075877000835081</c:v>
                </c:pt>
                <c:pt idx="414">
                  <c:v>0.11845964815082773</c:v>
                </c:pt>
                <c:pt idx="415">
                  <c:v>0.11621367930481075</c:v>
                </c:pt>
                <c:pt idx="416">
                  <c:v>0.11401154949601186</c:v>
                </c:pt>
                <c:pt idx="417">
                  <c:v>0.111854576707697</c:v>
                </c:pt>
                <c:pt idx="418">
                  <c:v>0.10974451260400107</c:v>
                </c:pt>
                <c:pt idx="419">
                  <c:v>0.10767391345938362</c:v>
                </c:pt>
                <c:pt idx="420">
                  <c:v>0.10565108697299132</c:v>
                </c:pt>
                <c:pt idx="421">
                  <c:v>0.10366436780707457</c:v>
                </c:pt>
                <c:pt idx="422">
                  <c:v>0.10172173501199651</c:v>
                </c:pt>
                <c:pt idx="423">
                  <c:v>9.9818590892919445E-2</c:v>
                </c:pt>
                <c:pt idx="424">
                  <c:v>9.7954013877996765E-2</c:v>
                </c:pt>
                <c:pt idx="425">
                  <c:v>9.6128762908749207E-2</c:v>
                </c:pt>
                <c:pt idx="426">
                  <c:v>9.4343867977240634E-2</c:v>
                </c:pt>
                <c:pt idx="427">
                  <c:v>9.2588351536474628E-2</c:v>
                </c:pt>
                <c:pt idx="428">
                  <c:v>9.087407543584454E-2</c:v>
                </c:pt>
                <c:pt idx="429">
                  <c:v>8.9189852064183034E-2</c:v>
                </c:pt>
                <c:pt idx="430">
                  <c:v>8.75441991848077E-2</c:v>
                </c:pt>
                <c:pt idx="431">
                  <c:v>8.5931577202243495E-2</c:v>
                </c:pt>
                <c:pt idx="432">
                  <c:v>8.4349204460291635E-2</c:v>
                </c:pt>
                <c:pt idx="433">
                  <c:v>8.2799096897366586E-2</c:v>
                </c:pt>
                <c:pt idx="434">
                  <c:v>8.127948929680627E-2</c:v>
                </c:pt>
                <c:pt idx="435">
                  <c:v>7.9791594609791155E-2</c:v>
                </c:pt>
                <c:pt idx="436">
                  <c:v>7.8333579857023383E-2</c:v>
                </c:pt>
                <c:pt idx="437">
                  <c:v>7.6906041349697821E-2</c:v>
                </c:pt>
                <c:pt idx="438">
                  <c:v>7.5505167439551824E-2</c:v>
                </c:pt>
                <c:pt idx="439">
                  <c:v>7.4135271218352811E-2</c:v>
                </c:pt>
                <c:pt idx="440">
                  <c:v>7.2788961476603048E-2</c:v>
                </c:pt>
                <c:pt idx="441">
                  <c:v>7.146744269515351E-2</c:v>
                </c:pt>
                <c:pt idx="442">
                  <c:v>7.0176745748588676E-2</c:v>
                </c:pt>
                <c:pt idx="443">
                  <c:v>6.891152247087956E-2</c:v>
                </c:pt>
                <c:pt idx="444">
                  <c:v>6.7670356622938355E-2</c:v>
                </c:pt>
                <c:pt idx="445">
                  <c:v>6.6451564303265931E-2</c:v>
                </c:pt>
                <c:pt idx="446">
                  <c:v>6.5259604293296636E-2</c:v>
                </c:pt>
                <c:pt idx="447">
                  <c:v>6.4091606845405158E-2</c:v>
                </c:pt>
                <c:pt idx="448">
                  <c:v>6.2944232955713428E-2</c:v>
                </c:pt>
                <c:pt idx="449">
                  <c:v>6.181746060136481E-2</c:v>
                </c:pt>
                <c:pt idx="450">
                  <c:v>6.0716920857392664E-2</c:v>
                </c:pt>
                <c:pt idx="451">
                  <c:v>5.963277120094989E-2</c:v>
                </c:pt>
                <c:pt idx="452">
                  <c:v>5.8576377120122744E-2</c:v>
                </c:pt>
                <c:pt idx="453">
                  <c:v>5.7537708050749842E-2</c:v>
                </c:pt>
                <c:pt idx="454">
                  <c:v>5.6518495328175371E-2</c:v>
                </c:pt>
                <c:pt idx="455">
                  <c:v>5.5520566849499506E-2</c:v>
                </c:pt>
                <c:pt idx="456">
                  <c:v>5.4538740467150945E-2</c:v>
                </c:pt>
                <c:pt idx="457">
                  <c:v>5.3576936249609582E-2</c:v>
                </c:pt>
                <c:pt idx="458">
                  <c:v>5.2636609399478798E-2</c:v>
                </c:pt>
                <c:pt idx="459">
                  <c:v>5.1713299441258354E-2</c:v>
                </c:pt>
                <c:pt idx="460">
                  <c:v>5.0805397012348465E-2</c:v>
                </c:pt>
                <c:pt idx="461">
                  <c:v>4.9914816407209926E-2</c:v>
                </c:pt>
                <c:pt idx="462">
                  <c:v>4.9046927814728331E-2</c:v>
                </c:pt>
                <c:pt idx="463">
                  <c:v>4.818943401057544E-2</c:v>
                </c:pt>
                <c:pt idx="464">
                  <c:v>4.7352119919357935E-2</c:v>
                </c:pt>
                <c:pt idx="465">
                  <c:v>4.6529603493728963E-2</c:v>
                </c:pt>
                <c:pt idx="466">
                  <c:v>4.5722611487957268E-2</c:v>
                </c:pt>
                <c:pt idx="467">
                  <c:v>4.492840459749143E-2</c:v>
                </c:pt>
                <c:pt idx="468">
                  <c:v>4.415214294704612E-2</c:v>
                </c:pt>
                <c:pt idx="469">
                  <c:v>4.3385983011529766E-2</c:v>
                </c:pt>
                <c:pt idx="470">
                  <c:v>4.2638637371837824E-2</c:v>
                </c:pt>
                <c:pt idx="471">
                  <c:v>4.1907251526938048E-2</c:v>
                </c:pt>
                <c:pt idx="472">
                  <c:v>4.1186665352115764E-2</c:v>
                </c:pt>
                <c:pt idx="473">
                  <c:v>4.0479967129496662E-2</c:v>
                </c:pt>
                <c:pt idx="474">
                  <c:v>3.9787016251611497E-2</c:v>
                </c:pt>
                <c:pt idx="475">
                  <c:v>3.9103819805146912E-2</c:v>
                </c:pt>
                <c:pt idx="476">
                  <c:v>3.8439593508569035E-2</c:v>
                </c:pt>
                <c:pt idx="477">
                  <c:v>3.7783890057506431E-2</c:v>
                </c:pt>
                <c:pt idx="478">
                  <c:v>3.7145056114621343E-2</c:v>
                </c:pt>
                <c:pt idx="479">
                  <c:v>3.6509417180013298E-2</c:v>
                </c:pt>
                <c:pt idx="480">
                  <c:v>3.5892573906504827E-2</c:v>
                </c:pt>
                <c:pt idx="481">
                  <c:v>3.528508865299762E-2</c:v>
                </c:pt>
                <c:pt idx="482">
                  <c:v>3.4687632269585905E-2</c:v>
                </c:pt>
                <c:pt idx="483">
                  <c:v>3.4099513577384721E-2</c:v>
                </c:pt>
                <c:pt idx="484">
                  <c:v>3.3528125479957704E-2</c:v>
                </c:pt>
                <c:pt idx="485">
                  <c:v>3.2961658643954235E-2</c:v>
                </c:pt>
                <c:pt idx="486">
                  <c:v>3.2409713340798493E-2</c:v>
                </c:pt>
                <c:pt idx="487">
                  <c:v>3.1865862284486714E-2</c:v>
                </c:pt>
                <c:pt idx="488">
                  <c:v>3.1333876465700072E-2</c:v>
                </c:pt>
                <c:pt idx="489">
                  <c:v>3.0806571350979958E-2</c:v>
                </c:pt>
                <c:pt idx="490">
                  <c:v>3.0296405100914588E-2</c:v>
                </c:pt>
                <c:pt idx="491">
                  <c:v>2.9789469434510045E-2</c:v>
                </c:pt>
                <c:pt idx="492">
                  <c:v>2.9293706979712734E-2</c:v>
                </c:pt>
                <c:pt idx="493">
                  <c:v>2.8810128246828728E-2</c:v>
                </c:pt>
                <c:pt idx="494">
                  <c:v>2.8328277461157122E-2</c:v>
                </c:pt>
                <c:pt idx="495">
                  <c:v>2.7862293296653483E-2</c:v>
                </c:pt>
                <c:pt idx="496">
                  <c:v>2.7398436878913347E-2</c:v>
                </c:pt>
                <c:pt idx="497">
                  <c:v>2.6949319681488382E-2</c:v>
                </c:pt>
                <c:pt idx="498">
                  <c:v>2.6501739848862685E-2</c:v>
                </c:pt>
                <c:pt idx="499">
                  <c:v>2.6070338345529544E-2</c:v>
                </c:pt>
                <c:pt idx="500">
                  <c:v>2.5638017811448633E-2</c:v>
                </c:pt>
                <c:pt idx="501">
                  <c:v>2.5215623656476595E-2</c:v>
                </c:pt>
                <c:pt idx="502">
                  <c:v>2.4807441867326536E-2</c:v>
                </c:pt>
                <c:pt idx="503">
                  <c:v>2.4400490817048839E-2</c:v>
                </c:pt>
                <c:pt idx="504">
                  <c:v>2.4003534755548742E-2</c:v>
                </c:pt>
                <c:pt idx="505">
                  <c:v>2.361251554797595E-2</c:v>
                </c:pt>
                <c:pt idx="506">
                  <c:v>2.3229288196484951E-2</c:v>
                </c:pt>
                <c:pt idx="507">
                  <c:v>2.2851198946851996E-2</c:v>
                </c:pt>
                <c:pt idx="508">
                  <c:v>2.247590490594498E-2</c:v>
                </c:pt>
                <c:pt idx="509">
                  <c:v>2.2116627411037596E-2</c:v>
                </c:pt>
                <c:pt idx="510">
                  <c:v>2.1758585737200256E-2</c:v>
                </c:pt>
                <c:pt idx="511">
                  <c:v>2.1406853611787013E-2</c:v>
                </c:pt>
                <c:pt idx="512">
                  <c:v>2.1060264670429499E-2</c:v>
                </c:pt>
                <c:pt idx="513">
                  <c:v>2.0721063550437936E-2</c:v>
                </c:pt>
                <c:pt idx="514">
                  <c:v>2.0389019011817725E-2</c:v>
                </c:pt>
                <c:pt idx="515">
                  <c:v>2.0063573706889572E-2</c:v>
                </c:pt>
                <c:pt idx="516">
                  <c:v>1.9739275284572002E-2</c:v>
                </c:pt>
                <c:pt idx="517">
                  <c:v>1.9425999301997052E-2</c:v>
                </c:pt>
                <c:pt idx="518">
                  <c:v>1.9113968457854565E-2</c:v>
                </c:pt>
                <c:pt idx="519">
                  <c:v>1.8811651387551191E-2</c:v>
                </c:pt>
                <c:pt idx="520">
                  <c:v>1.8508123060133243E-2</c:v>
                </c:pt>
                <c:pt idx="521">
                  <c:v>1.8214234814687997E-2</c:v>
                </c:pt>
                <c:pt idx="522">
                  <c:v>1.7927186360291829E-2</c:v>
                </c:pt>
                <c:pt idx="523">
                  <c:v>1.7640690171377271E-2</c:v>
                </c:pt>
                <c:pt idx="524">
                  <c:v>1.7358675633786635E-2</c:v>
                </c:pt>
                <c:pt idx="525">
                  <c:v>1.7085664209392365E-2</c:v>
                </c:pt>
                <c:pt idx="526">
                  <c:v>1.6817756158505302E-2</c:v>
                </c:pt>
                <c:pt idx="527">
                  <c:v>1.6551576901863586E-2</c:v>
                </c:pt>
                <c:pt idx="528">
                  <c:v>1.6291420896509794E-2</c:v>
                </c:pt>
                <c:pt idx="529">
                  <c:v>1.6036036227747887E-2</c:v>
                </c:pt>
                <c:pt idx="530">
                  <c:v>1.5785005308334866E-2</c:v>
                </c:pt>
                <c:pt idx="531">
                  <c:v>1.5537082152805321E-2</c:v>
                </c:pt>
                <c:pt idx="532">
                  <c:v>1.5292409062694391E-2</c:v>
                </c:pt>
                <c:pt idx="533">
                  <c:v>1.5054002322327249E-2</c:v>
                </c:pt>
                <c:pt idx="534">
                  <c:v>1.4819078581439216E-2</c:v>
                </c:pt>
                <c:pt idx="535">
                  <c:v>1.4589670719103703E-2</c:v>
                </c:pt>
                <c:pt idx="536">
                  <c:v>1.4361881536730393E-2</c:v>
                </c:pt>
                <c:pt idx="537">
                  <c:v>1.4135332410591863E-2</c:v>
                </c:pt>
                <c:pt idx="538">
                  <c:v>1.3917223120739775E-2</c:v>
                </c:pt>
                <c:pt idx="539">
                  <c:v>1.3703403205732583E-2</c:v>
                </c:pt>
                <c:pt idx="540">
                  <c:v>1.3490815723663646E-2</c:v>
                </c:pt>
                <c:pt idx="541">
                  <c:v>1.3280222157152546E-2</c:v>
                </c:pt>
                <c:pt idx="542">
                  <c:v>1.3076691151355652E-2</c:v>
                </c:pt>
                <c:pt idx="543">
                  <c:v>1.287528789232226E-2</c:v>
                </c:pt>
                <c:pt idx="544">
                  <c:v>1.2678705944824641E-2</c:v>
                </c:pt>
                <c:pt idx="545">
                  <c:v>1.2482501774021496E-2</c:v>
                </c:pt>
                <c:pt idx="546">
                  <c:v>1.2293781139307344E-2</c:v>
                </c:pt>
                <c:pt idx="547">
                  <c:v>1.2102355081359661E-2</c:v>
                </c:pt>
                <c:pt idx="548">
                  <c:v>1.1917828953800311E-2</c:v>
                </c:pt>
                <c:pt idx="549">
                  <c:v>1.1734684760494407E-2</c:v>
                </c:pt>
                <c:pt idx="550">
                  <c:v>1.1556509262457097E-2</c:v>
                </c:pt>
                <c:pt idx="551">
                  <c:v>1.1381096362377257E-2</c:v>
                </c:pt>
                <c:pt idx="552">
                  <c:v>1.1209846205716698E-2</c:v>
                </c:pt>
                <c:pt idx="553">
                  <c:v>1.1040266398028124E-2</c:v>
                </c:pt>
                <c:pt idx="554">
                  <c:v>1.0868734602912603E-2</c:v>
                </c:pt>
                <c:pt idx="555">
                  <c:v>1.0707594631510471E-2</c:v>
                </c:pt>
                <c:pt idx="556">
                  <c:v>1.0547078076357519E-2</c:v>
                </c:pt>
                <c:pt idx="557">
                  <c:v>1.038751358623728E-2</c:v>
                </c:pt>
                <c:pt idx="558">
                  <c:v>1.0230321211885827E-2</c:v>
                </c:pt>
                <c:pt idx="559">
                  <c:v>1.0073591741040049E-2</c:v>
                </c:pt>
                <c:pt idx="560">
                  <c:v>9.9199149769361745E-3</c:v>
                </c:pt>
                <c:pt idx="561">
                  <c:v>9.774184228910493E-3</c:v>
                </c:pt>
                <c:pt idx="562">
                  <c:v>9.6253990800770125E-3</c:v>
                </c:pt>
                <c:pt idx="563">
                  <c:v>9.4835854359159085E-3</c:v>
                </c:pt>
                <c:pt idx="564">
                  <c:v>9.3402776256358479E-3</c:v>
                </c:pt>
                <c:pt idx="565">
                  <c:v>9.2029837492812929E-3</c:v>
                </c:pt>
                <c:pt idx="566">
                  <c:v>9.0660723083024232E-3</c:v>
                </c:pt>
                <c:pt idx="567">
                  <c:v>8.9301624837836817E-3</c:v>
                </c:pt>
                <c:pt idx="568">
                  <c:v>8.7951403497936627E-3</c:v>
                </c:pt>
                <c:pt idx="569">
                  <c:v>8.6656396000703208E-3</c:v>
                </c:pt>
                <c:pt idx="570">
                  <c:v>8.5403702034349879E-3</c:v>
                </c:pt>
                <c:pt idx="571">
                  <c:v>8.4099296706566674E-3</c:v>
                </c:pt>
                <c:pt idx="572">
                  <c:v>8.2865165467252422E-3</c:v>
                </c:pt>
                <c:pt idx="573">
                  <c:v>8.162781973790334E-3</c:v>
                </c:pt>
                <c:pt idx="574">
                  <c:v>8.0449114099492673E-3</c:v>
                </c:pt>
                <c:pt idx="575">
                  <c:v>7.9290063860623042E-3</c:v>
                </c:pt>
                <c:pt idx="576">
                  <c:v>7.8075270383494606E-3</c:v>
                </c:pt>
                <c:pt idx="577">
                  <c:v>7.6955907873368576E-3</c:v>
                </c:pt>
                <c:pt idx="578">
                  <c:v>7.579812394875509E-3</c:v>
                </c:pt>
                <c:pt idx="579">
                  <c:v>7.4727368424307248E-3</c:v>
                </c:pt>
                <c:pt idx="580">
                  <c:v>7.3609284933931571E-3</c:v>
                </c:pt>
                <c:pt idx="581">
                  <c:v>7.2548736156498143E-3</c:v>
                </c:pt>
                <c:pt idx="582">
                  <c:v>7.1490914825154874E-3</c:v>
                </c:pt>
                <c:pt idx="583">
                  <c:v>7.0452744658187905E-3</c:v>
                </c:pt>
                <c:pt idx="584">
                  <c:v>6.9446664334427664E-3</c:v>
                </c:pt>
                <c:pt idx="585">
                  <c:v>6.8446305718226127E-3</c:v>
                </c:pt>
                <c:pt idx="586">
                  <c:v>6.7388759672590715E-3</c:v>
                </c:pt>
                <c:pt idx="587">
                  <c:v>6.6423269167662901E-3</c:v>
                </c:pt>
                <c:pt idx="588">
                  <c:v>6.5497529918949731E-3</c:v>
                </c:pt>
                <c:pt idx="589">
                  <c:v>6.4490678795207489E-3</c:v>
                </c:pt>
                <c:pt idx="590">
                  <c:v>6.3607905292743794E-3</c:v>
                </c:pt>
                <c:pt idx="591">
                  <c:v>6.2698407900794225E-3</c:v>
                </c:pt>
                <c:pt idx="592">
                  <c:v>6.1752331391017479E-3</c:v>
                </c:pt>
                <c:pt idx="593">
                  <c:v>6.0897077989010076E-3</c:v>
                </c:pt>
                <c:pt idx="594">
                  <c:v>5.9972545762246744E-3</c:v>
                </c:pt>
                <c:pt idx="595">
                  <c:v>5.9125563636969278E-3</c:v>
                </c:pt>
                <c:pt idx="596">
                  <c:v>5.830026979030626E-3</c:v>
                </c:pt>
                <c:pt idx="597">
                  <c:v>5.7514807667987874E-3</c:v>
                </c:pt>
                <c:pt idx="598">
                  <c:v>5.6657661147343358E-3</c:v>
                </c:pt>
                <c:pt idx="599">
                  <c:v>5.587125881845352E-3</c:v>
                </c:pt>
                <c:pt idx="600">
                  <c:v>5.5090997478431276E-3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8E-4B2F-9732-48475129C680}"/>
            </c:ext>
          </c:extLst>
        </c:ser>
        <c:ser>
          <c:idx val="1"/>
          <c:order val="1"/>
          <c:tx>
            <c:strRef>
              <c:f>Densities!$T$4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Densities!$T$5:$T$605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3.8168350217872866E-42</c:v>
                </c:pt>
                <c:pt idx="52">
                  <c:v>1.1890467802011467E-29</c:v>
                </c:pt>
                <c:pt idx="53">
                  <c:v>2.5635948096283242E-23</c:v>
                </c:pt>
                <c:pt idx="54">
                  <c:v>2.9211408847168149E-19</c:v>
                </c:pt>
                <c:pt idx="55">
                  <c:v>2.3025586867928831E-16</c:v>
                </c:pt>
                <c:pt idx="56">
                  <c:v>3.6882058549275201E-14</c:v>
                </c:pt>
                <c:pt idx="57">
                  <c:v>2.0749790700483373E-12</c:v>
                </c:pt>
                <c:pt idx="58">
                  <c:v>5.6084294233549114E-11</c:v>
                </c:pt>
                <c:pt idx="59">
                  <c:v>8.8485362499563695E-10</c:v>
                </c:pt>
                <c:pt idx="60">
                  <c:v>9.2677211696857425E-9</c:v>
                </c:pt>
                <c:pt idx="61">
                  <c:v>7.0438751918646826E-8</c:v>
                </c:pt>
                <c:pt idx="62">
                  <c:v>4.1414669126451685E-7</c:v>
                </c:pt>
                <c:pt idx="63">
                  <c:v>1.974914507247712E-6</c:v>
                </c:pt>
                <c:pt idx="64">
                  <c:v>7.9174136105840307E-6</c:v>
                </c:pt>
                <c:pt idx="65">
                  <c:v>2.7437083431041686E-5</c:v>
                </c:pt>
                <c:pt idx="66">
                  <c:v>8.4011900322762448E-5</c:v>
                </c:pt>
                <c:pt idx="67">
                  <c:v>2.3140244991943614E-4</c:v>
                </c:pt>
                <c:pt idx="68">
                  <c:v>5.8071403239771588E-4</c:v>
                </c:pt>
                <c:pt idx="69">
                  <c:v>1.3473117067114297E-3</c:v>
                </c:pt>
                <c:pt idx="70">
                  <c:v>2.910129082089982E-3</c:v>
                </c:pt>
                <c:pt idx="71">
                  <c:v>5.9070447974437362E-3</c:v>
                </c:pt>
                <c:pt idx="72">
                  <c:v>1.1346436401178515E-2</c:v>
                </c:pt>
                <c:pt idx="73">
                  <c:v>2.0742647321399431E-2</c:v>
                </c:pt>
                <c:pt idx="74">
                  <c:v>3.6274839131138145E-2</c:v>
                </c:pt>
                <c:pt idx="75">
                  <c:v>6.0946786455009387E-2</c:v>
                </c:pt>
                <c:pt idx="76">
                  <c:v>9.8758770226330964E-2</c:v>
                </c:pt>
                <c:pt idx="77">
                  <c:v>0.15485359689949882</c:v>
                </c:pt>
                <c:pt idx="78">
                  <c:v>0.23563681425119001</c:v>
                </c:pt>
                <c:pt idx="79">
                  <c:v>0.34887431248217199</c:v>
                </c:pt>
                <c:pt idx="80">
                  <c:v>0.50371314723852645</c:v>
                </c:pt>
                <c:pt idx="81">
                  <c:v>0.71067295140563103</c:v>
                </c:pt>
                <c:pt idx="82">
                  <c:v>0.98155619535552907</c:v>
                </c:pt>
                <c:pt idx="83">
                  <c:v>1.3293055280168271</c:v>
                </c:pt>
                <c:pt idx="84">
                  <c:v>1.7677938411351461</c:v>
                </c:pt>
                <c:pt idx="85">
                  <c:v>2.3115738563701229</c:v>
                </c:pt>
                <c:pt idx="86">
                  <c:v>2.9755693199527311</c:v>
                </c:pt>
                <c:pt idx="87">
                  <c:v>3.7747450259658417</c:v>
                </c:pt>
                <c:pt idx="88">
                  <c:v>4.7237466429002186</c:v>
                </c:pt>
                <c:pt idx="89">
                  <c:v>5.836542066775638</c:v>
                </c:pt>
                <c:pt idx="90">
                  <c:v>7.1260657812289736</c:v>
                </c:pt>
                <c:pt idx="91">
                  <c:v>8.6038770864962437</c:v>
                </c:pt>
                <c:pt idx="92">
                  <c:v>10.279856454194649</c:v>
                </c:pt>
                <c:pt idx="93">
                  <c:v>12.16193149945863</c:v>
                </c:pt>
                <c:pt idx="94">
                  <c:v>14.255857568913362</c:v>
                </c:pt>
                <c:pt idx="95">
                  <c:v>16.565034493566927</c:v>
                </c:pt>
                <c:pt idx="96">
                  <c:v>19.090402320748584</c:v>
                </c:pt>
                <c:pt idx="97">
                  <c:v>21.83036038180472</c:v>
                </c:pt>
                <c:pt idx="98">
                  <c:v>24.780770764933937</c:v>
                </c:pt>
                <c:pt idx="99">
                  <c:v>27.93499241334537</c:v>
                </c:pt>
                <c:pt idx="100">
                  <c:v>31.283968606821492</c:v>
                </c:pt>
                <c:pt idx="101">
                  <c:v>34.816369012531482</c:v>
                </c:pt>
                <c:pt idx="102">
                  <c:v>38.51874887301522</c:v>
                </c:pt>
                <c:pt idx="103">
                  <c:v>42.375759178774409</c:v>
                </c:pt>
                <c:pt idx="104">
                  <c:v>46.370367967488519</c:v>
                </c:pt>
                <c:pt idx="105">
                  <c:v>50.484107427242392</c:v>
                </c:pt>
                <c:pt idx="106">
                  <c:v>54.697334769121532</c:v>
                </c:pt>
                <c:pt idx="107">
                  <c:v>58.989489399967347</c:v>
                </c:pt>
                <c:pt idx="108">
                  <c:v>63.339360611893575</c:v>
                </c:pt>
                <c:pt idx="109">
                  <c:v>67.725352236036599</c:v>
                </c:pt>
                <c:pt idx="110">
                  <c:v>72.125725097266226</c:v>
                </c:pt>
                <c:pt idx="111">
                  <c:v>76.51884844066953</c:v>
                </c:pt>
                <c:pt idx="112">
                  <c:v>80.883411784655337</c:v>
                </c:pt>
                <c:pt idx="113">
                  <c:v>85.198643496112169</c:v>
                </c:pt>
                <c:pt idx="114">
                  <c:v>89.444483070133529</c:v>
                </c:pt>
                <c:pt idx="115">
                  <c:v>93.601762408621056</c:v>
                </c:pt>
                <c:pt idx="116">
                  <c:v>97.652337171377781</c:v>
                </c:pt>
                <c:pt idx="117">
                  <c:v>101.57921259777019</c:v>
                </c:pt>
                <c:pt idx="118">
                  <c:v>105.36664347016861</c:v>
                </c:pt>
                <c:pt idx="119">
                  <c:v>109.00021727225374</c:v>
                </c:pt>
                <c:pt idx="120">
                  <c:v>112.46690189391229</c:v>
                </c:pt>
                <c:pt idx="121">
                  <c:v>115.75509387823368</c:v>
                </c:pt>
                <c:pt idx="122">
                  <c:v>118.8546333835</c:v>
                </c:pt>
                <c:pt idx="123">
                  <c:v>121.75680927893617</c:v>
                </c:pt>
                <c:pt idx="124">
                  <c:v>124.45434786900745</c:v>
                </c:pt>
                <c:pt idx="125">
                  <c:v>126.94139381146108</c:v>
                </c:pt>
                <c:pt idx="126">
                  <c:v>129.21345894298386</c:v>
                </c:pt>
                <c:pt idx="127">
                  <c:v>131.26738519948776</c:v>
                </c:pt>
                <c:pt idx="128">
                  <c:v>133.1012943091292</c:v>
                </c:pt>
                <c:pt idx="129">
                  <c:v>134.7145101634334</c:v>
                </c:pt>
                <c:pt idx="130">
                  <c:v>136.10749094623841</c:v>
                </c:pt>
                <c:pt idx="131">
                  <c:v>137.28176841837359</c:v>
                </c:pt>
                <c:pt idx="132">
                  <c:v>138.23985576047471</c:v>
                </c:pt>
                <c:pt idx="133">
                  <c:v>138.98517709984293</c:v>
                </c:pt>
                <c:pt idx="134">
                  <c:v>139.52198294267527</c:v>
                </c:pt>
                <c:pt idx="135">
                  <c:v>139.8552640884121</c:v>
                </c:pt>
                <c:pt idx="136">
                  <c:v>139.99068354184075</c:v>
                </c:pt>
                <c:pt idx="137">
                  <c:v>139.93449454741125</c:v>
                </c:pt>
                <c:pt idx="138">
                  <c:v>139.69345341938165</c:v>
                </c:pt>
                <c:pt idx="139">
                  <c:v>139.27475275496425</c:v>
                </c:pt>
                <c:pt idx="140">
                  <c:v>138.68595074434387</c:v>
                </c:pt>
                <c:pt idx="141">
                  <c:v>137.93490828695187</c:v>
                </c:pt>
                <c:pt idx="142">
                  <c:v>137.02970615842025</c:v>
                </c:pt>
                <c:pt idx="143">
                  <c:v>135.97861421923986</c:v>
                </c:pt>
                <c:pt idx="144">
                  <c:v>134.78999687233096</c:v>
                </c:pt>
                <c:pt idx="145">
                  <c:v>133.47229614948941</c:v>
                </c:pt>
                <c:pt idx="146">
                  <c:v>132.03396665925627</c:v>
                </c:pt>
                <c:pt idx="147">
                  <c:v>130.4834244125752</c:v>
                </c:pt>
                <c:pt idx="148">
                  <c:v>128.82902036825962</c:v>
                </c:pt>
                <c:pt idx="149">
                  <c:v>127.07900357011859</c:v>
                </c:pt>
                <c:pt idx="150">
                  <c:v>125.24147777887018</c:v>
                </c:pt>
                <c:pt idx="151">
                  <c:v>123.32437501760829</c:v>
                </c:pt>
                <c:pt idx="152">
                  <c:v>121.33544082665315</c:v>
                </c:pt>
                <c:pt idx="153">
                  <c:v>119.28220390589051</c:v>
                </c:pt>
                <c:pt idx="154">
                  <c:v>117.1719535633664</c:v>
                </c:pt>
                <c:pt idx="155">
                  <c:v>115.011737113202</c:v>
                </c:pt>
                <c:pt idx="156">
                  <c:v>112.80833081897535</c:v>
                </c:pt>
                <c:pt idx="157">
                  <c:v>110.56824509789176</c:v>
                </c:pt>
                <c:pt idx="158">
                  <c:v>108.29770110201697</c:v>
                </c:pt>
                <c:pt idx="159">
                  <c:v>106.00264112661795</c:v>
                </c:pt>
                <c:pt idx="160">
                  <c:v>103.68871473237506</c:v>
                </c:pt>
                <c:pt idx="161">
                  <c:v>101.36127397489258</c:v>
                </c:pt>
                <c:pt idx="162">
                  <c:v>99.025388149848183</c:v>
                </c:pt>
                <c:pt idx="163">
                  <c:v>96.685833384652085</c:v>
                </c:pt>
                <c:pt idx="164">
                  <c:v>94.347092204766227</c:v>
                </c:pt>
                <c:pt idx="165">
                  <c:v>92.013370447258112</c:v>
                </c:pt>
                <c:pt idx="166">
                  <c:v>89.688593357672985</c:v>
                </c:pt>
                <c:pt idx="167">
                  <c:v>87.376414697332152</c:v>
                </c:pt>
                <c:pt idx="168">
                  <c:v>85.080220212779835</c:v>
                </c:pt>
                <c:pt idx="169">
                  <c:v>82.803142814613651</c:v>
                </c:pt>
                <c:pt idx="170">
                  <c:v>80.548062577484586</c:v>
                </c:pt>
                <c:pt idx="171">
                  <c:v>78.317617148437876</c:v>
                </c:pt>
                <c:pt idx="172">
                  <c:v>76.114212588934691</c:v>
                </c:pt>
                <c:pt idx="173">
                  <c:v>73.940035951597366</c:v>
                </c:pt>
                <c:pt idx="174">
                  <c:v>71.797055280209406</c:v>
                </c:pt>
                <c:pt idx="175">
                  <c:v>69.687036523269356</c:v>
                </c:pt>
                <c:pt idx="176">
                  <c:v>67.611553942331653</c:v>
                </c:pt>
                <c:pt idx="177">
                  <c:v>65.571989678325778</c:v>
                </c:pt>
                <c:pt idx="178">
                  <c:v>63.569556736642333</c:v>
                </c:pt>
                <c:pt idx="179">
                  <c:v>61.605298119771227</c:v>
                </c:pt>
                <c:pt idx="180">
                  <c:v>59.680102873493901</c:v>
                </c:pt>
                <c:pt idx="181">
                  <c:v>57.794712158415471</c:v>
                </c:pt>
                <c:pt idx="182">
                  <c:v>55.949729224624711</c:v>
                </c:pt>
                <c:pt idx="183">
                  <c:v>54.14562201377926</c:v>
                </c:pt>
                <c:pt idx="184">
                  <c:v>52.382742457904307</c:v>
                </c:pt>
                <c:pt idx="185">
                  <c:v>50.661326913073459</c:v>
                </c:pt>
                <c:pt idx="186">
                  <c:v>48.981503748823933</c:v>
                </c:pt>
                <c:pt idx="187">
                  <c:v>47.343308526986981</c:v>
                </c:pt>
                <c:pt idx="188">
                  <c:v>45.74668595325182</c:v>
                </c:pt>
                <c:pt idx="189">
                  <c:v>44.191495081336022</c:v>
                </c:pt>
                <c:pt idx="190">
                  <c:v>42.677518853964649</c:v>
                </c:pt>
                <c:pt idx="191">
                  <c:v>41.204470391242864</c:v>
                </c:pt>
                <c:pt idx="192">
                  <c:v>39.771996460102876</c:v>
                </c:pt>
                <c:pt idx="193">
                  <c:v>38.37968723212348</c:v>
                </c:pt>
                <c:pt idx="194">
                  <c:v>37.027089944477453</c:v>
                </c:pt>
                <c:pt idx="195">
                  <c:v>35.713684180121994</c:v>
                </c:pt>
                <c:pt idx="196">
                  <c:v>34.438923718002613</c:v>
                </c:pt>
                <c:pt idx="197">
                  <c:v>33.202221787903554</c:v>
                </c:pt>
                <c:pt idx="198">
                  <c:v>32.002949769405213</c:v>
                </c:pt>
                <c:pt idx="199">
                  <c:v>30.840459526448871</c:v>
                </c:pt>
                <c:pt idx="200">
                  <c:v>29.714073649517172</c:v>
                </c:pt>
                <c:pt idx="201">
                  <c:v>28.623093695570589</c:v>
                </c:pt>
                <c:pt idx="202">
                  <c:v>27.566802356451813</c:v>
                </c:pt>
                <c:pt idx="203">
                  <c:v>26.544464543087898</c:v>
                </c:pt>
                <c:pt idx="204">
                  <c:v>25.555342022219598</c:v>
                </c:pt>
                <c:pt idx="205">
                  <c:v>24.598678129150731</c:v>
                </c:pt>
                <c:pt idx="206">
                  <c:v>23.673713054998824</c:v>
                </c:pt>
                <c:pt idx="207">
                  <c:v>22.779679943567277</c:v>
                </c:pt>
                <c:pt idx="208">
                  <c:v>21.915812914441446</c:v>
                </c:pt>
                <c:pt idx="209">
                  <c:v>21.081342726179951</c:v>
                </c:pt>
                <c:pt idx="210">
                  <c:v>20.275504582570324</c:v>
                </c:pt>
                <c:pt idx="211">
                  <c:v>19.49753379582031</c:v>
                </c:pt>
                <c:pt idx="212">
                  <c:v>18.746670882308081</c:v>
                </c:pt>
                <c:pt idx="213">
                  <c:v>18.022163947827018</c:v>
                </c:pt>
                <c:pt idx="214">
                  <c:v>17.323263374995069</c:v>
                </c:pt>
                <c:pt idx="215">
                  <c:v>16.649239387329928</c:v>
                </c:pt>
                <c:pt idx="216">
                  <c:v>15.999354402093658</c:v>
                </c:pt>
                <c:pt idx="217">
                  <c:v>15.372895122676978</c:v>
                </c:pt>
                <c:pt idx="218">
                  <c:v>14.769151721917561</c:v>
                </c:pt>
                <c:pt idx="219">
                  <c:v>14.187431828308062</c:v>
                </c:pt>
                <c:pt idx="220">
                  <c:v>13.627048382931772</c:v>
                </c:pt>
                <c:pt idx="221">
                  <c:v>13.087331240425881</c:v>
                </c:pt>
                <c:pt idx="222">
                  <c:v>12.567621422709951</c:v>
                </c:pt>
                <c:pt idx="223">
                  <c:v>12.067274588432875</c:v>
                </c:pt>
                <c:pt idx="224">
                  <c:v>11.585665098731019</c:v>
                </c:pt>
                <c:pt idx="225">
                  <c:v>11.122168019472163</c:v>
                </c:pt>
                <c:pt idx="226">
                  <c:v>10.676187852613067</c:v>
                </c:pt>
                <c:pt idx="227">
                  <c:v>10.247133274288862</c:v>
                </c:pt>
                <c:pt idx="228">
                  <c:v>9.8344299826087784</c:v>
                </c:pt>
                <c:pt idx="229">
                  <c:v>9.4375236792121342</c:v>
                </c:pt>
                <c:pt idx="230">
                  <c:v>9.0558655951693261</c:v>
                </c:pt>
                <c:pt idx="231">
                  <c:v>8.6889265856100746</c:v>
                </c:pt>
                <c:pt idx="232">
                  <c:v>8.3361936602764644</c:v>
                </c:pt>
                <c:pt idx="233">
                  <c:v>7.9971645083019851</c:v>
                </c:pt>
                <c:pt idx="234">
                  <c:v>7.6713501002967366</c:v>
                </c:pt>
                <c:pt idx="235">
                  <c:v>7.3582778325337328</c:v>
                </c:pt>
                <c:pt idx="236">
                  <c:v>7.0574920690499869</c:v>
                </c:pt>
                <c:pt idx="237">
                  <c:v>6.768543353834894</c:v>
                </c:pt>
                <c:pt idx="238">
                  <c:v>6.4910039149213006</c:v>
                </c:pt>
                <c:pt idx="239">
                  <c:v>6.2244505882012859</c:v>
                </c:pt>
                <c:pt idx="240">
                  <c:v>5.9684788578442953</c:v>
                </c:pt>
                <c:pt idx="241">
                  <c:v>5.7227013384140992</c:v>
                </c:pt>
                <c:pt idx="242">
                  <c:v>5.4867322707777282</c:v>
                </c:pt>
                <c:pt idx="243">
                  <c:v>5.2602067395889769</c:v>
                </c:pt>
                <c:pt idx="244">
                  <c:v>5.0427689639049449</c:v>
                </c:pt>
                <c:pt idx="245">
                  <c:v>4.8340741132246734</c:v>
                </c:pt>
                <c:pt idx="246">
                  <c:v>4.6337874401274073</c:v>
                </c:pt>
                <c:pt idx="247">
                  <c:v>4.441593821251713</c:v>
                </c:pt>
                <c:pt idx="248">
                  <c:v>4.2571777808704523</c:v>
                </c:pt>
                <c:pt idx="249">
                  <c:v>4.0802416783822242</c:v>
                </c:pt>
                <c:pt idx="250">
                  <c:v>3.9104946494492032</c:v>
                </c:pt>
                <c:pt idx="251">
                  <c:v>3.7476635293340332</c:v>
                </c:pt>
                <c:pt idx="252">
                  <c:v>3.5914720362181103</c:v>
                </c:pt>
                <c:pt idx="253">
                  <c:v>3.4416640273381844</c:v>
                </c:pt>
                <c:pt idx="254">
                  <c:v>3.2979898922490953</c:v>
                </c:pt>
                <c:pt idx="255">
                  <c:v>3.1602048452053499</c:v>
                </c:pt>
                <c:pt idx="256">
                  <c:v>3.0280827487388224</c:v>
                </c:pt>
                <c:pt idx="257">
                  <c:v>2.9013914209542748</c:v>
                </c:pt>
                <c:pt idx="258">
                  <c:v>2.7799206079454075</c:v>
                </c:pt>
                <c:pt idx="259">
                  <c:v>2.6634639047236344</c:v>
                </c:pt>
                <c:pt idx="260">
                  <c:v>2.5518164783935178</c:v>
                </c:pt>
                <c:pt idx="261">
                  <c:v>2.4447860050421863</c:v>
                </c:pt>
                <c:pt idx="262">
                  <c:v>2.3421892951600713</c:v>
                </c:pt>
                <c:pt idx="263">
                  <c:v>2.2438499355011827</c:v>
                </c:pt>
                <c:pt idx="264">
                  <c:v>2.1495921497883055</c:v>
                </c:pt>
                <c:pt idx="265">
                  <c:v>2.0592537549289638</c:v>
                </c:pt>
                <c:pt idx="266">
                  <c:v>1.9726730828267121</c:v>
                </c:pt>
                <c:pt idx="267">
                  <c:v>1.8897006762120736</c:v>
                </c:pt>
                <c:pt idx="268">
                  <c:v>1.8101889074067374</c:v>
                </c:pt>
                <c:pt idx="269">
                  <c:v>1.7339959221089607</c:v>
                </c:pt>
                <c:pt idx="270">
                  <c:v>1.6609829017830842</c:v>
                </c:pt>
                <c:pt idx="271">
                  <c:v>1.591027724606904</c:v>
                </c:pt>
                <c:pt idx="272">
                  <c:v>1.5239987142265723</c:v>
                </c:pt>
                <c:pt idx="273">
                  <c:v>1.4597770420839846</c:v>
                </c:pt>
                <c:pt idx="274">
                  <c:v>1.398247159332608</c:v>
                </c:pt>
                <c:pt idx="275">
                  <c:v>1.3392998054985104</c:v>
                </c:pt>
                <c:pt idx="276">
                  <c:v>1.2828271024655293</c:v>
                </c:pt>
                <c:pt idx="277">
                  <c:v>1.2287260103696975</c:v>
                </c:pt>
                <c:pt idx="278">
                  <c:v>1.1769000487701908</c:v>
                </c:pt>
                <c:pt idx="279">
                  <c:v>1.1272529066327746</c:v>
                </c:pt>
                <c:pt idx="280">
                  <c:v>1.079696350229399</c:v>
                </c:pt>
                <c:pt idx="281">
                  <c:v>1.0341425591840931</c:v>
                </c:pt>
                <c:pt idx="282">
                  <c:v>0.99050759591991566</c:v>
                </c:pt>
                <c:pt idx="283">
                  <c:v>0.94871292354199721</c:v>
                </c:pt>
                <c:pt idx="284">
                  <c:v>0.90868104870005939</c:v>
                </c:pt>
                <c:pt idx="285">
                  <c:v>0.87033572487632205</c:v>
                </c:pt>
                <c:pt idx="286">
                  <c:v>0.83361135783934992</c:v>
                </c:pt>
                <c:pt idx="287">
                  <c:v>0.79843611919521584</c:v>
                </c:pt>
                <c:pt idx="288">
                  <c:v>0.76474705745527982</c:v>
                </c:pt>
                <c:pt idx="289">
                  <c:v>0.7324816344829802</c:v>
                </c:pt>
                <c:pt idx="290">
                  <c:v>0.70158145243880143</c:v>
                </c:pt>
                <c:pt idx="291">
                  <c:v>0.67198408160639922</c:v>
                </c:pt>
                <c:pt idx="292">
                  <c:v>0.64364023822077043</c:v>
                </c:pt>
                <c:pt idx="293">
                  <c:v>0.61649741979171235</c:v>
                </c:pt>
                <c:pt idx="294">
                  <c:v>0.59049891576934066</c:v>
                </c:pt>
                <c:pt idx="295">
                  <c:v>0.56560383140296167</c:v>
                </c:pt>
                <c:pt idx="296">
                  <c:v>0.54176168352891918</c:v>
                </c:pt>
                <c:pt idx="297">
                  <c:v>0.51892711522695356</c:v>
                </c:pt>
                <c:pt idx="298">
                  <c:v>0.49706197613312053</c:v>
                </c:pt>
                <c:pt idx="299">
                  <c:v>0.47612242043393838</c:v>
                </c:pt>
                <c:pt idx="300">
                  <c:v>0.45606907126175511</c:v>
                </c:pt>
                <c:pt idx="301">
                  <c:v>0.43686382568647147</c:v>
                </c:pt>
                <c:pt idx="302">
                  <c:v>0.41847215864515735</c:v>
                </c:pt>
                <c:pt idx="303">
                  <c:v>0.40085962300191391</c:v>
                </c:pt>
                <c:pt idx="304">
                  <c:v>0.38399365881024855</c:v>
                </c:pt>
                <c:pt idx="305">
                  <c:v>0.36783919212988148</c:v>
                </c:pt>
                <c:pt idx="306">
                  <c:v>0.35237074082162745</c:v>
                </c:pt>
                <c:pt idx="307">
                  <c:v>0.3375577981468581</c:v>
                </c:pt>
                <c:pt idx="308">
                  <c:v>0.32337165985305699</c:v>
                </c:pt>
                <c:pt idx="309">
                  <c:v>0.30978754175618739</c:v>
                </c:pt>
                <c:pt idx="310">
                  <c:v>0.29677696322043084</c:v>
                </c:pt>
                <c:pt idx="311">
                  <c:v>0.28432124547523446</c:v>
                </c:pt>
                <c:pt idx="312">
                  <c:v>0.27238792344179591</c:v>
                </c:pt>
                <c:pt idx="313">
                  <c:v>0.26096039188621722</c:v>
                </c:pt>
                <c:pt idx="314">
                  <c:v>0.25001566911057349</c:v>
                </c:pt>
                <c:pt idx="315">
                  <c:v>0.23953904045850502</c:v>
                </c:pt>
                <c:pt idx="316">
                  <c:v>0.22950308747350917</c:v>
                </c:pt>
                <c:pt idx="317">
                  <c:v>0.21988741190815017</c:v>
                </c:pt>
                <c:pt idx="318">
                  <c:v>0.21068289291165196</c:v>
                </c:pt>
                <c:pt idx="319">
                  <c:v>0.20186653353949663</c:v>
                </c:pt>
                <c:pt idx="320">
                  <c:v>0.19342281445402457</c:v>
                </c:pt>
                <c:pt idx="321">
                  <c:v>0.18533363625521884</c:v>
                </c:pt>
                <c:pt idx="322">
                  <c:v>0.17758810779344367</c:v>
                </c:pt>
                <c:pt idx="323">
                  <c:v>0.17017069448444638</c:v>
                </c:pt>
                <c:pt idx="324">
                  <c:v>0.1630653264191517</c:v>
                </c:pt>
                <c:pt idx="325">
                  <c:v>0.15626367556962217</c:v>
                </c:pt>
                <c:pt idx="326">
                  <c:v>0.14974294150298367</c:v>
                </c:pt>
                <c:pt idx="327">
                  <c:v>0.14350107101137199</c:v>
                </c:pt>
                <c:pt idx="328">
                  <c:v>0.13752033569520117</c:v>
                </c:pt>
                <c:pt idx="329">
                  <c:v>0.13179659695149085</c:v>
                </c:pt>
                <c:pt idx="330">
                  <c:v>0.12630650208188526</c:v>
                </c:pt>
                <c:pt idx="331">
                  <c:v>0.12105381021860433</c:v>
                </c:pt>
                <c:pt idx="332">
                  <c:v>0.11601816546585962</c:v>
                </c:pt>
                <c:pt idx="333">
                  <c:v>0.11119850479730234</c:v>
                </c:pt>
                <c:pt idx="334">
                  <c:v>0.10657930209900932</c:v>
                </c:pt>
                <c:pt idx="335">
                  <c:v>0.10215556919395416</c:v>
                </c:pt>
                <c:pt idx="336">
                  <c:v>9.7916234514483336E-2</c:v>
                </c:pt>
                <c:pt idx="337">
                  <c:v>9.3857499964861327E-2</c:v>
                </c:pt>
                <c:pt idx="338">
                  <c:v>8.9966383918138521E-2</c:v>
                </c:pt>
                <c:pt idx="339">
                  <c:v>8.6238039651790735E-2</c:v>
                </c:pt>
                <c:pt idx="340">
                  <c:v>8.266823962437822E-2</c:v>
                </c:pt>
                <c:pt idx="341">
                  <c:v>7.9248540611482746E-2</c:v>
                </c:pt>
                <c:pt idx="342">
                  <c:v>7.5973928178056566E-2</c:v>
                </c:pt>
                <c:pt idx="343">
                  <c:v>7.2835711766060851E-2</c:v>
                </c:pt>
                <c:pt idx="344">
                  <c:v>6.9826240126883057E-2</c:v>
                </c:pt>
                <c:pt idx="345">
                  <c:v>6.6945898660514175E-2</c:v>
                </c:pt>
                <c:pt idx="346">
                  <c:v>6.4182944949206427E-2</c:v>
                </c:pt>
                <c:pt idx="347">
                  <c:v>6.1537966833825203E-2</c:v>
                </c:pt>
                <c:pt idx="348">
                  <c:v>5.9005763532074366E-2</c:v>
                </c:pt>
                <c:pt idx="349">
                  <c:v>5.6573578727768269E-2</c:v>
                </c:pt>
                <c:pt idx="350">
                  <c:v>5.4247514446258922E-2</c:v>
                </c:pt>
                <c:pt idx="351">
                  <c:v>5.2018819566651768E-2</c:v>
                </c:pt>
                <c:pt idx="352">
                  <c:v>4.9879222388700406E-2</c:v>
                </c:pt>
                <c:pt idx="353">
                  <c:v>4.7832685756048557E-2</c:v>
                </c:pt>
                <c:pt idx="354">
                  <c:v>4.5869623373315675E-2</c:v>
                </c:pt>
                <c:pt idx="355">
                  <c:v>4.3989820517649623E-2</c:v>
                </c:pt>
                <c:pt idx="356">
                  <c:v>4.2186608498656672E-2</c:v>
                </c:pt>
                <c:pt idx="357">
                  <c:v>4.0459890331064369E-2</c:v>
                </c:pt>
                <c:pt idx="358">
                  <c:v>3.8803566954135997E-2</c:v>
                </c:pt>
                <c:pt idx="359">
                  <c:v>3.721620518812481E-2</c:v>
                </c:pt>
                <c:pt idx="360">
                  <c:v>3.5694475770031625E-2</c:v>
                </c:pt>
                <c:pt idx="361">
                  <c:v>3.4236656681874665E-2</c:v>
                </c:pt>
                <c:pt idx="362">
                  <c:v>3.2839616866364413E-2</c:v>
                </c:pt>
                <c:pt idx="363">
                  <c:v>3.14990584783265E-2</c:v>
                </c:pt>
                <c:pt idx="364">
                  <c:v>3.0214657951175075E-2</c:v>
                </c:pt>
                <c:pt idx="365">
                  <c:v>2.8988072928387912E-2</c:v>
                </c:pt>
                <c:pt idx="366">
                  <c:v>2.7806152376425943E-2</c:v>
                </c:pt>
                <c:pt idx="367">
                  <c:v>2.6674501112301147E-2</c:v>
                </c:pt>
                <c:pt idx="368">
                  <c:v>2.5591018494304334E-2</c:v>
                </c:pt>
                <c:pt idx="369">
                  <c:v>2.4554029091265837E-2</c:v>
                </c:pt>
                <c:pt idx="370">
                  <c:v>2.3558806459339977E-2</c:v>
                </c:pt>
                <c:pt idx="371">
                  <c:v>2.2601067788187195E-2</c:v>
                </c:pt>
                <c:pt idx="372">
                  <c:v>2.1687579176990164E-2</c:v>
                </c:pt>
                <c:pt idx="373">
                  <c:v>2.080895655948449E-2</c:v>
                </c:pt>
                <c:pt idx="374">
                  <c:v>1.9963772685154046E-2</c:v>
                </c:pt>
                <c:pt idx="375">
                  <c:v>1.9158216823744419E-2</c:v>
                </c:pt>
                <c:pt idx="376">
                  <c:v>1.8386850388459532E-2</c:v>
                </c:pt>
                <c:pt idx="377">
                  <c:v>1.7645109989296043E-2</c:v>
                </c:pt>
                <c:pt idx="378">
                  <c:v>1.6931993586277359E-2</c:v>
                </c:pt>
                <c:pt idx="379">
                  <c:v>1.6247898649613974E-2</c:v>
                </c:pt>
                <c:pt idx="380">
                  <c:v>1.5593783808843945E-2</c:v>
                </c:pt>
                <c:pt idx="381">
                  <c:v>1.4966084749325226E-2</c:v>
                </c:pt>
                <c:pt idx="382">
                  <c:v>1.4365349713132925E-2</c:v>
                </c:pt>
                <c:pt idx="383">
                  <c:v>1.3787274925862047E-2</c:v>
                </c:pt>
                <c:pt idx="384">
                  <c:v>1.3234636961513687E-2</c:v>
                </c:pt>
                <c:pt idx="385">
                  <c:v>1.2703640265451203E-2</c:v>
                </c:pt>
                <c:pt idx="386">
                  <c:v>1.2193880167684041E-2</c:v>
                </c:pt>
                <c:pt idx="387">
                  <c:v>1.1706317838849099E-2</c:v>
                </c:pt>
                <c:pt idx="388">
                  <c:v>1.1234109676249035E-2</c:v>
                </c:pt>
                <c:pt idx="389">
                  <c:v>1.0786303897584656E-2</c:v>
                </c:pt>
                <c:pt idx="390">
                  <c:v>1.0354810067660265E-2</c:v>
                </c:pt>
                <c:pt idx="391">
                  <c:v>9.9410311906738685E-3</c:v>
                </c:pt>
                <c:pt idx="392">
                  <c:v>9.5462440629143358E-3</c:v>
                </c:pt>
                <c:pt idx="393">
                  <c:v>9.1629777479077627E-3</c:v>
                </c:pt>
                <c:pt idx="394">
                  <c:v>8.7983412873013367E-3</c:v>
                </c:pt>
                <c:pt idx="395">
                  <c:v>8.4476534476329405E-3</c:v>
                </c:pt>
                <c:pt idx="396">
                  <c:v>8.1124151712851072E-3</c:v>
                </c:pt>
                <c:pt idx="397">
                  <c:v>7.7923303143636533E-3</c:v>
                </c:pt>
                <c:pt idx="398">
                  <c:v>7.4795800216115923E-3</c:v>
                </c:pt>
                <c:pt idx="399">
                  <c:v>7.186320698129682E-3</c:v>
                </c:pt>
                <c:pt idx="400">
                  <c:v>6.8983316136455881E-3</c:v>
                </c:pt>
                <c:pt idx="401">
                  <c:v>6.6261534579131797E-3</c:v>
                </c:pt>
                <c:pt idx="402">
                  <c:v>6.3624266792911199E-3</c:v>
                </c:pt>
                <c:pt idx="403">
                  <c:v>6.1110341826887396E-3</c:v>
                </c:pt>
                <c:pt idx="404">
                  <c:v>5.8706901720921084E-3</c:v>
                </c:pt>
                <c:pt idx="405">
                  <c:v>5.6404601584021663E-3</c:v>
                </c:pt>
                <c:pt idx="406">
                  <c:v>5.4167147113190484E-3</c:v>
                </c:pt>
                <c:pt idx="407">
                  <c:v>5.20327336709972E-3</c:v>
                </c:pt>
                <c:pt idx="408">
                  <c:v>4.9966378796720201E-3</c:v>
                </c:pt>
                <c:pt idx="409">
                  <c:v>4.7999742464345501E-3</c:v>
                </c:pt>
                <c:pt idx="410">
                  <c:v>4.6122585633727549E-3</c:v>
                </c:pt>
                <c:pt idx="411">
                  <c:v>4.4279769636373662E-3</c:v>
                </c:pt>
                <c:pt idx="412">
                  <c:v>4.2557083557368527E-3</c:v>
                </c:pt>
                <c:pt idx="413">
                  <c:v>4.0886476240334134E-3</c:v>
                </c:pt>
                <c:pt idx="414">
                  <c:v>3.925699025530657E-3</c:v>
                </c:pt>
                <c:pt idx="415">
                  <c:v>3.7737221506728034E-3</c:v>
                </c:pt>
                <c:pt idx="416">
                  <c:v>3.6284645234877229E-3</c:v>
                </c:pt>
                <c:pt idx="417">
                  <c:v>3.4866384914697653E-3</c:v>
                </c:pt>
                <c:pt idx="418">
                  <c:v>3.3471973336543612E-3</c:v>
                </c:pt>
                <c:pt idx="419">
                  <c:v>3.2184631487482845E-3</c:v>
                </c:pt>
                <c:pt idx="420">
                  <c:v>3.0960309948488982E-3</c:v>
                </c:pt>
                <c:pt idx="421">
                  <c:v>2.9710010967794014E-3</c:v>
                </c:pt>
                <c:pt idx="422">
                  <c:v>2.8545198257905096E-3</c:v>
                </c:pt>
                <c:pt idx="423">
                  <c:v>2.7465928464150569E-3</c:v>
                </c:pt>
                <c:pt idx="424">
                  <c:v>2.6386699963252226E-3</c:v>
                </c:pt>
                <c:pt idx="425">
                  <c:v>2.5371832202059812E-3</c:v>
                </c:pt>
                <c:pt idx="426">
                  <c:v>2.4405853329698348E-3</c:v>
                </c:pt>
                <c:pt idx="427">
                  <c:v>2.3452723682448932E-3</c:v>
                </c:pt>
                <c:pt idx="428">
                  <c:v>2.2503074811217141E-3</c:v>
                </c:pt>
                <c:pt idx="429">
                  <c:v>2.1638763185932242E-3</c:v>
                </c:pt>
                <c:pt idx="430">
                  <c:v>2.0813869032941211E-3</c:v>
                </c:pt>
                <c:pt idx="431">
                  <c:v>1.9989200667170177E-3</c:v>
                </c:pt>
                <c:pt idx="432">
                  <c:v>1.9231480197363351E-3</c:v>
                </c:pt>
                <c:pt idx="433">
                  <c:v>1.8469764114325648E-3</c:v>
                </c:pt>
                <c:pt idx="434">
                  <c:v>1.7798636352112222E-3</c:v>
                </c:pt>
                <c:pt idx="435">
                  <c:v>1.7099336803468707E-3</c:v>
                </c:pt>
                <c:pt idx="436">
                  <c:v>1.6430065631596544E-3</c:v>
                </c:pt>
                <c:pt idx="437">
                  <c:v>1.5790159239121113E-3</c:v>
                </c:pt>
                <c:pt idx="438">
                  <c:v>1.5168161770128599E-3</c:v>
                </c:pt>
                <c:pt idx="439">
                  <c:v>1.4624479643950237E-3</c:v>
                </c:pt>
                <c:pt idx="440">
                  <c:v>1.4045181899922201E-3</c:v>
                </c:pt>
                <c:pt idx="441">
                  <c:v>1.3544403580709045E-3</c:v>
                </c:pt>
                <c:pt idx="442">
                  <c:v>1.3004312609529245E-3</c:v>
                </c:pt>
                <c:pt idx="443">
                  <c:v>1.2501386003003618E-3</c:v>
                </c:pt>
                <c:pt idx="444">
                  <c:v>1.2020574367939613E-3</c:v>
                </c:pt>
                <c:pt idx="445">
                  <c:v>1.1574371440309238E-3</c:v>
                </c:pt>
                <c:pt idx="446">
                  <c:v>1.1098508198192872E-3</c:v>
                </c:pt>
                <c:pt idx="447">
                  <c:v>1.0688313170545869E-3</c:v>
                </c:pt>
                <c:pt idx="448">
                  <c:v>1.0312829553077345E-3</c:v>
                </c:pt>
                <c:pt idx="449">
                  <c:v>9.8913636932759395E-4</c:v>
                </c:pt>
                <c:pt idx="450">
                  <c:v>9.5202448101148378E-4</c:v>
                </c:pt>
                <c:pt idx="451">
                  <c:v>9.1688407511499785E-4</c:v>
                </c:pt>
                <c:pt idx="452">
                  <c:v>8.8007979210763911E-4</c:v>
                </c:pt>
                <c:pt idx="453">
                  <c:v>8.4802847566512016E-4</c:v>
                </c:pt>
                <c:pt idx="454">
                  <c:v>8.1376210189108226E-4</c:v>
                </c:pt>
                <c:pt idx="455">
                  <c:v>7.8823587728795732E-4</c:v>
                </c:pt>
                <c:pt idx="456">
                  <c:v>7.5380987750803133E-4</c:v>
                </c:pt>
                <c:pt idx="457">
                  <c:v>7.2598843184586365E-4</c:v>
                </c:pt>
                <c:pt idx="458">
                  <c:v>7.0176081462999785E-4</c:v>
                </c:pt>
                <c:pt idx="459">
                  <c:v>6.7189194475052866E-4</c:v>
                </c:pt>
                <c:pt idx="460">
                  <c:v>6.5028707241160724E-4</c:v>
                </c:pt>
                <c:pt idx="461">
                  <c:v>6.2377102363516659E-4</c:v>
                </c:pt>
                <c:pt idx="462">
                  <c:v>5.9717952275197136E-4</c:v>
                </c:pt>
                <c:pt idx="463">
                  <c:v>5.7559022787834549E-4</c:v>
                </c:pt>
                <c:pt idx="464">
                  <c:v>5.5648985991088769E-4</c:v>
                </c:pt>
                <c:pt idx="465">
                  <c:v>5.3232728556094813E-4</c:v>
                </c:pt>
                <c:pt idx="466">
                  <c:v>5.1722597851315956E-4</c:v>
                </c:pt>
                <c:pt idx="467">
                  <c:v>4.9329846904097292E-4</c:v>
                </c:pt>
                <c:pt idx="468">
                  <c:v>4.7879783408424079E-4</c:v>
                </c:pt>
                <c:pt idx="469">
                  <c:v>4.574569051526177E-4</c:v>
                </c:pt>
                <c:pt idx="470">
                  <c:v>4.4129954654294998E-4</c:v>
                </c:pt>
                <c:pt idx="471">
                  <c:v>4.2554826743959682E-4</c:v>
                </c:pt>
                <c:pt idx="472">
                  <c:v>4.0661608183428327E-4</c:v>
                </c:pt>
                <c:pt idx="473">
                  <c:v>3.9139808276312057E-4</c:v>
                </c:pt>
                <c:pt idx="474">
                  <c:v>3.7799874283905171E-4</c:v>
                </c:pt>
                <c:pt idx="475">
                  <c:v>3.6699998693173009E-4</c:v>
                </c:pt>
                <c:pt idx="476">
                  <c:v>3.5121405888687831E-4</c:v>
                </c:pt>
                <c:pt idx="477">
                  <c:v>3.381653178110788E-4</c:v>
                </c:pt>
                <c:pt idx="478">
                  <c:v>3.2261225765227295E-4</c:v>
                </c:pt>
                <c:pt idx="479">
                  <c:v>3.1730613225076172E-4</c:v>
                </c:pt>
                <c:pt idx="480">
                  <c:v>3.0089364467040305E-4</c:v>
                </c:pt>
                <c:pt idx="481">
                  <c:v>2.8995383696225446E-4</c:v>
                </c:pt>
                <c:pt idx="482">
                  <c:v>2.8019471377323951E-4</c:v>
                </c:pt>
                <c:pt idx="483">
                  <c:v>2.6931317266743913E-4</c:v>
                </c:pt>
                <c:pt idx="484">
                  <c:v>2.5944822991702152E-4</c:v>
                </c:pt>
                <c:pt idx="485">
                  <c:v>2.5126905809392982E-4</c:v>
                </c:pt>
                <c:pt idx="486">
                  <c:v>2.4415814040111366E-4</c:v>
                </c:pt>
                <c:pt idx="487">
                  <c:v>2.3133184142691944E-4</c:v>
                </c:pt>
                <c:pt idx="488">
                  <c:v>2.2483715343812053E-4</c:v>
                </c:pt>
                <c:pt idx="489">
                  <c:v>2.143453169712286E-4</c:v>
                </c:pt>
                <c:pt idx="490">
                  <c:v>2.0764750981993362E-4</c:v>
                </c:pt>
                <c:pt idx="491">
                  <c:v>1.9869711780708935E-4</c:v>
                </c:pt>
                <c:pt idx="492">
                  <c:v>1.8987495202408059E-4</c:v>
                </c:pt>
                <c:pt idx="493">
                  <c:v>1.8604390472171063E-4</c:v>
                </c:pt>
                <c:pt idx="494">
                  <c:v>1.8034396193928532E-4</c:v>
                </c:pt>
                <c:pt idx="495">
                  <c:v>1.6856932054355636E-4</c:v>
                </c:pt>
                <c:pt idx="496">
                  <c:v>1.6715406083759243E-4</c:v>
                </c:pt>
                <c:pt idx="497">
                  <c:v>1.6259571332727401E-4</c:v>
                </c:pt>
                <c:pt idx="498">
                  <c:v>1.5178447264737328E-4</c:v>
                </c:pt>
                <c:pt idx="499">
                  <c:v>1.4709849778598284E-4</c:v>
                </c:pt>
                <c:pt idx="500">
                  <c:v>1.4409712587289337E-4</c:v>
                </c:pt>
                <c:pt idx="501">
                  <c:v>1.4024398623072335E-4</c:v>
                </c:pt>
                <c:pt idx="502">
                  <c:v>1.2991735758449295E-4</c:v>
                </c:pt>
                <c:pt idx="503">
                  <c:v>1.2701334152077855E-4</c:v>
                </c:pt>
                <c:pt idx="504">
                  <c:v>1.2061562556955045E-4</c:v>
                </c:pt>
                <c:pt idx="505">
                  <c:v>1.1823770299286466E-4</c:v>
                </c:pt>
                <c:pt idx="506">
                  <c:v>1.1202838404359043E-4</c:v>
                </c:pt>
                <c:pt idx="507">
                  <c:v>1.1034611870770051E-4</c:v>
                </c:pt>
                <c:pt idx="508">
                  <c:v>1.0642864426620857E-4</c:v>
                </c:pt>
                <c:pt idx="509">
                  <c:v>1.0222400745762396E-4</c:v>
                </c:pt>
                <c:pt idx="510">
                  <c:v>1.0281125771606107E-4</c:v>
                </c:pt>
                <c:pt idx="511">
                  <c:v>9.450723456003308E-5</c:v>
                </c:pt>
                <c:pt idx="512">
                  <c:v>9.2395258822089221E-5</c:v>
                </c:pt>
                <c:pt idx="513">
                  <c:v>8.5868090759357805E-5</c:v>
                </c:pt>
                <c:pt idx="514">
                  <c:v>8.6079647164101917E-5</c:v>
                </c:pt>
                <c:pt idx="515">
                  <c:v>8.3284048008913601E-5</c:v>
                </c:pt>
                <c:pt idx="516">
                  <c:v>7.7994108877628781E-5</c:v>
                </c:pt>
                <c:pt idx="517">
                  <c:v>7.7390262067381403E-5</c:v>
                </c:pt>
                <c:pt idx="518">
                  <c:v>7.2576889811129202E-5</c:v>
                </c:pt>
                <c:pt idx="519">
                  <c:v>7.0385086180990293E-5</c:v>
                </c:pt>
                <c:pt idx="520">
                  <c:v>7.080730563541696E-5</c:v>
                </c:pt>
                <c:pt idx="521">
                  <c:v>6.7496955293759345E-5</c:v>
                </c:pt>
                <c:pt idx="522">
                  <c:v>6.2478801241979849E-5</c:v>
                </c:pt>
                <c:pt idx="523">
                  <c:v>6.5271735221234526E-5</c:v>
                </c:pt>
                <c:pt idx="524">
                  <c:v>5.8449912189421921E-5</c:v>
                </c:pt>
                <c:pt idx="525">
                  <c:v>5.5679570167057299E-5</c:v>
                </c:pt>
                <c:pt idx="526">
                  <c:v>5.6971373993778303E-5</c:v>
                </c:pt>
                <c:pt idx="527">
                  <c:v>5.2299775531434023E-5</c:v>
                </c:pt>
                <c:pt idx="528">
                  <c:v>5.4876492770373457E-5</c:v>
                </c:pt>
                <c:pt idx="529">
                  <c:v>4.9769189328076055E-5</c:v>
                </c:pt>
                <c:pt idx="530">
                  <c:v>4.5471570801195574E-5</c:v>
                </c:pt>
                <c:pt idx="531">
                  <c:v>4.4199199101424673E-5</c:v>
                </c:pt>
                <c:pt idx="532">
                  <c:v>4.1506298555187875E-5</c:v>
                </c:pt>
                <c:pt idx="533">
                  <c:v>4.1274205737375912E-5</c:v>
                </c:pt>
                <c:pt idx="534">
                  <c:v>3.970157574705438E-5</c:v>
                </c:pt>
                <c:pt idx="535">
                  <c:v>4.0014879503045581E-5</c:v>
                </c:pt>
                <c:pt idx="536">
                  <c:v>3.9989679445684149E-5</c:v>
                </c:pt>
                <c:pt idx="537">
                  <c:v>3.5880520786484076E-5</c:v>
                </c:pt>
                <c:pt idx="538">
                  <c:v>3.522221488624804E-5</c:v>
                </c:pt>
                <c:pt idx="539">
                  <c:v>3.6978530257754315E-5</c:v>
                </c:pt>
                <c:pt idx="540">
                  <c:v>3.0210279578313714E-5</c:v>
                </c:pt>
                <c:pt idx="541">
                  <c:v>3.3943402758227794E-5</c:v>
                </c:pt>
                <c:pt idx="542">
                  <c:v>2.9167557204825293E-5</c:v>
                </c:pt>
                <c:pt idx="543">
                  <c:v>2.8386459651378207E-5</c:v>
                </c:pt>
                <c:pt idx="544">
                  <c:v>2.9393210421568534E-5</c:v>
                </c:pt>
                <c:pt idx="545">
                  <c:v>2.7288893548916296E-5</c:v>
                </c:pt>
                <c:pt idx="546">
                  <c:v>2.7521983946547001E-5</c:v>
                </c:pt>
                <c:pt idx="547">
                  <c:v>2.2939927371921282E-5</c:v>
                </c:pt>
                <c:pt idx="548">
                  <c:v>2.8994417135679677E-5</c:v>
                </c:pt>
                <c:pt idx="549">
                  <c:v>2.522726539972639E-5</c:v>
                </c:pt>
                <c:pt idx="550">
                  <c:v>2.3243351696266451E-5</c:v>
                </c:pt>
                <c:pt idx="551">
                  <c:v>1.803895917034156E-5</c:v>
                </c:pt>
                <c:pt idx="552">
                  <c:v>2.0175583236178282E-5</c:v>
                </c:pt>
                <c:pt idx="553">
                  <c:v>2.1879554204931897E-5</c:v>
                </c:pt>
                <c:pt idx="554">
                  <c:v>1.977368347349898E-5</c:v>
                </c:pt>
                <c:pt idx="555">
                  <c:v>1.7209067059740584E-5</c:v>
                </c:pt>
                <c:pt idx="556">
                  <c:v>1.5849044407131415E-5</c:v>
                </c:pt>
                <c:pt idx="557">
                  <c:v>1.9655333366587035E-5</c:v>
                </c:pt>
                <c:pt idx="558">
                  <c:v>1.8489709738456406E-5</c:v>
                </c:pt>
                <c:pt idx="559">
                  <c:v>1.5142886935639795E-5</c:v>
                </c:pt>
                <c:pt idx="560">
                  <c:v>1.5813683263125385E-5</c:v>
                </c:pt>
                <c:pt idx="561">
                  <c:v>1.3733847627882267E-5</c:v>
                </c:pt>
                <c:pt idx="562">
                  <c:v>1.6301404668718289E-5</c:v>
                </c:pt>
                <c:pt idx="563">
                  <c:v>1.7780777076009672E-5</c:v>
                </c:pt>
                <c:pt idx="564">
                  <c:v>1.6488310264027708E-5</c:v>
                </c:pt>
                <c:pt idx="565">
                  <c:v>1.2406243424249971E-5</c:v>
                </c:pt>
                <c:pt idx="566">
                  <c:v>1.2355561240938235E-5</c:v>
                </c:pt>
                <c:pt idx="567">
                  <c:v>1.4686252218237553E-5</c:v>
                </c:pt>
                <c:pt idx="568">
                  <c:v>1.1342482952652183E-5</c:v>
                </c:pt>
                <c:pt idx="569">
                  <c:v>1.1487976784569902E-5</c:v>
                </c:pt>
                <c:pt idx="570">
                  <c:v>1.2806867054039258E-5</c:v>
                </c:pt>
                <c:pt idx="571">
                  <c:v>7.2933325245800752E-6</c:v>
                </c:pt>
                <c:pt idx="572">
                  <c:v>8.7241326795071903E-6</c:v>
                </c:pt>
                <c:pt idx="573">
                  <c:v>1.0770107262785144E-5</c:v>
                </c:pt>
                <c:pt idx="574">
                  <c:v>7.0576875864226532E-6</c:v>
                </c:pt>
                <c:pt idx="575">
                  <c:v>8.0995767822390795E-6</c:v>
                </c:pt>
                <c:pt idx="576">
                  <c:v>8.4992568057445953E-6</c:v>
                </c:pt>
                <c:pt idx="577">
                  <c:v>9.6492818754740069E-6</c:v>
                </c:pt>
                <c:pt idx="578">
                  <c:v>1.2520151778067659E-5</c:v>
                </c:pt>
                <c:pt idx="579">
                  <c:v>6.6361915014416638E-6</c:v>
                </c:pt>
                <c:pt idx="580">
                  <c:v>7.2122861953427421E-6</c:v>
                </c:pt>
                <c:pt idx="581">
                  <c:v>7.8304585330286272E-6</c:v>
                </c:pt>
                <c:pt idx="582">
                  <c:v>5.5370152919174182E-6</c:v>
                </c:pt>
                <c:pt idx="583">
                  <c:v>6.2319036683339213E-6</c:v>
                </c:pt>
                <c:pt idx="584">
                  <c:v>1.0486334268252396E-5</c:v>
                </c:pt>
                <c:pt idx="585">
                  <c:v>4.7715719247677451E-6</c:v>
                </c:pt>
                <c:pt idx="586">
                  <c:v>7.2447052647050735E-6</c:v>
                </c:pt>
                <c:pt idx="587">
                  <c:v>8.0908055658187212E-6</c:v>
                </c:pt>
                <c:pt idx="588">
                  <c:v>6.5432101967361093E-6</c:v>
                </c:pt>
                <c:pt idx="589">
                  <c:v>3.1398220952961331E-6</c:v>
                </c:pt>
                <c:pt idx="590">
                  <c:v>4.6358474060770088E-6</c:v>
                </c:pt>
                <c:pt idx="591">
                  <c:v>6.7230666622629288E-6</c:v>
                </c:pt>
                <c:pt idx="592">
                  <c:v>5.8372750300341137E-6</c:v>
                </c:pt>
                <c:pt idx="593">
                  <c:v>6.0856876043438686E-6</c:v>
                </c:pt>
                <c:pt idx="594">
                  <c:v>8.2672758641104778E-6</c:v>
                </c:pt>
                <c:pt idx="595">
                  <c:v>4.9875660501006281E-6</c:v>
                </c:pt>
                <c:pt idx="596">
                  <c:v>1.7194023332735233E-6</c:v>
                </c:pt>
                <c:pt idx="597">
                  <c:v>6.4616644572039474E-6</c:v>
                </c:pt>
                <c:pt idx="598">
                  <c:v>7.452925236448453E-7</c:v>
                </c:pt>
                <c:pt idx="599">
                  <c:v>4.170996924035737E-6</c:v>
                </c:pt>
                <c:pt idx="600">
                  <c:v>4.5758395885393494E-6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8E-4B2F-9732-48475129C680}"/>
            </c:ext>
          </c:extLst>
        </c:ser>
        <c:ser>
          <c:idx val="2"/>
          <c:order val="2"/>
          <c:tx>
            <c:strRef>
              <c:f>Densities!$U$4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Densities!$U$5:$U$605</c:f>
              <c:numCache>
                <c:formatCode>0</c:formatCode>
                <c:ptCount val="601"/>
                <c:pt idx="0">
                  <c:v>1.3440176921011954E-3</c:v>
                </c:pt>
                <c:pt idx="1">
                  <c:v>1.5647458241920976E-3</c:v>
                </c:pt>
                <c:pt idx="2">
                  <c:v>1.8197364836671892E-3</c:v>
                </c:pt>
                <c:pt idx="3">
                  <c:v>2.1155182911183575E-3</c:v>
                </c:pt>
                <c:pt idx="4">
                  <c:v>2.4551253946632837E-3</c:v>
                </c:pt>
                <c:pt idx="5">
                  <c:v>2.8477308037787069E-3</c:v>
                </c:pt>
                <c:pt idx="6">
                  <c:v>3.2996453672166481E-3</c:v>
                </c:pt>
                <c:pt idx="7">
                  <c:v>3.8185374065974973E-3</c:v>
                </c:pt>
                <c:pt idx="8">
                  <c:v>4.4160696656324406E-3</c:v>
                </c:pt>
                <c:pt idx="9">
                  <c:v>5.0996373176687149E-3</c:v>
                </c:pt>
                <c:pt idx="10">
                  <c:v>5.8840718566731823E-3</c:v>
                </c:pt>
                <c:pt idx="11">
                  <c:v>6.7829805096014601E-3</c:v>
                </c:pt>
                <c:pt idx="12">
                  <c:v>7.8106191718280817E-3</c:v>
                </c:pt>
                <c:pt idx="13">
                  <c:v>8.9839043420068022E-3</c:v>
                </c:pt>
                <c:pt idx="14">
                  <c:v>1.032531976856866E-2</c:v>
                </c:pt>
                <c:pt idx="15">
                  <c:v>1.1853944286315404E-2</c:v>
                </c:pt>
                <c:pt idx="16">
                  <c:v>1.3593485619521745E-2</c:v>
                </c:pt>
                <c:pt idx="17">
                  <c:v>1.5573573523313119E-2</c:v>
                </c:pt>
                <c:pt idx="18">
                  <c:v>1.7823934764557205E-2</c:v>
                </c:pt>
                <c:pt idx="19">
                  <c:v>2.0377825736117555E-2</c:v>
                </c:pt>
                <c:pt idx="20">
                  <c:v>2.327487656849736E-2</c:v>
                </c:pt>
                <c:pt idx="21">
                  <c:v>2.6557643388106757E-2</c:v>
                </c:pt>
                <c:pt idx="22">
                  <c:v>3.0270740479068817E-2</c:v>
                </c:pt>
                <c:pt idx="23">
                  <c:v>3.4469472104817427E-2</c:v>
                </c:pt>
                <c:pt idx="24">
                  <c:v>3.9208782486844333E-2</c:v>
                </c:pt>
                <c:pt idx="25">
                  <c:v>4.4555212998238621E-2</c:v>
                </c:pt>
                <c:pt idx="26">
                  <c:v>5.0580690659326244E-2</c:v>
                </c:pt>
                <c:pt idx="27">
                  <c:v>5.73603083290131E-2</c:v>
                </c:pt>
                <c:pt idx="28">
                  <c:v>6.4983359108867975E-2</c:v>
                </c:pt>
                <c:pt idx="29">
                  <c:v>7.3544632391375306E-2</c:v>
                </c:pt>
                <c:pt idx="30">
                  <c:v>8.3148358757068289E-2</c:v>
                </c:pt>
                <c:pt idx="31">
                  <c:v>9.3910868863889857E-2</c:v>
                </c:pt>
                <c:pt idx="32">
                  <c:v>0.10595941543612136</c:v>
                </c:pt>
                <c:pt idx="33">
                  <c:v>0.11943059418321057</c:v>
                </c:pt>
                <c:pt idx="34">
                  <c:v>0.13447927226818962</c:v>
                </c:pt>
                <c:pt idx="35">
                  <c:v>0.15126866235208256</c:v>
                </c:pt>
                <c:pt idx="36">
                  <c:v>0.16998066857196051</c:v>
                </c:pt>
                <c:pt idx="37">
                  <c:v>0.19081248633893316</c:v>
                </c:pt>
                <c:pt idx="38">
                  <c:v>0.21398026342630497</c:v>
                </c:pt>
                <c:pt idx="39">
                  <c:v>0.23971687968446229</c:v>
                </c:pt>
                <c:pt idx="40">
                  <c:v>0.2682740868578562</c:v>
                </c:pt>
                <c:pt idx="41">
                  <c:v>0.29992913534726551</c:v>
                </c:pt>
                <c:pt idx="42">
                  <c:v>0.33497700691767041</c:v>
                </c:pt>
                <c:pt idx="43">
                  <c:v>0.37374115126437529</c:v>
                </c:pt>
                <c:pt idx="44">
                  <c:v>0.4165649530030982</c:v>
                </c:pt>
                <c:pt idx="45">
                  <c:v>0.46382430756813875</c:v>
                </c:pt>
                <c:pt idx="46">
                  <c:v>0.515917962072164</c:v>
                </c:pt>
                <c:pt idx="47">
                  <c:v>0.57327783470860483</c:v>
                </c:pt>
                <c:pt idx="48">
                  <c:v>0.63636719828950083</c:v>
                </c:pt>
                <c:pt idx="49">
                  <c:v>0.70568046848726307</c:v>
                </c:pt>
                <c:pt idx="50">
                  <c:v>0.78174807003895652</c:v>
                </c:pt>
                <c:pt idx="51">
                  <c:v>0.86513163915168634</c:v>
                </c:pt>
                <c:pt idx="52">
                  <c:v>0.95643481470234637</c:v>
                </c:pt>
                <c:pt idx="53">
                  <c:v>1.0562982983414702</c:v>
                </c:pt>
                <c:pt idx="54">
                  <c:v>1.165400881944197</c:v>
                </c:pt>
                <c:pt idx="55">
                  <c:v>1.2844624791411887</c:v>
                </c:pt>
                <c:pt idx="56">
                  <c:v>1.4142468849519729</c:v>
                </c:pt>
                <c:pt idx="57">
                  <c:v>1.5555586976672124</c:v>
                </c:pt>
                <c:pt idx="58">
                  <c:v>1.7092498579430582</c:v>
                </c:pt>
                <c:pt idx="59">
                  <c:v>1.876214258283472</c:v>
                </c:pt>
                <c:pt idx="60">
                  <c:v>2.0573913090489362</c:v>
                </c:pt>
                <c:pt idx="61">
                  <c:v>2.2537661366621617</c:v>
                </c:pt>
                <c:pt idx="62">
                  <c:v>2.4663714030348594</c:v>
                </c:pt>
                <c:pt idx="63">
                  <c:v>2.6962843714456106</c:v>
                </c:pt>
                <c:pt idx="64">
                  <c:v>2.9446295763877179</c:v>
                </c:pt>
                <c:pt idx="65">
                  <c:v>3.2125741648879931</c:v>
                </c:pt>
                <c:pt idx="66">
                  <c:v>3.5013315895704098</c:v>
                </c:pt>
                <c:pt idx="67">
                  <c:v>3.8121592742332981</c:v>
                </c:pt>
                <c:pt idx="68">
                  <c:v>4.146354402401534</c:v>
                </c:pt>
                <c:pt idx="69">
                  <c:v>4.5052566346082301</c:v>
                </c:pt>
                <c:pt idx="70">
                  <c:v>4.8902404952626091</c:v>
                </c:pt>
                <c:pt idx="71">
                  <c:v>5.3027180221690635</c:v>
                </c:pt>
                <c:pt idx="72">
                  <c:v>5.744132735652566</c:v>
                </c:pt>
                <c:pt idx="73">
                  <c:v>6.2159571991037872</c:v>
                </c:pt>
                <c:pt idx="74">
                  <c:v>6.7196899696604815</c:v>
                </c:pt>
                <c:pt idx="75">
                  <c:v>7.2568491200995098</c:v>
                </c:pt>
                <c:pt idx="76">
                  <c:v>7.8289686745221942</c:v>
                </c:pt>
                <c:pt idx="77">
                  <c:v>8.4375941427966215</c:v>
                </c:pt>
                <c:pt idx="78">
                  <c:v>9.0842779533559934</c:v>
                </c:pt>
                <c:pt idx="79">
                  <c:v>9.7705669238872677</c:v>
                </c:pt>
                <c:pt idx="80">
                  <c:v>10.498004890521425</c:v>
                </c:pt>
                <c:pt idx="81">
                  <c:v>11.268117054664614</c:v>
                </c:pt>
                <c:pt idx="82">
                  <c:v>12.082412232717644</c:v>
                </c:pt>
                <c:pt idx="83">
                  <c:v>12.94236106361233</c:v>
                </c:pt>
                <c:pt idx="84">
                  <c:v>13.849402608892211</c:v>
                </c:pt>
                <c:pt idx="85">
                  <c:v>14.80492483707345</c:v>
                </c:pt>
                <c:pt idx="86">
                  <c:v>15.810258999346058</c:v>
                </c:pt>
                <c:pt idx="87">
                  <c:v>16.866671904633424</c:v>
                </c:pt>
                <c:pt idx="88">
                  <c:v>17.975353302189522</c:v>
                </c:pt>
                <c:pt idx="89">
                  <c:v>19.137407614557358</c:v>
                </c:pt>
                <c:pt idx="90">
                  <c:v>20.353842526341094</c:v>
                </c:pt>
                <c:pt idx="91">
                  <c:v>21.625560202168451</c:v>
                </c:pt>
                <c:pt idx="92">
                  <c:v>22.953342134965361</c:v>
                </c:pt>
                <c:pt idx="93">
                  <c:v>24.337845459668564</c:v>
                </c:pt>
                <c:pt idx="94">
                  <c:v>25.779587584659829</c:v>
                </c:pt>
                <c:pt idx="95">
                  <c:v>27.278935973160461</c:v>
                </c:pt>
                <c:pt idx="96">
                  <c:v>28.836099984609966</c:v>
                </c:pt>
                <c:pt idx="97">
                  <c:v>30.451118487656235</c:v>
                </c:pt>
                <c:pt idx="98">
                  <c:v>32.123851430483633</c:v>
                </c:pt>
                <c:pt idx="99">
                  <c:v>33.853969324051938</c:v>
                </c:pt>
                <c:pt idx="100">
                  <c:v>35.640945435840706</c:v>
                </c:pt>
                <c:pt idx="101">
                  <c:v>37.484046465710577</c:v>
                </c:pt>
                <c:pt idx="102">
                  <c:v>39.382325254643661</c:v>
                </c:pt>
                <c:pt idx="103">
                  <c:v>41.334611731655421</c:v>
                </c:pt>
                <c:pt idx="104">
                  <c:v>43.339511179071174</c:v>
                </c:pt>
                <c:pt idx="105">
                  <c:v>45.395393607344793</c:v>
                </c:pt>
                <c:pt idx="106">
                  <c:v>47.500392562436353</c:v>
                </c:pt>
                <c:pt idx="107">
                  <c:v>49.652398783229387</c:v>
                </c:pt>
                <c:pt idx="108">
                  <c:v>51.849062098884708</c:v>
                </c:pt>
                <c:pt idx="109">
                  <c:v>54.087785953619431</c:v>
                </c:pt>
                <c:pt idx="110">
                  <c:v>56.365730279842737</c:v>
                </c:pt>
                <c:pt idx="111">
                  <c:v>58.67981035974357</c:v>
                </c:pt>
                <c:pt idx="112">
                  <c:v>61.026702083671196</c:v>
                </c:pt>
                <c:pt idx="113">
                  <c:v>63.402842383816079</c:v>
                </c:pt>
                <c:pt idx="114">
                  <c:v>65.804438016247445</c:v>
                </c:pt>
                <c:pt idx="115">
                  <c:v>68.227470765083737</c:v>
                </c:pt>
                <c:pt idx="116">
                  <c:v>70.667706332950416</c:v>
                </c:pt>
                <c:pt idx="117">
                  <c:v>73.120700900403122</c:v>
                </c:pt>
                <c:pt idx="118">
                  <c:v>75.581817063699603</c:v>
                </c:pt>
                <c:pt idx="119">
                  <c:v>78.046232671047377</c:v>
                </c:pt>
                <c:pt idx="120">
                  <c:v>80.508955296702823</c:v>
                </c:pt>
                <c:pt idx="121">
                  <c:v>82.964837582431841</c:v>
                </c:pt>
                <c:pt idx="122">
                  <c:v>85.408594801585082</c:v>
                </c:pt>
                <c:pt idx="123">
                  <c:v>87.834820037928367</c:v>
                </c:pt>
                <c:pt idx="124">
                  <c:v>90.238005436005238</c:v>
                </c:pt>
                <c:pt idx="125">
                  <c:v>92.612559873632435</c:v>
                </c:pt>
                <c:pt idx="126">
                  <c:v>94.952832272246496</c:v>
                </c:pt>
                <c:pt idx="127">
                  <c:v>97.253129811500358</c:v>
                </c:pt>
                <c:pt idx="128">
                  <c:v>99.507745142737861</c:v>
                </c:pt>
                <c:pt idx="129">
                  <c:v>101.71097362780823</c:v>
                </c:pt>
                <c:pt idx="130">
                  <c:v>103.85714293778548</c:v>
                </c:pt>
                <c:pt idx="131">
                  <c:v>105.9406324601872</c:v>
                </c:pt>
                <c:pt idx="132">
                  <c:v>107.95590040402897</c:v>
                </c:pt>
                <c:pt idx="133">
                  <c:v>109.89750559228796</c:v>
                </c:pt>
                <c:pt idx="134">
                  <c:v>111.76013521747852</c:v>
                </c:pt>
                <c:pt idx="135">
                  <c:v>113.538625658334</c:v>
                </c:pt>
                <c:pt idx="136">
                  <c:v>115.2279879585577</c:v>
                </c:pt>
                <c:pt idx="137">
                  <c:v>116.82343102874943</c:v>
                </c:pt>
                <c:pt idx="138">
                  <c:v>118.32038333044886</c:v>
                </c:pt>
                <c:pt idx="139">
                  <c:v>119.71451456017913</c:v>
                </c:pt>
                <c:pt idx="140">
                  <c:v>121.00175744191033</c:v>
                </c:pt>
                <c:pt idx="141">
                  <c:v>122.17832897742225</c:v>
                </c:pt>
                <c:pt idx="142">
                  <c:v>123.24074519145384</c:v>
                </c:pt>
                <c:pt idx="143">
                  <c:v>124.18584032208163</c:v>
                </c:pt>
                <c:pt idx="144">
                  <c:v>125.01078330059285</c:v>
                </c:pt>
                <c:pt idx="145">
                  <c:v>125.71309119559227</c:v>
                </c:pt>
                <c:pt idx="146">
                  <c:v>126.2906407055453</c:v>
                </c:pt>
                <c:pt idx="147">
                  <c:v>126.74167856711883</c:v>
                </c:pt>
                <c:pt idx="148">
                  <c:v>127.06483543296898</c:v>
                </c:pt>
                <c:pt idx="149">
                  <c:v>127.25912424543795</c:v>
                </c:pt>
                <c:pt idx="150">
                  <c:v>127.32395346382042</c:v>
                </c:pt>
                <c:pt idx="151">
                  <c:v>127.25912467911883</c:v>
                </c:pt>
                <c:pt idx="152">
                  <c:v>127.06483521612854</c:v>
                </c:pt>
                <c:pt idx="153">
                  <c:v>126.74167921764013</c:v>
                </c:pt>
                <c:pt idx="154">
                  <c:v>126.29064027186443</c:v>
                </c:pt>
                <c:pt idx="155">
                  <c:v>125.7130907619114</c:v>
                </c:pt>
                <c:pt idx="156">
                  <c:v>125.01078395111415</c:v>
                </c:pt>
                <c:pt idx="157">
                  <c:v>124.18584064734229</c:v>
                </c:pt>
                <c:pt idx="158">
                  <c:v>123.24074508303362</c:v>
                </c:pt>
                <c:pt idx="159">
                  <c:v>122.17832973636378</c:v>
                </c:pt>
                <c:pt idx="160">
                  <c:v>121.00175820085185</c:v>
                </c:pt>
                <c:pt idx="161">
                  <c:v>119.71451401807803</c:v>
                </c:pt>
                <c:pt idx="162">
                  <c:v>118.32038267992756</c:v>
                </c:pt>
                <c:pt idx="163">
                  <c:v>116.82343135401008</c:v>
                </c:pt>
                <c:pt idx="164">
                  <c:v>115.22798893433966</c:v>
                </c:pt>
                <c:pt idx="165">
                  <c:v>113.53862576675422</c:v>
                </c:pt>
                <c:pt idx="166">
                  <c:v>111.76013565115939</c:v>
                </c:pt>
                <c:pt idx="167">
                  <c:v>109.8975052670273</c:v>
                </c:pt>
                <c:pt idx="168">
                  <c:v>107.95590029560876</c:v>
                </c:pt>
                <c:pt idx="169">
                  <c:v>105.94063170124568</c:v>
                </c:pt>
                <c:pt idx="170">
                  <c:v>103.85714304620569</c:v>
                </c:pt>
                <c:pt idx="171">
                  <c:v>101.71097373622845</c:v>
                </c:pt>
                <c:pt idx="172">
                  <c:v>99.507745034317637</c:v>
                </c:pt>
                <c:pt idx="173">
                  <c:v>97.253130353601449</c:v>
                </c:pt>
                <c:pt idx="174">
                  <c:v>94.952832055406063</c:v>
                </c:pt>
                <c:pt idx="175">
                  <c:v>92.612560632573945</c:v>
                </c:pt>
                <c:pt idx="176">
                  <c:v>90.238005436005238</c:v>
                </c:pt>
                <c:pt idx="177">
                  <c:v>87.8348202547688</c:v>
                </c:pt>
                <c:pt idx="178">
                  <c:v>85.408594584744648</c:v>
                </c:pt>
                <c:pt idx="179">
                  <c:v>82.964837907692498</c:v>
                </c:pt>
                <c:pt idx="180">
                  <c:v>80.508955405123046</c:v>
                </c:pt>
                <c:pt idx="181">
                  <c:v>78.046233321568678</c:v>
                </c:pt>
                <c:pt idx="182">
                  <c:v>75.581817063699603</c:v>
                </c:pt>
                <c:pt idx="183">
                  <c:v>73.120701008823346</c:v>
                </c:pt>
                <c:pt idx="184">
                  <c:v>70.667706061899878</c:v>
                </c:pt>
                <c:pt idx="185">
                  <c:v>68.227471144554499</c:v>
                </c:pt>
                <c:pt idx="186">
                  <c:v>65.804438178877774</c:v>
                </c:pt>
                <c:pt idx="187">
                  <c:v>63.402842600656513</c:v>
                </c:pt>
                <c:pt idx="188">
                  <c:v>61.026701758410546</c:v>
                </c:pt>
                <c:pt idx="189">
                  <c:v>58.679810522373892</c:v>
                </c:pt>
                <c:pt idx="190">
                  <c:v>56.36573049668317</c:v>
                </c:pt>
                <c:pt idx="191">
                  <c:v>54.08778611624976</c:v>
                </c:pt>
                <c:pt idx="192">
                  <c:v>51.849061882044275</c:v>
                </c:pt>
                <c:pt idx="193">
                  <c:v>49.652398891649604</c:v>
                </c:pt>
                <c:pt idx="194">
                  <c:v>47.500392020335262</c:v>
                </c:pt>
                <c:pt idx="195">
                  <c:v>45.395393661554898</c:v>
                </c:pt>
                <c:pt idx="196">
                  <c:v>43.339511612752041</c:v>
                </c:pt>
                <c:pt idx="197">
                  <c:v>41.334611785865533</c:v>
                </c:pt>
                <c:pt idx="198">
                  <c:v>39.382324766752689</c:v>
                </c:pt>
                <c:pt idx="199">
                  <c:v>37.484046736761115</c:v>
                </c:pt>
                <c:pt idx="200">
                  <c:v>35.640944893739622</c:v>
                </c:pt>
                <c:pt idx="201">
                  <c:v>33.85396916142161</c:v>
                </c:pt>
                <c:pt idx="202">
                  <c:v>32.123851322063416</c:v>
                </c:pt>
                <c:pt idx="203">
                  <c:v>30.451118596076451</c:v>
                </c:pt>
                <c:pt idx="204">
                  <c:v>28.836099821979641</c:v>
                </c:pt>
                <c:pt idx="205">
                  <c:v>27.278936054475622</c:v>
                </c:pt>
                <c:pt idx="206">
                  <c:v>25.779587720185098</c:v>
                </c:pt>
                <c:pt idx="207">
                  <c:v>24.337845242828131</c:v>
                </c:pt>
                <c:pt idx="208">
                  <c:v>22.953341836809763</c:v>
                </c:pt>
                <c:pt idx="209">
                  <c:v>21.625560446113941</c:v>
                </c:pt>
                <c:pt idx="210">
                  <c:v>20.353842851601744</c:v>
                </c:pt>
                <c:pt idx="211">
                  <c:v>19.137407831397795</c:v>
                </c:pt>
                <c:pt idx="212">
                  <c:v>17.975353329294578</c:v>
                </c:pt>
                <c:pt idx="213">
                  <c:v>16.866671660687935</c:v>
                </c:pt>
                <c:pt idx="214">
                  <c:v>15.810258945135949</c:v>
                </c:pt>
                <c:pt idx="215">
                  <c:v>14.804924267867309</c:v>
                </c:pt>
                <c:pt idx="216">
                  <c:v>13.849403259413515</c:v>
                </c:pt>
                <c:pt idx="217">
                  <c:v>12.942361809001325</c:v>
                </c:pt>
                <c:pt idx="218">
                  <c:v>12.082411622853924</c:v>
                </c:pt>
                <c:pt idx="219">
                  <c:v>11.268117800053608</c:v>
                </c:pt>
                <c:pt idx="220">
                  <c:v>10.498004402630448</c:v>
                </c:pt>
                <c:pt idx="221">
                  <c:v>9.7705671678327555</c:v>
                </c:pt>
                <c:pt idx="222">
                  <c:v>9.0842771944144722</c:v>
                </c:pt>
                <c:pt idx="223">
                  <c:v>8.4375947933179258</c:v>
                </c:pt>
                <c:pt idx="224">
                  <c:v>7.8289686609696663</c:v>
                </c:pt>
                <c:pt idx="225">
                  <c:v>7.2568492014146724</c:v>
                </c:pt>
                <c:pt idx="226">
                  <c:v>6.7196900577519081</c:v>
                </c:pt>
                <c:pt idx="227">
                  <c:v>6.2159575108119114</c:v>
                </c:pt>
                <c:pt idx="228">
                  <c:v>5.7441327627576202</c:v>
                </c:pt>
                <c:pt idx="229">
                  <c:v>5.3027182728908153</c:v>
                </c:pt>
                <c:pt idx="230">
                  <c:v>4.8902406782217263</c:v>
                </c:pt>
                <c:pt idx="231">
                  <c:v>4.5052566888183385</c:v>
                </c:pt>
                <c:pt idx="232">
                  <c:v>4.1463549241738296</c:v>
                </c:pt>
                <c:pt idx="233">
                  <c:v>3.8121599586359198</c:v>
                </c:pt>
                <c:pt idx="234">
                  <c:v>3.5013316776618364</c:v>
                </c:pt>
                <c:pt idx="235">
                  <c:v>3.2125742157099699</c:v>
                </c:pt>
                <c:pt idx="236">
                  <c:v>2.9446286819209253</c:v>
                </c:pt>
                <c:pt idx="237">
                  <c:v>2.6962840258561682</c:v>
                </c:pt>
                <c:pt idx="238">
                  <c:v>2.4663705593900436</c:v>
                </c:pt>
                <c:pt idx="239">
                  <c:v>2.2537656589355795</c:v>
                </c:pt>
                <c:pt idx="240">
                  <c:v>2.0573904078058805</c:v>
                </c:pt>
                <c:pt idx="241">
                  <c:v>1.8762137771687581</c:v>
                </c:pt>
                <c:pt idx="242">
                  <c:v>1.7092499528107483</c:v>
                </c:pt>
                <c:pt idx="243">
                  <c:v>1.5555587755942437</c:v>
                </c:pt>
                <c:pt idx="244">
                  <c:v>1.4142464156957202</c:v>
                </c:pt>
                <c:pt idx="245">
                  <c:v>1.2844614576194542</c:v>
                </c:pt>
                <c:pt idx="246">
                  <c:v>1.1653998587283967</c:v>
                </c:pt>
                <c:pt idx="247">
                  <c:v>1.0562972852900654</c:v>
                </c:pt>
                <c:pt idx="248">
                  <c:v>0.95643541101354124</c:v>
                </c:pt>
                <c:pt idx="249">
                  <c:v>0.86513163915168634</c:v>
                </c:pt>
                <c:pt idx="250">
                  <c:v>0.78174700023634414</c:v>
                </c:pt>
                <c:pt idx="251">
                  <c:v>0.7056810851272487</c:v>
                </c:pt>
                <c:pt idx="252">
                  <c:v>0.63636779036553093</c:v>
                </c:pt>
                <c:pt idx="253">
                  <c:v>0.57327784402596726</c:v>
                </c:pt>
                <c:pt idx="254">
                  <c:v>0.51591741065371532</c:v>
                </c:pt>
                <c:pt idx="255">
                  <c:v>0.46382317254398947</c:v>
                </c:pt>
                <c:pt idx="256">
                  <c:v>0.41656437575014466</c:v>
                </c:pt>
                <c:pt idx="257">
                  <c:v>0.37374054563581799</c:v>
                </c:pt>
                <c:pt idx="258">
                  <c:v>0.33497820419874136</c:v>
                </c:pt>
                <c:pt idx="259">
                  <c:v>0.29992914254704556</c:v>
                </c:pt>
                <c:pt idx="260">
                  <c:v>0.26827408939895503</c:v>
                </c:pt>
                <c:pt idx="261">
                  <c:v>0.23971564682800756</c:v>
                </c:pt>
                <c:pt idx="262">
                  <c:v>0.21398026215575555</c:v>
                </c:pt>
                <c:pt idx="263">
                  <c:v>0.1908131158961712</c:v>
                </c:pt>
                <c:pt idx="264">
                  <c:v>0.16998066539558696</c:v>
                </c:pt>
                <c:pt idx="265">
                  <c:v>0.15126802220693267</c:v>
                </c:pt>
                <c:pt idx="266">
                  <c:v>0.13447862301743554</c:v>
                </c:pt>
                <c:pt idx="267">
                  <c:v>0.11943059947716649</c:v>
                </c:pt>
                <c:pt idx="268">
                  <c:v>0.10595941713018725</c:v>
                </c:pt>
                <c:pt idx="269">
                  <c:v>9.391086695806572E-2</c:v>
                </c:pt>
                <c:pt idx="270">
                  <c:v>8.3148358545310039E-2</c:v>
                </c:pt>
                <c:pt idx="271">
                  <c:v>7.3544633873682971E-2</c:v>
                </c:pt>
                <c:pt idx="272">
                  <c:v>6.4983358367714156E-2</c:v>
                </c:pt>
                <c:pt idx="273">
                  <c:v>5.7360305258518665E-2</c:v>
                </c:pt>
                <c:pt idx="274">
                  <c:v>5.0580690765205362E-2</c:v>
                </c:pt>
                <c:pt idx="275">
                  <c:v>4.4555214427606717E-2</c:v>
                </c:pt>
                <c:pt idx="276">
                  <c:v>3.9208783333877277E-2</c:v>
                </c:pt>
                <c:pt idx="277">
                  <c:v>3.4469473110669051E-2</c:v>
                </c:pt>
                <c:pt idx="278">
                  <c:v>3.0270740584947935E-2</c:v>
                </c:pt>
                <c:pt idx="279">
                  <c:v>2.6557645293930891E-2</c:v>
                </c:pt>
                <c:pt idx="280">
                  <c:v>2.3274878156684137E-2</c:v>
                </c:pt>
                <c:pt idx="281">
                  <c:v>2.0377826186103808E-2</c:v>
                </c:pt>
                <c:pt idx="282">
                  <c:v>1.7823935082194559E-2</c:v>
                </c:pt>
                <c:pt idx="283">
                  <c:v>1.557357418505761E-2</c:v>
                </c:pt>
                <c:pt idx="284">
                  <c:v>1.3593486545964031E-2</c:v>
                </c:pt>
                <c:pt idx="285">
                  <c:v>1.185394515981813E-2</c:v>
                </c:pt>
                <c:pt idx="286">
                  <c:v>1.0325320337668921E-2</c:v>
                </c:pt>
                <c:pt idx="287">
                  <c:v>8.9839048449326161E-3</c:v>
                </c:pt>
                <c:pt idx="288">
                  <c:v>7.8106196879887844E-3</c:v>
                </c:pt>
                <c:pt idx="289">
                  <c:v>6.7829806684201379E-3</c:v>
                </c:pt>
                <c:pt idx="290">
                  <c:v>5.8840721610756482E-3</c:v>
                </c:pt>
                <c:pt idx="291">
                  <c:v>5.099637641923515E-3</c:v>
                </c:pt>
                <c:pt idx="292">
                  <c:v>4.4160698443034534E-3</c:v>
                </c:pt>
                <c:pt idx="293">
                  <c:v>3.8185377507046325E-3</c:v>
                </c:pt>
                <c:pt idx="294">
                  <c:v>3.2996455326527703E-3</c:v>
                </c:pt>
                <c:pt idx="295">
                  <c:v>2.8477309625973848E-3</c:v>
                </c:pt>
                <c:pt idx="296">
                  <c:v>2.4551254343679529E-3</c:v>
                </c:pt>
                <c:pt idx="297">
                  <c:v>2.1155184433195901E-3</c:v>
                </c:pt>
                <c:pt idx="298">
                  <c:v>1.8197366457945894E-3</c:v>
                </c:pt>
                <c:pt idx="299">
                  <c:v>1.5647458820947405E-3</c:v>
                </c:pt>
                <c:pt idx="300">
                  <c:v>1.3440177930172301E-3</c:v>
                </c:pt>
                <c:pt idx="301">
                  <c:v>1.1518925474218972E-3</c:v>
                </c:pt>
                <c:pt idx="302">
                  <c:v>9.8825067395850899E-4</c:v>
                </c:pt>
                <c:pt idx="303">
                  <c:v>8.4565259622454739E-4</c:v>
                </c:pt>
                <c:pt idx="304">
                  <c:v>7.2343450674152245E-4</c:v>
                </c:pt>
                <c:pt idx="305">
                  <c:v>6.1751466706035953E-4</c:v>
                </c:pt>
                <c:pt idx="306">
                  <c:v>5.2807591552929618E-4</c:v>
                </c:pt>
                <c:pt idx="307">
                  <c:v>4.5020665798460363E-4</c:v>
                </c:pt>
                <c:pt idx="308">
                  <c:v>3.8355407666601954E-4</c:v>
                </c:pt>
                <c:pt idx="309">
                  <c:v>3.2653669778170318E-4</c:v>
                </c:pt>
                <c:pt idx="310">
                  <c:v>2.7750627338486559E-4</c:v>
                </c:pt>
                <c:pt idx="311">
                  <c:v>2.3512240071984675E-4</c:v>
                </c:pt>
                <c:pt idx="312">
                  <c:v>1.987969531303505E-4</c:v>
                </c:pt>
                <c:pt idx="313">
                  <c:v>1.6830118870722637E-4</c:v>
                </c:pt>
                <c:pt idx="314">
                  <c:v>1.4249306612122212E-4</c:v>
                </c:pt>
                <c:pt idx="315">
                  <c:v>1.2078762764496835E-4</c:v>
                </c:pt>
                <c:pt idx="316">
                  <c:v>1.0195504802709112E-4</c:v>
                </c:pt>
                <c:pt idx="317">
                  <c:v>8.661726730956889E-5</c:v>
                </c:pt>
                <c:pt idx="318">
                  <c:v>7.3337464289795811E-5</c:v>
                </c:pt>
                <c:pt idx="319">
                  <c:v>6.2101145936259327E-5</c:v>
                </c:pt>
                <c:pt idx="320">
                  <c:v>5.2285284567873007E-5</c:v>
                </c:pt>
                <c:pt idx="321">
                  <c:v>4.3424784805435492E-5</c:v>
                </c:pt>
                <c:pt idx="322">
                  <c:v>3.698103609802247E-5</c:v>
                </c:pt>
                <c:pt idx="323">
                  <c:v>2.9546795113852788E-5</c:v>
                </c:pt>
                <c:pt idx="324">
                  <c:v>2.5147593069185296E-5</c:v>
                </c:pt>
                <c:pt idx="325">
                  <c:v>2.0785376751246887E-5</c:v>
                </c:pt>
                <c:pt idx="326">
                  <c:v>1.7926497813909169E-5</c:v>
                </c:pt>
                <c:pt idx="327">
                  <c:v>1.4976794703807071E-5</c:v>
                </c:pt>
                <c:pt idx="328">
                  <c:v>1.249970152103048E-5</c:v>
                </c:pt>
                <c:pt idx="329">
                  <c:v>1.0421681715252978E-5</c:v>
                </c:pt>
                <c:pt idx="330">
                  <c:v>8.6802353676217362E-6</c:v>
                </c:pt>
                <c:pt idx="331">
                  <c:v>7.2224582292057628E-6</c:v>
                </c:pt>
                <c:pt idx="332">
                  <c:v>6.0033820477202878E-6</c:v>
                </c:pt>
                <c:pt idx="333">
                  <c:v>4.9849909722302646E-6</c:v>
                </c:pt>
                <c:pt idx="334">
                  <c:v>4.1351404216274104E-6</c:v>
                </c:pt>
                <c:pt idx="335">
                  <c:v>3.4266809323404501E-6</c:v>
                </c:pt>
                <c:pt idx="336">
                  <c:v>2.8367078893636622E-6</c:v>
                </c:pt>
                <c:pt idx="337">
                  <c:v>2.3459196082521416E-6</c:v>
                </c:pt>
                <c:pt idx="338">
                  <c:v>1.9380688917574571E-6</c:v>
                </c:pt>
                <c:pt idx="339">
                  <c:v>1.5994949877726152E-6</c:v>
                </c:pt>
                <c:pt idx="340">
                  <c:v>1.3187247267180943E-6</c:v>
                </c:pt>
                <c:pt idx="341">
                  <c:v>1.0861324743774922E-6</c:v>
                </c:pt>
                <c:pt idx="342">
                  <c:v>8.9365386116650904E-7</c:v>
                </c:pt>
                <c:pt idx="343">
                  <c:v>7.3453664890337851E-7</c:v>
                </c:pt>
                <c:pt idx="344">
                  <c:v>6.0313594625391776E-7</c:v>
                </c:pt>
                <c:pt idx="345">
                  <c:v>4.9473720177396392E-7</c:v>
                </c:pt>
                <c:pt idx="346">
                  <c:v>4.0540727989516523E-7</c:v>
                </c:pt>
                <c:pt idx="347">
                  <c:v>3.3186857397161162E-7</c:v>
                </c:pt>
                <c:pt idx="348">
                  <c:v>2.713928141414205E-7</c:v>
                </c:pt>
                <c:pt idx="349">
                  <c:v>2.2171147898119477E-7</c:v>
                </c:pt>
                <c:pt idx="350">
                  <c:v>1.8094044108897522E-7</c:v>
                </c:pt>
                <c:pt idx="351">
                  <c:v>1.475165348924478E-7</c:v>
                </c:pt>
                <c:pt idx="352">
                  <c:v>1.201443709146507E-7</c:v>
                </c:pt>
                <c:pt idx="353">
                  <c:v>9.7751578355810515E-8</c:v>
                </c:pt>
                <c:pt idx="354">
                  <c:v>7.9451436865857865E-8</c:v>
                </c:pt>
                <c:pt idx="355">
                  <c:v>6.4511533144288002E-8</c:v>
                </c:pt>
                <c:pt idx="356">
                  <c:v>5.2327573888307483E-8</c:v>
                </c:pt>
                <c:pt idx="357">
                  <c:v>4.2401524021148042E-8</c:v>
                </c:pt>
                <c:pt idx="358">
                  <c:v>3.4323373276647683E-8</c:v>
                </c:pt>
                <c:pt idx="359">
                  <c:v>2.7755949427756572E-8</c:v>
                </c:pt>
                <c:pt idx="360">
                  <c:v>2.2422283814548408E-8</c:v>
                </c:pt>
                <c:pt idx="361">
                  <c:v>1.8095110002606525E-8</c:v>
                </c:pt>
                <c:pt idx="362">
                  <c:v>1.4588150896367307E-8</c:v>
                </c:pt>
                <c:pt idx="363">
                  <c:v>1.1748891561537981E-8</c:v>
                </c:pt>
                <c:pt idx="364">
                  <c:v>9.4525977787906535E-9</c:v>
                </c:pt>
                <c:pt idx="365">
                  <c:v>7.5973666673340879E-9</c:v>
                </c:pt>
                <c:pt idx="366">
                  <c:v>6.100039274708498E-9</c:v>
                </c:pt>
                <c:pt idx="367">
                  <c:v>4.8928263220822155E-9</c:v>
                </c:pt>
                <c:pt idx="368">
                  <c:v>3.9205284035721044E-9</c:v>
                </c:pt>
                <c:pt idx="369">
                  <c:v>3.1382464279066801E-9</c:v>
                </c:pt>
                <c:pt idx="370">
                  <c:v>2.5094994531042375E-9</c:v>
                </c:pt>
                <c:pt idx="371">
                  <c:v>2.0046788251766483E-9</c:v>
                </c:pt>
                <c:pt idx="372">
                  <c:v>1.5997795257106992E-9</c:v>
                </c:pt>
                <c:pt idx="373">
                  <c:v>1.2753608933793943E-9</c:v>
                </c:pt>
                <c:pt idx="374">
                  <c:v>1.0156958721655544E-9</c:v>
                </c:pt>
                <c:pt idx="375">
                  <c:v>8.0807544745813515E-10</c:v>
                </c:pt>
                <c:pt idx="376">
                  <c:v>6.4224061019134277E-10</c:v>
                </c:pt>
                <c:pt idx="377">
                  <c:v>5.0991906435702507E-10</c:v>
                </c:pt>
                <c:pt idx="378">
                  <c:v>4.0444769631923273E-10</c:v>
                </c:pt>
                <c:pt idx="379">
                  <c:v>3.2046537581164746E-10</c:v>
                </c:pt>
                <c:pt idx="380">
                  <c:v>2.5366321322461143E-10</c:v>
                </c:pt>
                <c:pt idx="381">
                  <c:v>2.0058179079804905E-10</c:v>
                </c:pt>
                <c:pt idx="382">
                  <c:v>1.5844667920627169E-10</c:v>
                </c:pt>
                <c:pt idx="383">
                  <c:v>1.2503523543590269E-10</c:v>
                </c:pt>
                <c:pt idx="384">
                  <c:v>9.8568766288994547E-11</c:v>
                </c:pt>
                <c:pt idx="385">
                  <c:v>7.7625400273769126E-11</c:v>
                </c:pt>
                <c:pt idx="386">
                  <c:v>6.1069732650354991E-11</c:v>
                </c:pt>
                <c:pt idx="387">
                  <c:v>4.7996085722710885E-11</c:v>
                </c:pt>
                <c:pt idx="388">
                  <c:v>3.76828070695503E-11</c:v>
                </c:pt>
                <c:pt idx="389">
                  <c:v>2.9555500195207231E-11</c:v>
                </c:pt>
                <c:pt idx="390">
                  <c:v>2.3157464136580525E-11</c:v>
                </c:pt>
                <c:pt idx="391">
                  <c:v>1.8125972933403826E-11</c:v>
                </c:pt>
                <c:pt idx="392">
                  <c:v>1.4173244457514752E-11</c:v>
                </c:pt>
                <c:pt idx="393">
                  <c:v>1.1071204291701693E-11</c:v>
                </c:pt>
                <c:pt idx="394">
                  <c:v>8.6392905071028718E-12</c:v>
                </c:pt>
                <c:pt idx="395">
                  <c:v>6.7347104791438121E-12</c:v>
                </c:pt>
                <c:pt idx="396">
                  <c:v>5.2446608393042324E-12</c:v>
                </c:pt>
                <c:pt idx="397">
                  <c:v>4.0801254999850083E-12</c:v>
                </c:pt>
                <c:pt idx="398">
                  <c:v>3.1709344270130901E-12</c:v>
                </c:pt>
                <c:pt idx="399">
                  <c:v>2.4618332387888565E-12</c:v>
                </c:pt>
                <c:pt idx="400">
                  <c:v>1.9093592030863851E-12</c:v>
                </c:pt>
                <c:pt idx="401">
                  <c:v>1.4793613726792037E-12</c:v>
                </c:pt>
                <c:pt idx="402">
                  <c:v>1.1450344204082493E-12</c:v>
                </c:pt>
                <c:pt idx="403">
                  <c:v>8.8536111652468323E-13</c:v>
                </c:pt>
                <c:pt idx="404">
                  <c:v>6.8388010484477622E-13</c:v>
                </c:pt>
                <c:pt idx="405">
                  <c:v>5.2771219339974125E-13</c:v>
                </c:pt>
                <c:pt idx="406">
                  <c:v>4.0679155093532535E-13</c:v>
                </c:pt>
                <c:pt idx="407">
                  <c:v>3.132595701508059E-13</c:v>
                </c:pt>
                <c:pt idx="408">
                  <c:v>2.409874354435675E-13</c:v>
                </c:pt>
                <c:pt idx="409">
                  <c:v>1.8520047181419259E-13</c:v>
                </c:pt>
                <c:pt idx="410">
                  <c:v>1.4218291232453194E-13</c:v>
                </c:pt>
                <c:pt idx="411">
                  <c:v>1.0904615422157727E-13</c:v>
                </c:pt>
                <c:pt idx="412">
                  <c:v>8.3547013936027296E-14</c:v>
                </c:pt>
                <c:pt idx="413">
                  <c:v>6.3945375726011739E-14</c:v>
                </c:pt>
                <c:pt idx="414">
                  <c:v>4.8892808407652638E-14</c:v>
                </c:pt>
                <c:pt idx="415">
                  <c:v>3.7345515825286929E-14</c:v>
                </c:pt>
                <c:pt idx="416">
                  <c:v>2.8496371746694026E-14</c:v>
                </c:pt>
                <c:pt idx="417">
                  <c:v>2.1721924698817464E-14</c:v>
                </c:pt>
                <c:pt idx="418">
                  <c:v>1.6541110820507976E-14</c:v>
                </c:pt>
                <c:pt idx="419">
                  <c:v>1.2583129567718217E-14</c:v>
                </c:pt>
                <c:pt idx="420">
                  <c:v>9.562474705849287E-15</c:v>
                </c:pt>
                <c:pt idx="421">
                  <c:v>7.2595476461522061E-15</c:v>
                </c:pt>
                <c:pt idx="422">
                  <c:v>5.505622800006217E-15</c:v>
                </c:pt>
                <c:pt idx="423">
                  <c:v>4.1711996388745626E-15</c:v>
                </c:pt>
                <c:pt idx="424">
                  <c:v>3.1569894625353786E-15</c:v>
                </c:pt>
                <c:pt idx="425">
                  <c:v>2.3869477727381499E-15</c:v>
                </c:pt>
                <c:pt idx="426">
                  <c:v>1.8028946001734484E-15</c:v>
                </c:pt>
                <c:pt idx="427">
                  <c:v>1.3603647995182559E-15</c:v>
                </c:pt>
                <c:pt idx="428">
                  <c:v>1.0254112254046669E-15</c:v>
                </c:pt>
                <c:pt idx="429">
                  <c:v>7.7214413723954998E-16</c:v>
                </c:pt>
                <c:pt idx="430">
                  <c:v>5.8083973663531638E-16</c:v>
                </c:pt>
                <c:pt idx="431">
                  <c:v>4.3648758515456483E-16</c:v>
                </c:pt>
                <c:pt idx="432">
                  <c:v>3.2767635189838267E-16</c:v>
                </c:pt>
                <c:pt idx="433">
                  <c:v>2.4574004725736667E-16</c:v>
                </c:pt>
                <c:pt idx="434">
                  <c:v>1.8410450109087076E-16</c:v>
                </c:pt>
                <c:pt idx="435">
                  <c:v>1.3778771744259588E-16</c:v>
                </c:pt>
                <c:pt idx="436">
                  <c:v>1.0301826581612083E-16</c:v>
                </c:pt>
                <c:pt idx="437">
                  <c:v>7.6944148745983432E-17</c:v>
                </c:pt>
                <c:pt idx="438">
                  <c:v>5.7410931658821442E-17</c:v>
                </c:pt>
                <c:pt idx="439">
                  <c:v>4.2792850525173608E-17</c:v>
                </c:pt>
                <c:pt idx="440">
                  <c:v>3.1864379932796362E-17</c:v>
                </c:pt>
                <c:pt idx="441">
                  <c:v>2.3702674766788518E-17</c:v>
                </c:pt>
                <c:pt idx="442">
                  <c:v>1.7613549283300226E-17</c:v>
                </c:pt>
                <c:pt idx="443">
                  <c:v>1.3075371163836294E-17</c:v>
                </c:pt>
                <c:pt idx="444">
                  <c:v>9.6965849563595731E-18</c:v>
                </c:pt>
                <c:pt idx="445">
                  <c:v>7.1835847332281702E-18</c:v>
                </c:pt>
                <c:pt idx="446">
                  <c:v>5.3164442412037364E-18</c:v>
                </c:pt>
                <c:pt idx="447">
                  <c:v>3.9306007892873259E-18</c:v>
                </c:pt>
                <c:pt idx="448">
                  <c:v>2.9030481741932852E-18</c:v>
                </c:pt>
                <c:pt idx="449">
                  <c:v>2.1419394063676094E-18</c:v>
                </c:pt>
                <c:pt idx="450">
                  <c:v>1.5787659491766134E-18</c:v>
                </c:pt>
                <c:pt idx="451">
                  <c:v>1.1624812360374452E-18</c:v>
                </c:pt>
                <c:pt idx="452">
                  <c:v>8.5508990704653443E-19</c:v>
                </c:pt>
                <c:pt idx="453">
                  <c:v>6.2834077455937526E-19</c:v>
                </c:pt>
                <c:pt idx="454">
                  <c:v>4.6124995520695646E-19</c:v>
                </c:pt>
                <c:pt idx="455">
                  <c:v>3.3824786321279585E-19</c:v>
                </c:pt>
                <c:pt idx="456">
                  <c:v>2.4779436013089387E-19</c:v>
                </c:pt>
                <c:pt idx="457">
                  <c:v>1.8134492519660123E-19</c:v>
                </c:pt>
                <c:pt idx="458">
                  <c:v>1.3257969872409507E-19</c:v>
                </c:pt>
                <c:pt idx="459">
                  <c:v>9.682918423938042E-20</c:v>
                </c:pt>
                <c:pt idx="460">
                  <c:v>7.0646907243611168E-20</c:v>
                </c:pt>
                <c:pt idx="461">
                  <c:v>5.1491751915611361E-20</c:v>
                </c:pt>
                <c:pt idx="462">
                  <c:v>3.749210386418343E-20</c:v>
                </c:pt>
                <c:pt idx="463">
                  <c:v>2.7270907365018065E-20</c:v>
                </c:pt>
                <c:pt idx="464">
                  <c:v>1.9816045687886574E-20</c:v>
                </c:pt>
                <c:pt idx="465">
                  <c:v>1.4384409278176773E-20</c:v>
                </c:pt>
                <c:pt idx="466">
                  <c:v>1.0430970135622509E-20</c:v>
                </c:pt>
                <c:pt idx="467">
                  <c:v>7.5564010857853839E-21</c:v>
                </c:pt>
                <c:pt idx="468">
                  <c:v>5.4684334695701197E-21</c:v>
                </c:pt>
                <c:pt idx="469">
                  <c:v>3.9533794150434491E-21</c:v>
                </c:pt>
                <c:pt idx="470">
                  <c:v>2.8551681641649947E-21</c:v>
                </c:pt>
                <c:pt idx="471">
                  <c:v>2.0599302507176672E-21</c:v>
                </c:pt>
                <c:pt idx="472">
                  <c:v>1.4846735608719275E-21</c:v>
                </c:pt>
                <c:pt idx="473">
                  <c:v>1.0689737977711491E-21</c:v>
                </c:pt>
                <c:pt idx="474">
                  <c:v>7.6888392129289833E-22</c:v>
                </c:pt>
                <c:pt idx="475">
                  <c:v>5.5247436380788711E-22</c:v>
                </c:pt>
                <c:pt idx="476">
                  <c:v>3.9657114743334731E-22</c:v>
                </c:pt>
                <c:pt idx="477">
                  <c:v>2.8437258573842862E-22</c:v>
                </c:pt>
                <c:pt idx="478">
                  <c:v>2.0370982223048433E-22</c:v>
                </c:pt>
                <c:pt idx="479">
                  <c:v>1.4577862394545469E-22</c:v>
                </c:pt>
                <c:pt idx="480">
                  <c:v>1.0421574881511728E-22</c:v>
                </c:pt>
                <c:pt idx="481">
                  <c:v>7.4426996013987973E-23</c:v>
                </c:pt>
                <c:pt idx="482">
                  <c:v>5.3098867659275457E-23</c:v>
                </c:pt>
                <c:pt idx="483">
                  <c:v>3.7844054648703273E-23</c:v>
                </c:pt>
                <c:pt idx="484">
                  <c:v>2.6944348883892516E-23</c:v>
                </c:pt>
                <c:pt idx="485">
                  <c:v>1.9164405727040894E-23</c:v>
                </c:pt>
                <c:pt idx="486">
                  <c:v>1.3616975275786233E-23</c:v>
                </c:pt>
                <c:pt idx="487">
                  <c:v>9.6654833765017964E-24</c:v>
                </c:pt>
                <c:pt idx="488">
                  <c:v>6.8536849279848575E-24</c:v>
                </c:pt>
                <c:pt idx="489">
                  <c:v>4.854922729538819E-24</c:v>
                </c:pt>
                <c:pt idx="490">
                  <c:v>3.4355647902316799E-24</c:v>
                </c:pt>
                <c:pt idx="491">
                  <c:v>2.4286872599023578E-24</c:v>
                </c:pt>
                <c:pt idx="492">
                  <c:v>1.7151522559891946E-24</c:v>
                </c:pt>
                <c:pt idx="493">
                  <c:v>1.2100167734205569E-24</c:v>
                </c:pt>
                <c:pt idx="494">
                  <c:v>8.5278142975478038E-25</c:v>
                </c:pt>
                <c:pt idx="495">
                  <c:v>6.0040142112637637E-25</c:v>
                </c:pt>
                <c:pt idx="496">
                  <c:v>4.2228272855520955E-25</c:v>
                </c:pt>
                <c:pt idx="497">
                  <c:v>2.9670342587636799E-25</c:v>
                </c:pt>
                <c:pt idx="498">
                  <c:v>2.0825691435273239E-25</c:v>
                </c:pt>
                <c:pt idx="499">
                  <c:v>1.4602725883890279E-25</c:v>
                </c:pt>
                <c:pt idx="500">
                  <c:v>1.0228832388105803E-25</c:v>
                </c:pt>
                <c:pt idx="501">
                  <c:v>7.1577384848536326E-26</c:v>
                </c:pt>
                <c:pt idx="502">
                  <c:v>5.0036073443989523E-26</c:v>
                </c:pt>
                <c:pt idx="503">
                  <c:v>3.494203932146371E-26</c:v>
                </c:pt>
                <c:pt idx="504">
                  <c:v>2.4376475078784844E-26</c:v>
                </c:pt>
                <c:pt idx="505">
                  <c:v>1.6988349827197975E-26</c:v>
                </c:pt>
                <c:pt idx="506">
                  <c:v>1.1827395390106074E-26</c:v>
                </c:pt>
                <c:pt idx="507">
                  <c:v>8.2259235274999685E-27</c:v>
                </c:pt>
                <c:pt idx="508">
                  <c:v>5.7152844298242792E-27</c:v>
                </c:pt>
                <c:pt idx="509">
                  <c:v>3.966876360527367E-27</c:v>
                </c:pt>
                <c:pt idx="510">
                  <c:v>2.7505345798595503E-27</c:v>
                </c:pt>
                <c:pt idx="511">
                  <c:v>1.9052114598278483E-27</c:v>
                </c:pt>
                <c:pt idx="512">
                  <c:v>1.3183383738924667E-27</c:v>
                </c:pt>
                <c:pt idx="513">
                  <c:v>9.1131440155782975E-28</c:v>
                </c:pt>
                <c:pt idx="514">
                  <c:v>6.2931372261730711E-28</c:v>
                </c:pt>
                <c:pt idx="515">
                  <c:v>4.3413400217515038E-28</c:v>
                </c:pt>
                <c:pt idx="516">
                  <c:v>2.9918377566688914E-28</c:v>
                </c:pt>
                <c:pt idx="517">
                  <c:v>2.0597281372175638E-28</c:v>
                </c:pt>
                <c:pt idx="518">
                  <c:v>1.4165744376318145E-28</c:v>
                </c:pt>
                <c:pt idx="519">
                  <c:v>9.7325473414981007E-29</c:v>
                </c:pt>
                <c:pt idx="520">
                  <c:v>6.6799203132124816E-29</c:v>
                </c:pt>
                <c:pt idx="521">
                  <c:v>4.5800864272206327E-29</c:v>
                </c:pt>
                <c:pt idx="522">
                  <c:v>3.1371385184510141E-29</c:v>
                </c:pt>
                <c:pt idx="523">
                  <c:v>2.1466010932628763E-29</c:v>
                </c:pt>
                <c:pt idx="524">
                  <c:v>1.4673260588448163E-29</c:v>
                </c:pt>
                <c:pt idx="525">
                  <c:v>1.0019811302944449E-29</c:v>
                </c:pt>
                <c:pt idx="526">
                  <c:v>6.8351821517584921E-30</c:v>
                </c:pt>
                <c:pt idx="527">
                  <c:v>4.6579869290260391E-30</c:v>
                </c:pt>
                <c:pt idx="528">
                  <c:v>3.1710571887564628E-30</c:v>
                </c:pt>
                <c:pt idx="529">
                  <c:v>2.156589647437821E-30</c:v>
                </c:pt>
                <c:pt idx="530">
                  <c:v>1.4651719147263059E-30</c:v>
                </c:pt>
                <c:pt idx="531">
                  <c:v>9.9441413515823206E-31</c:v>
                </c:pt>
                <c:pt idx="532">
                  <c:v>6.7422309163013796E-31</c:v>
                </c:pt>
                <c:pt idx="533">
                  <c:v>4.5666485386872905E-31</c:v>
                </c:pt>
                <c:pt idx="534">
                  <c:v>3.0899338619180979E-31</c:v>
                </c:pt>
                <c:pt idx="535">
                  <c:v>2.0886150841466668E-31</c:v>
                </c:pt>
                <c:pt idx="536">
                  <c:v>1.4103446970806834E-31</c:v>
                </c:pt>
                <c:pt idx="537">
                  <c:v>9.513706720583466E-32</c:v>
                </c:pt>
                <c:pt idx="538">
                  <c:v>6.4110901157002445E-32</c:v>
                </c:pt>
                <c:pt idx="539">
                  <c:v>4.315902592879917E-32</c:v>
                </c:pt>
                <c:pt idx="540">
                  <c:v>2.9024785342519018E-32</c:v>
                </c:pt>
                <c:pt idx="541">
                  <c:v>1.9499525036866064E-32</c:v>
                </c:pt>
                <c:pt idx="542">
                  <c:v>1.3086896832775253E-32</c:v>
                </c:pt>
                <c:pt idx="543">
                  <c:v>8.7741884380312969E-33</c:v>
                </c:pt>
                <c:pt idx="544">
                  <c:v>5.8767181971122834E-33</c:v>
                </c:pt>
                <c:pt idx="545">
                  <c:v>3.9320624375815612E-33</c:v>
                </c:pt>
                <c:pt idx="546">
                  <c:v>2.628231281980921E-33</c:v>
                </c:pt>
                <c:pt idx="547">
                  <c:v>1.7549485165094898E-33</c:v>
                </c:pt>
                <c:pt idx="548">
                  <c:v>1.1706385305280283E-33</c:v>
                </c:pt>
                <c:pt idx="549">
                  <c:v>7.8007952266180025E-34</c:v>
                </c:pt>
                <c:pt idx="550">
                  <c:v>5.1929312991693916E-34</c:v>
                </c:pt>
                <c:pt idx="551">
                  <c:v>3.4533762995550122E-34</c:v>
                </c:pt>
                <c:pt idx="552">
                  <c:v>2.294208398161779E-34</c:v>
                </c:pt>
                <c:pt idx="553">
                  <c:v>1.5225776733298794E-34</c:v>
                </c:pt>
                <c:pt idx="554">
                  <c:v>1.0094473613449673E-34</c:v>
                </c:pt>
                <c:pt idx="555">
                  <c:v>6.6856791434518272E-35</c:v>
                </c:pt>
                <c:pt idx="556">
                  <c:v>4.4234896165960457E-35</c:v>
                </c:pt>
                <c:pt idx="557">
                  <c:v>2.9237627528223325E-35</c:v>
                </c:pt>
                <c:pt idx="558">
                  <c:v>1.9305314329517555E-35</c:v>
                </c:pt>
                <c:pt idx="559">
                  <c:v>1.2734129324267828E-35</c:v>
                </c:pt>
                <c:pt idx="560">
                  <c:v>8.3911071237011462E-36</c:v>
                </c:pt>
                <c:pt idx="561">
                  <c:v>5.5236595877578378E-36</c:v>
                </c:pt>
                <c:pt idx="562">
                  <c:v>3.6323875420820186E-36</c:v>
                </c:pt>
                <c:pt idx="563">
                  <c:v>2.3862452589478838E-36</c:v>
                </c:pt>
                <c:pt idx="564">
                  <c:v>1.5660139061605401E-36</c:v>
                </c:pt>
                <c:pt idx="565">
                  <c:v>1.0266768759966584E-36</c:v>
                </c:pt>
                <c:pt idx="566">
                  <c:v>6.7240289960665973E-37</c:v>
                </c:pt>
                <c:pt idx="567">
                  <c:v>4.3992942036168668E-37</c:v>
                </c:pt>
                <c:pt idx="568">
                  <c:v>2.8753721862193379E-37</c:v>
                </c:pt>
                <c:pt idx="569">
                  <c:v>1.8774256937025787E-37</c:v>
                </c:pt>
                <c:pt idx="570">
                  <c:v>1.2245854048638382E-37</c:v>
                </c:pt>
                <c:pt idx="571">
                  <c:v>7.9794513792302751E-38</c:v>
                </c:pt>
                <c:pt idx="572">
                  <c:v>5.1941515486671527E-38</c:v>
                </c:pt>
                <c:pt idx="573">
                  <c:v>3.3776436990779361E-38</c:v>
                </c:pt>
                <c:pt idx="574">
                  <c:v>2.1941720527414004E-38</c:v>
                </c:pt>
                <c:pt idx="575">
                  <c:v>1.4239185936102083E-38</c:v>
                </c:pt>
                <c:pt idx="576">
                  <c:v>9.2311810557950878E-39</c:v>
                </c:pt>
                <c:pt idx="577">
                  <c:v>5.9784281157087633E-39</c:v>
                </c:pt>
                <c:pt idx="578">
                  <c:v>3.8678923995891493E-39</c:v>
                </c:pt>
                <c:pt idx="579">
                  <c:v>2.4998812955806499E-39</c:v>
                </c:pt>
                <c:pt idx="580">
                  <c:v>1.6140687223545328E-39</c:v>
                </c:pt>
                <c:pt idx="581">
                  <c:v>1.041075651906323E-39</c:v>
                </c:pt>
                <c:pt idx="582">
                  <c:v>6.7081101717090623E-40</c:v>
                </c:pt>
                <c:pt idx="583">
                  <c:v>4.3179311764938825E-40</c:v>
                </c:pt>
                <c:pt idx="584">
                  <c:v>2.7765715834162522E-40</c:v>
                </c:pt>
                <c:pt idx="585">
                  <c:v>1.783609041580487E-40</c:v>
                </c:pt>
                <c:pt idx="586">
                  <c:v>1.1445851002601339E-40</c:v>
                </c:pt>
                <c:pt idx="587">
                  <c:v>7.3376018709154617E-41</c:v>
                </c:pt>
                <c:pt idx="588">
                  <c:v>4.6991340002047832E-41</c:v>
                </c:pt>
                <c:pt idx="589">
                  <c:v>3.0063472607170319E-41</c:v>
                </c:pt>
                <c:pt idx="590">
                  <c:v>1.9214013561573106E-41</c:v>
                </c:pt>
                <c:pt idx="591">
                  <c:v>1.2267460665597911E-41</c:v>
                </c:pt>
                <c:pt idx="592">
                  <c:v>7.8243610950308471E-42</c:v>
                </c:pt>
                <c:pt idx="593">
                  <c:v>4.9854082332988988E-42</c:v>
                </c:pt>
                <c:pt idx="594">
                  <c:v>3.1732931815762327E-42</c:v>
                </c:pt>
                <c:pt idx="595">
                  <c:v>2.0177962177177195E-42</c:v>
                </c:pt>
                <c:pt idx="596">
                  <c:v>1.2817462015623549E-42</c:v>
                </c:pt>
                <c:pt idx="597">
                  <c:v>8.133629858666766E-43</c:v>
                </c:pt>
                <c:pt idx="598">
                  <c:v>5.156136494579041E-43</c:v>
                </c:pt>
                <c:pt idx="599">
                  <c:v>3.2652920686813804E-43</c:v>
                </c:pt>
                <c:pt idx="600">
                  <c:v>2.0657477761919498E-43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8E-4B2F-9732-48475129C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02336"/>
        <c:axId val="194704512"/>
      </c:scatterChart>
      <c:valAx>
        <c:axId val="194702336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704512"/>
        <c:crosses val="autoZero"/>
        <c:crossBetween val="midCat"/>
      </c:valAx>
      <c:valAx>
        <c:axId val="194704512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702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4.1666683620883639E-2"/>
          <c:y val="3.179195237980996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840266841644793"/>
          <c:y val="4.4194101421402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Densities!$U$4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Densities!$U$5:$U$605</c:f>
              <c:numCache>
                <c:formatCode>0</c:formatCode>
                <c:ptCount val="601"/>
                <c:pt idx="0">
                  <c:v>1.3440176921011954E-3</c:v>
                </c:pt>
                <c:pt idx="1">
                  <c:v>1.5647458241920976E-3</c:v>
                </c:pt>
                <c:pt idx="2">
                  <c:v>1.8197364836671892E-3</c:v>
                </c:pt>
                <c:pt idx="3">
                  <c:v>2.1155182911183575E-3</c:v>
                </c:pt>
                <c:pt idx="4">
                  <c:v>2.4551253946632837E-3</c:v>
                </c:pt>
                <c:pt idx="5">
                  <c:v>2.8477308037787069E-3</c:v>
                </c:pt>
                <c:pt idx="6">
                  <c:v>3.2996453672166481E-3</c:v>
                </c:pt>
                <c:pt idx="7">
                  <c:v>3.8185374065974973E-3</c:v>
                </c:pt>
                <c:pt idx="8">
                  <c:v>4.4160696656324406E-3</c:v>
                </c:pt>
                <c:pt idx="9">
                  <c:v>5.0996373176687149E-3</c:v>
                </c:pt>
                <c:pt idx="10">
                  <c:v>5.8840718566731823E-3</c:v>
                </c:pt>
                <c:pt idx="11">
                  <c:v>6.7829805096014601E-3</c:v>
                </c:pt>
                <c:pt idx="12">
                  <c:v>7.8106191718280817E-3</c:v>
                </c:pt>
                <c:pt idx="13">
                  <c:v>8.9839043420068022E-3</c:v>
                </c:pt>
                <c:pt idx="14">
                  <c:v>1.032531976856866E-2</c:v>
                </c:pt>
                <c:pt idx="15">
                  <c:v>1.1853944286315404E-2</c:v>
                </c:pt>
                <c:pt idx="16">
                  <c:v>1.3593485619521745E-2</c:v>
                </c:pt>
                <c:pt idx="17">
                  <c:v>1.5573573523313119E-2</c:v>
                </c:pt>
                <c:pt idx="18">
                  <c:v>1.7823934764557205E-2</c:v>
                </c:pt>
                <c:pt idx="19">
                  <c:v>2.0377825736117555E-2</c:v>
                </c:pt>
                <c:pt idx="20">
                  <c:v>2.327487656849736E-2</c:v>
                </c:pt>
                <c:pt idx="21">
                  <c:v>2.6557643388106757E-2</c:v>
                </c:pt>
                <c:pt idx="22">
                  <c:v>3.0270740479068817E-2</c:v>
                </c:pt>
                <c:pt idx="23">
                  <c:v>3.4469472104817427E-2</c:v>
                </c:pt>
                <c:pt idx="24">
                  <c:v>3.9208782486844333E-2</c:v>
                </c:pt>
                <c:pt idx="25">
                  <c:v>4.4555212998238621E-2</c:v>
                </c:pt>
                <c:pt idx="26">
                  <c:v>5.0580690659326244E-2</c:v>
                </c:pt>
                <c:pt idx="27">
                  <c:v>5.73603083290131E-2</c:v>
                </c:pt>
                <c:pt idx="28">
                  <c:v>6.4983359108867975E-2</c:v>
                </c:pt>
                <c:pt idx="29">
                  <c:v>7.3544632391375306E-2</c:v>
                </c:pt>
                <c:pt idx="30">
                  <c:v>8.3148358757068289E-2</c:v>
                </c:pt>
                <c:pt idx="31">
                  <c:v>9.3910868863889857E-2</c:v>
                </c:pt>
                <c:pt idx="32">
                  <c:v>0.10595941543612136</c:v>
                </c:pt>
                <c:pt idx="33">
                  <c:v>0.11943059418321057</c:v>
                </c:pt>
                <c:pt idx="34">
                  <c:v>0.13447927226818962</c:v>
                </c:pt>
                <c:pt idx="35">
                  <c:v>0.15126866235208256</c:v>
                </c:pt>
                <c:pt idx="36">
                  <c:v>0.16998066857196051</c:v>
                </c:pt>
                <c:pt idx="37">
                  <c:v>0.19081248633893316</c:v>
                </c:pt>
                <c:pt idx="38">
                  <c:v>0.21398026342630497</c:v>
                </c:pt>
                <c:pt idx="39">
                  <c:v>0.23971687968446229</c:v>
                </c:pt>
                <c:pt idx="40">
                  <c:v>0.2682740868578562</c:v>
                </c:pt>
                <c:pt idx="41">
                  <c:v>0.29992913534726551</c:v>
                </c:pt>
                <c:pt idx="42">
                  <c:v>0.33497700691767041</c:v>
                </c:pt>
                <c:pt idx="43">
                  <c:v>0.37374115126437529</c:v>
                </c:pt>
                <c:pt idx="44">
                  <c:v>0.4165649530030982</c:v>
                </c:pt>
                <c:pt idx="45">
                  <c:v>0.46382430756813875</c:v>
                </c:pt>
                <c:pt idx="46">
                  <c:v>0.515917962072164</c:v>
                </c:pt>
                <c:pt idx="47">
                  <c:v>0.57327783470860483</c:v>
                </c:pt>
                <c:pt idx="48">
                  <c:v>0.63636719828950083</c:v>
                </c:pt>
                <c:pt idx="49">
                  <c:v>0.70568046848726307</c:v>
                </c:pt>
                <c:pt idx="50">
                  <c:v>0.78174807003895652</c:v>
                </c:pt>
                <c:pt idx="51">
                  <c:v>0.86513163915168634</c:v>
                </c:pt>
                <c:pt idx="52">
                  <c:v>0.95643481470234637</c:v>
                </c:pt>
                <c:pt idx="53">
                  <c:v>1.0562982983414702</c:v>
                </c:pt>
                <c:pt idx="54">
                  <c:v>1.165400881944197</c:v>
                </c:pt>
                <c:pt idx="55">
                  <c:v>1.2844624791411887</c:v>
                </c:pt>
                <c:pt idx="56">
                  <c:v>1.4142468849519729</c:v>
                </c:pt>
                <c:pt idx="57">
                  <c:v>1.5555586976672124</c:v>
                </c:pt>
                <c:pt idx="58">
                  <c:v>1.7092498579430582</c:v>
                </c:pt>
                <c:pt idx="59">
                  <c:v>1.876214258283472</c:v>
                </c:pt>
                <c:pt idx="60">
                  <c:v>2.0573913090489362</c:v>
                </c:pt>
                <c:pt idx="61">
                  <c:v>2.2537661366621617</c:v>
                </c:pt>
                <c:pt idx="62">
                  <c:v>2.4663714030348594</c:v>
                </c:pt>
                <c:pt idx="63">
                  <c:v>2.6962843714456106</c:v>
                </c:pt>
                <c:pt idx="64">
                  <c:v>2.9446295763877179</c:v>
                </c:pt>
                <c:pt idx="65">
                  <c:v>3.2125741648879931</c:v>
                </c:pt>
                <c:pt idx="66">
                  <c:v>3.5013315895704098</c:v>
                </c:pt>
                <c:pt idx="67">
                  <c:v>3.8121592742332981</c:v>
                </c:pt>
                <c:pt idx="68">
                  <c:v>4.146354402401534</c:v>
                </c:pt>
                <c:pt idx="69">
                  <c:v>4.5052566346082301</c:v>
                </c:pt>
                <c:pt idx="70">
                  <c:v>4.8902404952626091</c:v>
                </c:pt>
                <c:pt idx="71">
                  <c:v>5.3027180221690635</c:v>
                </c:pt>
                <c:pt idx="72">
                  <c:v>5.744132735652566</c:v>
                </c:pt>
                <c:pt idx="73">
                  <c:v>6.2159571991037872</c:v>
                </c:pt>
                <c:pt idx="74">
                  <c:v>6.7196899696604815</c:v>
                </c:pt>
                <c:pt idx="75">
                  <c:v>7.2568491200995098</c:v>
                </c:pt>
                <c:pt idx="76">
                  <c:v>7.8289686745221942</c:v>
                </c:pt>
                <c:pt idx="77">
                  <c:v>8.4375941427966215</c:v>
                </c:pt>
                <c:pt idx="78">
                  <c:v>9.0842779533559934</c:v>
                </c:pt>
                <c:pt idx="79">
                  <c:v>9.7705669238872677</c:v>
                </c:pt>
                <c:pt idx="80">
                  <c:v>10.498004890521425</c:v>
                </c:pt>
                <c:pt idx="81">
                  <c:v>11.268117054664614</c:v>
                </c:pt>
                <c:pt idx="82">
                  <c:v>12.082412232717644</c:v>
                </c:pt>
                <c:pt idx="83">
                  <c:v>12.94236106361233</c:v>
                </c:pt>
                <c:pt idx="84">
                  <c:v>13.849402608892211</c:v>
                </c:pt>
                <c:pt idx="85">
                  <c:v>14.80492483707345</c:v>
                </c:pt>
                <c:pt idx="86">
                  <c:v>15.810258999346058</c:v>
                </c:pt>
                <c:pt idx="87">
                  <c:v>16.866671904633424</c:v>
                </c:pt>
                <c:pt idx="88">
                  <c:v>17.975353302189522</c:v>
                </c:pt>
                <c:pt idx="89">
                  <c:v>19.137407614557358</c:v>
                </c:pt>
                <c:pt idx="90">
                  <c:v>20.353842526341094</c:v>
                </c:pt>
                <c:pt idx="91">
                  <c:v>21.625560202168451</c:v>
                </c:pt>
                <c:pt idx="92">
                  <c:v>22.953342134965361</c:v>
                </c:pt>
                <c:pt idx="93">
                  <c:v>24.337845459668564</c:v>
                </c:pt>
                <c:pt idx="94">
                  <c:v>25.779587584659829</c:v>
                </c:pt>
                <c:pt idx="95">
                  <c:v>27.278935973160461</c:v>
                </c:pt>
                <c:pt idx="96">
                  <c:v>28.836099984609966</c:v>
                </c:pt>
                <c:pt idx="97">
                  <c:v>30.451118487656235</c:v>
                </c:pt>
                <c:pt idx="98">
                  <c:v>32.123851430483633</c:v>
                </c:pt>
                <c:pt idx="99">
                  <c:v>33.853969324051938</c:v>
                </c:pt>
                <c:pt idx="100">
                  <c:v>35.640945435840706</c:v>
                </c:pt>
                <c:pt idx="101">
                  <c:v>37.484046465710577</c:v>
                </c:pt>
                <c:pt idx="102">
                  <c:v>39.382325254643661</c:v>
                </c:pt>
                <c:pt idx="103">
                  <c:v>41.334611731655421</c:v>
                </c:pt>
                <c:pt idx="104">
                  <c:v>43.339511179071174</c:v>
                </c:pt>
                <c:pt idx="105">
                  <c:v>45.395393607344793</c:v>
                </c:pt>
                <c:pt idx="106">
                  <c:v>47.500392562436353</c:v>
                </c:pt>
                <c:pt idx="107">
                  <c:v>49.652398783229387</c:v>
                </c:pt>
                <c:pt idx="108">
                  <c:v>51.849062098884708</c:v>
                </c:pt>
                <c:pt idx="109">
                  <c:v>54.087785953619431</c:v>
                </c:pt>
                <c:pt idx="110">
                  <c:v>56.365730279842737</c:v>
                </c:pt>
                <c:pt idx="111">
                  <c:v>58.67981035974357</c:v>
                </c:pt>
                <c:pt idx="112">
                  <c:v>61.026702083671196</c:v>
                </c:pt>
                <c:pt idx="113">
                  <c:v>63.402842383816079</c:v>
                </c:pt>
                <c:pt idx="114">
                  <c:v>65.804438016247445</c:v>
                </c:pt>
                <c:pt idx="115">
                  <c:v>68.227470765083737</c:v>
                </c:pt>
                <c:pt idx="116">
                  <c:v>70.667706332950416</c:v>
                </c:pt>
                <c:pt idx="117">
                  <c:v>73.120700900403122</c:v>
                </c:pt>
                <c:pt idx="118">
                  <c:v>75.581817063699603</c:v>
                </c:pt>
                <c:pt idx="119">
                  <c:v>78.046232671047377</c:v>
                </c:pt>
                <c:pt idx="120">
                  <c:v>80.508955296702823</c:v>
                </c:pt>
                <c:pt idx="121">
                  <c:v>82.964837582431841</c:v>
                </c:pt>
                <c:pt idx="122">
                  <c:v>85.408594801585082</c:v>
                </c:pt>
                <c:pt idx="123">
                  <c:v>87.834820037928367</c:v>
                </c:pt>
                <c:pt idx="124">
                  <c:v>90.238005436005238</c:v>
                </c:pt>
                <c:pt idx="125">
                  <c:v>92.612559873632435</c:v>
                </c:pt>
                <c:pt idx="126">
                  <c:v>94.952832272246496</c:v>
                </c:pt>
                <c:pt idx="127">
                  <c:v>97.253129811500358</c:v>
                </c:pt>
                <c:pt idx="128">
                  <c:v>99.507745142737861</c:v>
                </c:pt>
                <c:pt idx="129">
                  <c:v>101.71097362780823</c:v>
                </c:pt>
                <c:pt idx="130">
                  <c:v>103.85714293778548</c:v>
                </c:pt>
                <c:pt idx="131">
                  <c:v>105.9406324601872</c:v>
                </c:pt>
                <c:pt idx="132">
                  <c:v>107.95590040402897</c:v>
                </c:pt>
                <c:pt idx="133">
                  <c:v>109.89750559228796</c:v>
                </c:pt>
                <c:pt idx="134">
                  <c:v>111.76013521747852</c:v>
                </c:pt>
                <c:pt idx="135">
                  <c:v>113.538625658334</c:v>
                </c:pt>
                <c:pt idx="136">
                  <c:v>115.2279879585577</c:v>
                </c:pt>
                <c:pt idx="137">
                  <c:v>116.82343102874943</c:v>
                </c:pt>
                <c:pt idx="138">
                  <c:v>118.32038333044886</c:v>
                </c:pt>
                <c:pt idx="139">
                  <c:v>119.71451456017913</c:v>
                </c:pt>
                <c:pt idx="140">
                  <c:v>121.00175744191033</c:v>
                </c:pt>
                <c:pt idx="141">
                  <c:v>122.17832897742225</c:v>
                </c:pt>
                <c:pt idx="142">
                  <c:v>123.24074519145384</c:v>
                </c:pt>
                <c:pt idx="143">
                  <c:v>124.18584032208163</c:v>
                </c:pt>
                <c:pt idx="144">
                  <c:v>125.01078330059285</c:v>
                </c:pt>
                <c:pt idx="145">
                  <c:v>125.71309119559227</c:v>
                </c:pt>
                <c:pt idx="146">
                  <c:v>126.2906407055453</c:v>
                </c:pt>
                <c:pt idx="147">
                  <c:v>126.74167856711883</c:v>
                </c:pt>
                <c:pt idx="148">
                  <c:v>127.06483543296898</c:v>
                </c:pt>
                <c:pt idx="149">
                  <c:v>127.25912424543795</c:v>
                </c:pt>
                <c:pt idx="150">
                  <c:v>127.32395346382042</c:v>
                </c:pt>
                <c:pt idx="151">
                  <c:v>127.25912467911883</c:v>
                </c:pt>
                <c:pt idx="152">
                  <c:v>127.06483521612854</c:v>
                </c:pt>
                <c:pt idx="153">
                  <c:v>126.74167921764013</c:v>
                </c:pt>
                <c:pt idx="154">
                  <c:v>126.29064027186443</c:v>
                </c:pt>
                <c:pt idx="155">
                  <c:v>125.7130907619114</c:v>
                </c:pt>
                <c:pt idx="156">
                  <c:v>125.01078395111415</c:v>
                </c:pt>
                <c:pt idx="157">
                  <c:v>124.18584064734229</c:v>
                </c:pt>
                <c:pt idx="158">
                  <c:v>123.24074508303362</c:v>
                </c:pt>
                <c:pt idx="159">
                  <c:v>122.17832973636378</c:v>
                </c:pt>
                <c:pt idx="160">
                  <c:v>121.00175820085185</c:v>
                </c:pt>
                <c:pt idx="161">
                  <c:v>119.71451401807803</c:v>
                </c:pt>
                <c:pt idx="162">
                  <c:v>118.32038267992756</c:v>
                </c:pt>
                <c:pt idx="163">
                  <c:v>116.82343135401008</c:v>
                </c:pt>
                <c:pt idx="164">
                  <c:v>115.22798893433966</c:v>
                </c:pt>
                <c:pt idx="165">
                  <c:v>113.53862576675422</c:v>
                </c:pt>
                <c:pt idx="166">
                  <c:v>111.76013565115939</c:v>
                </c:pt>
                <c:pt idx="167">
                  <c:v>109.8975052670273</c:v>
                </c:pt>
                <c:pt idx="168">
                  <c:v>107.95590029560876</c:v>
                </c:pt>
                <c:pt idx="169">
                  <c:v>105.94063170124568</c:v>
                </c:pt>
                <c:pt idx="170">
                  <c:v>103.85714304620569</c:v>
                </c:pt>
                <c:pt idx="171">
                  <c:v>101.71097373622845</c:v>
                </c:pt>
                <c:pt idx="172">
                  <c:v>99.507745034317637</c:v>
                </c:pt>
                <c:pt idx="173">
                  <c:v>97.253130353601449</c:v>
                </c:pt>
                <c:pt idx="174">
                  <c:v>94.952832055406063</c:v>
                </c:pt>
                <c:pt idx="175">
                  <c:v>92.612560632573945</c:v>
                </c:pt>
                <c:pt idx="176">
                  <c:v>90.238005436005238</c:v>
                </c:pt>
                <c:pt idx="177">
                  <c:v>87.8348202547688</c:v>
                </c:pt>
                <c:pt idx="178">
                  <c:v>85.408594584744648</c:v>
                </c:pt>
                <c:pt idx="179">
                  <c:v>82.964837907692498</c:v>
                </c:pt>
                <c:pt idx="180">
                  <c:v>80.508955405123046</c:v>
                </c:pt>
                <c:pt idx="181">
                  <c:v>78.046233321568678</c:v>
                </c:pt>
                <c:pt idx="182">
                  <c:v>75.581817063699603</c:v>
                </c:pt>
                <c:pt idx="183">
                  <c:v>73.120701008823346</c:v>
                </c:pt>
                <c:pt idx="184">
                  <c:v>70.667706061899878</c:v>
                </c:pt>
                <c:pt idx="185">
                  <c:v>68.227471144554499</c:v>
                </c:pt>
                <c:pt idx="186">
                  <c:v>65.804438178877774</c:v>
                </c:pt>
                <c:pt idx="187">
                  <c:v>63.402842600656513</c:v>
                </c:pt>
                <c:pt idx="188">
                  <c:v>61.026701758410546</c:v>
                </c:pt>
                <c:pt idx="189">
                  <c:v>58.679810522373892</c:v>
                </c:pt>
                <c:pt idx="190">
                  <c:v>56.36573049668317</c:v>
                </c:pt>
                <c:pt idx="191">
                  <c:v>54.08778611624976</c:v>
                </c:pt>
                <c:pt idx="192">
                  <c:v>51.849061882044275</c:v>
                </c:pt>
                <c:pt idx="193">
                  <c:v>49.652398891649604</c:v>
                </c:pt>
                <c:pt idx="194">
                  <c:v>47.500392020335262</c:v>
                </c:pt>
                <c:pt idx="195">
                  <c:v>45.395393661554898</c:v>
                </c:pt>
                <c:pt idx="196">
                  <c:v>43.339511612752041</c:v>
                </c:pt>
                <c:pt idx="197">
                  <c:v>41.334611785865533</c:v>
                </c:pt>
                <c:pt idx="198">
                  <c:v>39.382324766752689</c:v>
                </c:pt>
                <c:pt idx="199">
                  <c:v>37.484046736761115</c:v>
                </c:pt>
                <c:pt idx="200">
                  <c:v>35.640944893739622</c:v>
                </c:pt>
                <c:pt idx="201">
                  <c:v>33.85396916142161</c:v>
                </c:pt>
                <c:pt idx="202">
                  <c:v>32.123851322063416</c:v>
                </c:pt>
                <c:pt idx="203">
                  <c:v>30.451118596076451</c:v>
                </c:pt>
                <c:pt idx="204">
                  <c:v>28.836099821979641</c:v>
                </c:pt>
                <c:pt idx="205">
                  <c:v>27.278936054475622</c:v>
                </c:pt>
                <c:pt idx="206">
                  <c:v>25.779587720185098</c:v>
                </c:pt>
                <c:pt idx="207">
                  <c:v>24.337845242828131</c:v>
                </c:pt>
                <c:pt idx="208">
                  <c:v>22.953341836809763</c:v>
                </c:pt>
                <c:pt idx="209">
                  <c:v>21.625560446113941</c:v>
                </c:pt>
                <c:pt idx="210">
                  <c:v>20.353842851601744</c:v>
                </c:pt>
                <c:pt idx="211">
                  <c:v>19.137407831397795</c:v>
                </c:pt>
                <c:pt idx="212">
                  <c:v>17.975353329294578</c:v>
                </c:pt>
                <c:pt idx="213">
                  <c:v>16.866671660687935</c:v>
                </c:pt>
                <c:pt idx="214">
                  <c:v>15.810258945135949</c:v>
                </c:pt>
                <c:pt idx="215">
                  <c:v>14.804924267867309</c:v>
                </c:pt>
                <c:pt idx="216">
                  <c:v>13.849403259413515</c:v>
                </c:pt>
                <c:pt idx="217">
                  <c:v>12.942361809001325</c:v>
                </c:pt>
                <c:pt idx="218">
                  <c:v>12.082411622853924</c:v>
                </c:pt>
                <c:pt idx="219">
                  <c:v>11.268117800053608</c:v>
                </c:pt>
                <c:pt idx="220">
                  <c:v>10.498004402630448</c:v>
                </c:pt>
                <c:pt idx="221">
                  <c:v>9.7705671678327555</c:v>
                </c:pt>
                <c:pt idx="222">
                  <c:v>9.0842771944144722</c:v>
                </c:pt>
                <c:pt idx="223">
                  <c:v>8.4375947933179258</c:v>
                </c:pt>
                <c:pt idx="224">
                  <c:v>7.8289686609696663</c:v>
                </c:pt>
                <c:pt idx="225">
                  <c:v>7.2568492014146724</c:v>
                </c:pt>
                <c:pt idx="226">
                  <c:v>6.7196900577519081</c:v>
                </c:pt>
                <c:pt idx="227">
                  <c:v>6.2159575108119114</c:v>
                </c:pt>
                <c:pt idx="228">
                  <c:v>5.7441327627576202</c:v>
                </c:pt>
                <c:pt idx="229">
                  <c:v>5.3027182728908153</c:v>
                </c:pt>
                <c:pt idx="230">
                  <c:v>4.8902406782217263</c:v>
                </c:pt>
                <c:pt idx="231">
                  <c:v>4.5052566888183385</c:v>
                </c:pt>
                <c:pt idx="232">
                  <c:v>4.1463549241738296</c:v>
                </c:pt>
                <c:pt idx="233">
                  <c:v>3.8121599586359198</c:v>
                </c:pt>
                <c:pt idx="234">
                  <c:v>3.5013316776618364</c:v>
                </c:pt>
                <c:pt idx="235">
                  <c:v>3.2125742157099699</c:v>
                </c:pt>
                <c:pt idx="236">
                  <c:v>2.9446286819209253</c:v>
                </c:pt>
                <c:pt idx="237">
                  <c:v>2.6962840258561682</c:v>
                </c:pt>
                <c:pt idx="238">
                  <c:v>2.4663705593900436</c:v>
                </c:pt>
                <c:pt idx="239">
                  <c:v>2.2537656589355795</c:v>
                </c:pt>
                <c:pt idx="240">
                  <c:v>2.0573904078058805</c:v>
                </c:pt>
                <c:pt idx="241">
                  <c:v>1.8762137771687581</c:v>
                </c:pt>
                <c:pt idx="242">
                  <c:v>1.7092499528107483</c:v>
                </c:pt>
                <c:pt idx="243">
                  <c:v>1.5555587755942437</c:v>
                </c:pt>
                <c:pt idx="244">
                  <c:v>1.4142464156957202</c:v>
                </c:pt>
                <c:pt idx="245">
                  <c:v>1.2844614576194542</c:v>
                </c:pt>
                <c:pt idx="246">
                  <c:v>1.1653998587283967</c:v>
                </c:pt>
                <c:pt idx="247">
                  <c:v>1.0562972852900654</c:v>
                </c:pt>
                <c:pt idx="248">
                  <c:v>0.95643541101354124</c:v>
                </c:pt>
                <c:pt idx="249">
                  <c:v>0.86513163915168634</c:v>
                </c:pt>
                <c:pt idx="250">
                  <c:v>0.78174700023634414</c:v>
                </c:pt>
                <c:pt idx="251">
                  <c:v>0.7056810851272487</c:v>
                </c:pt>
                <c:pt idx="252">
                  <c:v>0.63636779036553093</c:v>
                </c:pt>
                <c:pt idx="253">
                  <c:v>0.57327784402596726</c:v>
                </c:pt>
                <c:pt idx="254">
                  <c:v>0.51591741065371532</c:v>
                </c:pt>
                <c:pt idx="255">
                  <c:v>0.46382317254398947</c:v>
                </c:pt>
                <c:pt idx="256">
                  <c:v>0.41656437575014466</c:v>
                </c:pt>
                <c:pt idx="257">
                  <c:v>0.37374054563581799</c:v>
                </c:pt>
                <c:pt idx="258">
                  <c:v>0.33497820419874136</c:v>
                </c:pt>
                <c:pt idx="259">
                  <c:v>0.29992914254704556</c:v>
                </c:pt>
                <c:pt idx="260">
                  <c:v>0.26827408939895503</c:v>
                </c:pt>
                <c:pt idx="261">
                  <c:v>0.23971564682800756</c:v>
                </c:pt>
                <c:pt idx="262">
                  <c:v>0.21398026215575555</c:v>
                </c:pt>
                <c:pt idx="263">
                  <c:v>0.1908131158961712</c:v>
                </c:pt>
                <c:pt idx="264">
                  <c:v>0.16998066539558696</c:v>
                </c:pt>
                <c:pt idx="265">
                  <c:v>0.15126802220693267</c:v>
                </c:pt>
                <c:pt idx="266">
                  <c:v>0.13447862301743554</c:v>
                </c:pt>
                <c:pt idx="267">
                  <c:v>0.11943059947716649</c:v>
                </c:pt>
                <c:pt idx="268">
                  <c:v>0.10595941713018725</c:v>
                </c:pt>
                <c:pt idx="269">
                  <c:v>9.391086695806572E-2</c:v>
                </c:pt>
                <c:pt idx="270">
                  <c:v>8.3148358545310039E-2</c:v>
                </c:pt>
                <c:pt idx="271">
                  <c:v>7.3544633873682971E-2</c:v>
                </c:pt>
                <c:pt idx="272">
                  <c:v>6.4983358367714156E-2</c:v>
                </c:pt>
                <c:pt idx="273">
                  <c:v>5.7360305258518665E-2</c:v>
                </c:pt>
                <c:pt idx="274">
                  <c:v>5.0580690765205362E-2</c:v>
                </c:pt>
                <c:pt idx="275">
                  <c:v>4.4555214427606717E-2</c:v>
                </c:pt>
                <c:pt idx="276">
                  <c:v>3.9208783333877277E-2</c:v>
                </c:pt>
                <c:pt idx="277">
                  <c:v>3.4469473110669051E-2</c:v>
                </c:pt>
                <c:pt idx="278">
                  <c:v>3.0270740584947935E-2</c:v>
                </c:pt>
                <c:pt idx="279">
                  <c:v>2.6557645293930891E-2</c:v>
                </c:pt>
                <c:pt idx="280">
                  <c:v>2.3274878156684137E-2</c:v>
                </c:pt>
                <c:pt idx="281">
                  <c:v>2.0377826186103808E-2</c:v>
                </c:pt>
                <c:pt idx="282">
                  <c:v>1.7823935082194559E-2</c:v>
                </c:pt>
                <c:pt idx="283">
                  <c:v>1.557357418505761E-2</c:v>
                </c:pt>
                <c:pt idx="284">
                  <c:v>1.3593486545964031E-2</c:v>
                </c:pt>
                <c:pt idx="285">
                  <c:v>1.185394515981813E-2</c:v>
                </c:pt>
                <c:pt idx="286">
                  <c:v>1.0325320337668921E-2</c:v>
                </c:pt>
                <c:pt idx="287">
                  <c:v>8.9839048449326161E-3</c:v>
                </c:pt>
                <c:pt idx="288">
                  <c:v>7.8106196879887844E-3</c:v>
                </c:pt>
                <c:pt idx="289">
                  <c:v>6.7829806684201379E-3</c:v>
                </c:pt>
                <c:pt idx="290">
                  <c:v>5.8840721610756482E-3</c:v>
                </c:pt>
                <c:pt idx="291">
                  <c:v>5.099637641923515E-3</c:v>
                </c:pt>
                <c:pt idx="292">
                  <c:v>4.4160698443034534E-3</c:v>
                </c:pt>
                <c:pt idx="293">
                  <c:v>3.8185377507046325E-3</c:v>
                </c:pt>
                <c:pt idx="294">
                  <c:v>3.2996455326527703E-3</c:v>
                </c:pt>
                <c:pt idx="295">
                  <c:v>2.8477309625973848E-3</c:v>
                </c:pt>
                <c:pt idx="296">
                  <c:v>2.4551254343679529E-3</c:v>
                </c:pt>
                <c:pt idx="297">
                  <c:v>2.1155184433195901E-3</c:v>
                </c:pt>
                <c:pt idx="298">
                  <c:v>1.8197366457945894E-3</c:v>
                </c:pt>
                <c:pt idx="299">
                  <c:v>1.5647458820947405E-3</c:v>
                </c:pt>
                <c:pt idx="300">
                  <c:v>1.3440177930172301E-3</c:v>
                </c:pt>
                <c:pt idx="301">
                  <c:v>1.1518925474218972E-3</c:v>
                </c:pt>
                <c:pt idx="302">
                  <c:v>9.8825067395850899E-4</c:v>
                </c:pt>
                <c:pt idx="303">
                  <c:v>8.4565259622454739E-4</c:v>
                </c:pt>
                <c:pt idx="304">
                  <c:v>7.2343450674152245E-4</c:v>
                </c:pt>
                <c:pt idx="305">
                  <c:v>6.1751466706035953E-4</c:v>
                </c:pt>
                <c:pt idx="306">
                  <c:v>5.2807591552929618E-4</c:v>
                </c:pt>
                <c:pt idx="307">
                  <c:v>4.5020665798460363E-4</c:v>
                </c:pt>
                <c:pt idx="308">
                  <c:v>3.8355407666601954E-4</c:v>
                </c:pt>
                <c:pt idx="309">
                  <c:v>3.2653669778170318E-4</c:v>
                </c:pt>
                <c:pt idx="310">
                  <c:v>2.7750627338486559E-4</c:v>
                </c:pt>
                <c:pt idx="311">
                  <c:v>2.3512240071984675E-4</c:v>
                </c:pt>
                <c:pt idx="312">
                  <c:v>1.987969531303505E-4</c:v>
                </c:pt>
                <c:pt idx="313">
                  <c:v>1.6830118870722637E-4</c:v>
                </c:pt>
                <c:pt idx="314">
                  <c:v>1.4249306612122212E-4</c:v>
                </c:pt>
                <c:pt idx="315">
                  <c:v>1.2078762764496835E-4</c:v>
                </c:pt>
                <c:pt idx="316">
                  <c:v>1.0195504802709112E-4</c:v>
                </c:pt>
                <c:pt idx="317">
                  <c:v>8.661726730956889E-5</c:v>
                </c:pt>
                <c:pt idx="318">
                  <c:v>7.3337464289795811E-5</c:v>
                </c:pt>
                <c:pt idx="319">
                  <c:v>6.2101145936259327E-5</c:v>
                </c:pt>
                <c:pt idx="320">
                  <c:v>5.2285284567873007E-5</c:v>
                </c:pt>
                <c:pt idx="321">
                  <c:v>4.3424784805435492E-5</c:v>
                </c:pt>
                <c:pt idx="322">
                  <c:v>3.698103609802247E-5</c:v>
                </c:pt>
                <c:pt idx="323">
                  <c:v>2.9546795113852788E-5</c:v>
                </c:pt>
                <c:pt idx="324">
                  <c:v>2.5147593069185296E-5</c:v>
                </c:pt>
                <c:pt idx="325">
                  <c:v>2.0785376751246887E-5</c:v>
                </c:pt>
                <c:pt idx="326">
                  <c:v>1.7926497813909169E-5</c:v>
                </c:pt>
                <c:pt idx="327">
                  <c:v>1.4976794703807071E-5</c:v>
                </c:pt>
                <c:pt idx="328">
                  <c:v>1.249970152103048E-5</c:v>
                </c:pt>
                <c:pt idx="329">
                  <c:v>1.0421681715252978E-5</c:v>
                </c:pt>
                <c:pt idx="330">
                  <c:v>8.6802353676217362E-6</c:v>
                </c:pt>
                <c:pt idx="331">
                  <c:v>7.2224582292057628E-6</c:v>
                </c:pt>
                <c:pt idx="332">
                  <c:v>6.0033820477202878E-6</c:v>
                </c:pt>
                <c:pt idx="333">
                  <c:v>4.9849909722302646E-6</c:v>
                </c:pt>
                <c:pt idx="334">
                  <c:v>4.1351404216274104E-6</c:v>
                </c:pt>
                <c:pt idx="335">
                  <c:v>3.4266809323404501E-6</c:v>
                </c:pt>
                <c:pt idx="336">
                  <c:v>2.8367078893636622E-6</c:v>
                </c:pt>
                <c:pt idx="337">
                  <c:v>2.3459196082521416E-6</c:v>
                </c:pt>
                <c:pt idx="338">
                  <c:v>1.9380688917574571E-6</c:v>
                </c:pt>
                <c:pt idx="339">
                  <c:v>1.5994949877726152E-6</c:v>
                </c:pt>
                <c:pt idx="340">
                  <c:v>1.3187247267180943E-6</c:v>
                </c:pt>
                <c:pt idx="341">
                  <c:v>1.0861324743774922E-6</c:v>
                </c:pt>
                <c:pt idx="342">
                  <c:v>8.9365386116650904E-7</c:v>
                </c:pt>
                <c:pt idx="343">
                  <c:v>7.3453664890337851E-7</c:v>
                </c:pt>
                <c:pt idx="344">
                  <c:v>6.0313594625391776E-7</c:v>
                </c:pt>
                <c:pt idx="345">
                  <c:v>4.9473720177396392E-7</c:v>
                </c:pt>
                <c:pt idx="346">
                  <c:v>4.0540727989516523E-7</c:v>
                </c:pt>
                <c:pt idx="347">
                  <c:v>3.3186857397161162E-7</c:v>
                </c:pt>
                <c:pt idx="348">
                  <c:v>2.713928141414205E-7</c:v>
                </c:pt>
                <c:pt idx="349">
                  <c:v>2.2171147898119477E-7</c:v>
                </c:pt>
                <c:pt idx="350">
                  <c:v>1.8094044108897522E-7</c:v>
                </c:pt>
                <c:pt idx="351">
                  <c:v>1.475165348924478E-7</c:v>
                </c:pt>
                <c:pt idx="352">
                  <c:v>1.201443709146507E-7</c:v>
                </c:pt>
                <c:pt idx="353">
                  <c:v>9.7751578355810515E-8</c:v>
                </c:pt>
                <c:pt idx="354">
                  <c:v>7.9451436865857865E-8</c:v>
                </c:pt>
                <c:pt idx="355">
                  <c:v>6.4511533144288002E-8</c:v>
                </c:pt>
                <c:pt idx="356">
                  <c:v>5.2327573888307483E-8</c:v>
                </c:pt>
                <c:pt idx="357">
                  <c:v>4.2401524021148042E-8</c:v>
                </c:pt>
                <c:pt idx="358">
                  <c:v>3.4323373276647683E-8</c:v>
                </c:pt>
                <c:pt idx="359">
                  <c:v>2.7755949427756572E-8</c:v>
                </c:pt>
                <c:pt idx="360">
                  <c:v>2.2422283814548408E-8</c:v>
                </c:pt>
                <c:pt idx="361">
                  <c:v>1.8095110002606525E-8</c:v>
                </c:pt>
                <c:pt idx="362">
                  <c:v>1.4588150896367307E-8</c:v>
                </c:pt>
                <c:pt idx="363">
                  <c:v>1.1748891561537981E-8</c:v>
                </c:pt>
                <c:pt idx="364">
                  <c:v>9.4525977787906535E-9</c:v>
                </c:pt>
                <c:pt idx="365">
                  <c:v>7.5973666673340879E-9</c:v>
                </c:pt>
                <c:pt idx="366">
                  <c:v>6.100039274708498E-9</c:v>
                </c:pt>
                <c:pt idx="367">
                  <c:v>4.8928263220822155E-9</c:v>
                </c:pt>
                <c:pt idx="368">
                  <c:v>3.9205284035721044E-9</c:v>
                </c:pt>
                <c:pt idx="369">
                  <c:v>3.1382464279066801E-9</c:v>
                </c:pt>
                <c:pt idx="370">
                  <c:v>2.5094994531042375E-9</c:v>
                </c:pt>
                <c:pt idx="371">
                  <c:v>2.0046788251766483E-9</c:v>
                </c:pt>
                <c:pt idx="372">
                  <c:v>1.5997795257106992E-9</c:v>
                </c:pt>
                <c:pt idx="373">
                  <c:v>1.2753608933793943E-9</c:v>
                </c:pt>
                <c:pt idx="374">
                  <c:v>1.0156958721655544E-9</c:v>
                </c:pt>
                <c:pt idx="375">
                  <c:v>8.0807544745813515E-10</c:v>
                </c:pt>
                <c:pt idx="376">
                  <c:v>6.4224061019134277E-10</c:v>
                </c:pt>
                <c:pt idx="377">
                  <c:v>5.0991906435702507E-10</c:v>
                </c:pt>
                <c:pt idx="378">
                  <c:v>4.0444769631923273E-10</c:v>
                </c:pt>
                <c:pt idx="379">
                  <c:v>3.2046537581164746E-10</c:v>
                </c:pt>
                <c:pt idx="380">
                  <c:v>2.5366321322461143E-10</c:v>
                </c:pt>
                <c:pt idx="381">
                  <c:v>2.0058179079804905E-10</c:v>
                </c:pt>
                <c:pt idx="382">
                  <c:v>1.5844667920627169E-10</c:v>
                </c:pt>
                <c:pt idx="383">
                  <c:v>1.2503523543590269E-10</c:v>
                </c:pt>
                <c:pt idx="384">
                  <c:v>9.8568766288994547E-11</c:v>
                </c:pt>
                <c:pt idx="385">
                  <c:v>7.7625400273769126E-11</c:v>
                </c:pt>
                <c:pt idx="386">
                  <c:v>6.1069732650354991E-11</c:v>
                </c:pt>
                <c:pt idx="387">
                  <c:v>4.7996085722710885E-11</c:v>
                </c:pt>
                <c:pt idx="388">
                  <c:v>3.76828070695503E-11</c:v>
                </c:pt>
                <c:pt idx="389">
                  <c:v>2.9555500195207231E-11</c:v>
                </c:pt>
                <c:pt idx="390">
                  <c:v>2.3157464136580525E-11</c:v>
                </c:pt>
                <c:pt idx="391">
                  <c:v>1.8125972933403826E-11</c:v>
                </c:pt>
                <c:pt idx="392">
                  <c:v>1.4173244457514752E-11</c:v>
                </c:pt>
                <c:pt idx="393">
                  <c:v>1.1071204291701693E-11</c:v>
                </c:pt>
                <c:pt idx="394">
                  <c:v>8.6392905071028718E-12</c:v>
                </c:pt>
                <c:pt idx="395">
                  <c:v>6.7347104791438121E-12</c:v>
                </c:pt>
                <c:pt idx="396">
                  <c:v>5.2446608393042324E-12</c:v>
                </c:pt>
                <c:pt idx="397">
                  <c:v>4.0801254999850083E-12</c:v>
                </c:pt>
                <c:pt idx="398">
                  <c:v>3.1709344270130901E-12</c:v>
                </c:pt>
                <c:pt idx="399">
                  <c:v>2.4618332387888565E-12</c:v>
                </c:pt>
                <c:pt idx="400">
                  <c:v>1.9093592030863851E-12</c:v>
                </c:pt>
                <c:pt idx="401">
                  <c:v>1.4793613726792037E-12</c:v>
                </c:pt>
                <c:pt idx="402">
                  <c:v>1.1450344204082493E-12</c:v>
                </c:pt>
                <c:pt idx="403">
                  <c:v>8.8536111652468323E-13</c:v>
                </c:pt>
                <c:pt idx="404">
                  <c:v>6.8388010484477622E-13</c:v>
                </c:pt>
                <c:pt idx="405">
                  <c:v>5.2771219339974125E-13</c:v>
                </c:pt>
                <c:pt idx="406">
                  <c:v>4.0679155093532535E-13</c:v>
                </c:pt>
                <c:pt idx="407">
                  <c:v>3.132595701508059E-13</c:v>
                </c:pt>
                <c:pt idx="408">
                  <c:v>2.409874354435675E-13</c:v>
                </c:pt>
                <c:pt idx="409">
                  <c:v>1.8520047181419259E-13</c:v>
                </c:pt>
                <c:pt idx="410">
                  <c:v>1.4218291232453194E-13</c:v>
                </c:pt>
                <c:pt idx="411">
                  <c:v>1.0904615422157727E-13</c:v>
                </c:pt>
                <c:pt idx="412">
                  <c:v>8.3547013936027296E-14</c:v>
                </c:pt>
                <c:pt idx="413">
                  <c:v>6.3945375726011739E-14</c:v>
                </c:pt>
                <c:pt idx="414">
                  <c:v>4.8892808407652638E-14</c:v>
                </c:pt>
                <c:pt idx="415">
                  <c:v>3.7345515825286929E-14</c:v>
                </c:pt>
                <c:pt idx="416">
                  <c:v>2.8496371746694026E-14</c:v>
                </c:pt>
                <c:pt idx="417">
                  <c:v>2.1721924698817464E-14</c:v>
                </c:pt>
                <c:pt idx="418">
                  <c:v>1.6541110820507976E-14</c:v>
                </c:pt>
                <c:pt idx="419">
                  <c:v>1.2583129567718217E-14</c:v>
                </c:pt>
                <c:pt idx="420">
                  <c:v>9.562474705849287E-15</c:v>
                </c:pt>
                <c:pt idx="421">
                  <c:v>7.2595476461522061E-15</c:v>
                </c:pt>
                <c:pt idx="422">
                  <c:v>5.505622800006217E-15</c:v>
                </c:pt>
                <c:pt idx="423">
                  <c:v>4.1711996388745626E-15</c:v>
                </c:pt>
                <c:pt idx="424">
                  <c:v>3.1569894625353786E-15</c:v>
                </c:pt>
                <c:pt idx="425">
                  <c:v>2.3869477727381499E-15</c:v>
                </c:pt>
                <c:pt idx="426">
                  <c:v>1.8028946001734484E-15</c:v>
                </c:pt>
                <c:pt idx="427">
                  <c:v>1.3603647995182559E-15</c:v>
                </c:pt>
                <c:pt idx="428">
                  <c:v>1.0254112254046669E-15</c:v>
                </c:pt>
                <c:pt idx="429">
                  <c:v>7.7214413723954998E-16</c:v>
                </c:pt>
                <c:pt idx="430">
                  <c:v>5.8083973663531638E-16</c:v>
                </c:pt>
                <c:pt idx="431">
                  <c:v>4.3648758515456483E-16</c:v>
                </c:pt>
                <c:pt idx="432">
                  <c:v>3.2767635189838267E-16</c:v>
                </c:pt>
                <c:pt idx="433">
                  <c:v>2.4574004725736667E-16</c:v>
                </c:pt>
                <c:pt idx="434">
                  <c:v>1.8410450109087076E-16</c:v>
                </c:pt>
                <c:pt idx="435">
                  <c:v>1.3778771744259588E-16</c:v>
                </c:pt>
                <c:pt idx="436">
                  <c:v>1.0301826581612083E-16</c:v>
                </c:pt>
                <c:pt idx="437">
                  <c:v>7.6944148745983432E-17</c:v>
                </c:pt>
                <c:pt idx="438">
                  <c:v>5.7410931658821442E-17</c:v>
                </c:pt>
                <c:pt idx="439">
                  <c:v>4.2792850525173608E-17</c:v>
                </c:pt>
                <c:pt idx="440">
                  <c:v>3.1864379932796362E-17</c:v>
                </c:pt>
                <c:pt idx="441">
                  <c:v>2.3702674766788518E-17</c:v>
                </c:pt>
                <c:pt idx="442">
                  <c:v>1.7613549283300226E-17</c:v>
                </c:pt>
                <c:pt idx="443">
                  <c:v>1.3075371163836294E-17</c:v>
                </c:pt>
                <c:pt idx="444">
                  <c:v>9.6965849563595731E-18</c:v>
                </c:pt>
                <c:pt idx="445">
                  <c:v>7.1835847332281702E-18</c:v>
                </c:pt>
                <c:pt idx="446">
                  <c:v>5.3164442412037364E-18</c:v>
                </c:pt>
                <c:pt idx="447">
                  <c:v>3.9306007892873259E-18</c:v>
                </c:pt>
                <c:pt idx="448">
                  <c:v>2.9030481741932852E-18</c:v>
                </c:pt>
                <c:pt idx="449">
                  <c:v>2.1419394063676094E-18</c:v>
                </c:pt>
                <c:pt idx="450">
                  <c:v>1.5787659491766134E-18</c:v>
                </c:pt>
                <c:pt idx="451">
                  <c:v>1.1624812360374452E-18</c:v>
                </c:pt>
                <c:pt idx="452">
                  <c:v>8.5508990704653443E-19</c:v>
                </c:pt>
                <c:pt idx="453">
                  <c:v>6.2834077455937526E-19</c:v>
                </c:pt>
                <c:pt idx="454">
                  <c:v>4.6124995520695646E-19</c:v>
                </c:pt>
                <c:pt idx="455">
                  <c:v>3.3824786321279585E-19</c:v>
                </c:pt>
                <c:pt idx="456">
                  <c:v>2.4779436013089387E-19</c:v>
                </c:pt>
                <c:pt idx="457">
                  <c:v>1.8134492519660123E-19</c:v>
                </c:pt>
                <c:pt idx="458">
                  <c:v>1.3257969872409507E-19</c:v>
                </c:pt>
                <c:pt idx="459">
                  <c:v>9.682918423938042E-20</c:v>
                </c:pt>
                <c:pt idx="460">
                  <c:v>7.0646907243611168E-20</c:v>
                </c:pt>
                <c:pt idx="461">
                  <c:v>5.1491751915611361E-20</c:v>
                </c:pt>
                <c:pt idx="462">
                  <c:v>3.749210386418343E-20</c:v>
                </c:pt>
                <c:pt idx="463">
                  <c:v>2.7270907365018065E-20</c:v>
                </c:pt>
                <c:pt idx="464">
                  <c:v>1.9816045687886574E-20</c:v>
                </c:pt>
                <c:pt idx="465">
                  <c:v>1.4384409278176773E-20</c:v>
                </c:pt>
                <c:pt idx="466">
                  <c:v>1.0430970135622509E-20</c:v>
                </c:pt>
                <c:pt idx="467">
                  <c:v>7.5564010857853839E-21</c:v>
                </c:pt>
                <c:pt idx="468">
                  <c:v>5.4684334695701197E-21</c:v>
                </c:pt>
                <c:pt idx="469">
                  <c:v>3.9533794150434491E-21</c:v>
                </c:pt>
                <c:pt idx="470">
                  <c:v>2.8551681641649947E-21</c:v>
                </c:pt>
                <c:pt idx="471">
                  <c:v>2.0599302507176672E-21</c:v>
                </c:pt>
                <c:pt idx="472">
                  <c:v>1.4846735608719275E-21</c:v>
                </c:pt>
                <c:pt idx="473">
                  <c:v>1.0689737977711491E-21</c:v>
                </c:pt>
                <c:pt idx="474">
                  <c:v>7.6888392129289833E-22</c:v>
                </c:pt>
                <c:pt idx="475">
                  <c:v>5.5247436380788711E-22</c:v>
                </c:pt>
                <c:pt idx="476">
                  <c:v>3.9657114743334731E-22</c:v>
                </c:pt>
                <c:pt idx="477">
                  <c:v>2.8437258573842862E-22</c:v>
                </c:pt>
                <c:pt idx="478">
                  <c:v>2.0370982223048433E-22</c:v>
                </c:pt>
                <c:pt idx="479">
                  <c:v>1.4577862394545469E-22</c:v>
                </c:pt>
                <c:pt idx="480">
                  <c:v>1.0421574881511728E-22</c:v>
                </c:pt>
                <c:pt idx="481">
                  <c:v>7.4426996013987973E-23</c:v>
                </c:pt>
                <c:pt idx="482">
                  <c:v>5.3098867659275457E-23</c:v>
                </c:pt>
                <c:pt idx="483">
                  <c:v>3.7844054648703273E-23</c:v>
                </c:pt>
                <c:pt idx="484">
                  <c:v>2.6944348883892516E-23</c:v>
                </c:pt>
                <c:pt idx="485">
                  <c:v>1.9164405727040894E-23</c:v>
                </c:pt>
                <c:pt idx="486">
                  <c:v>1.3616975275786233E-23</c:v>
                </c:pt>
                <c:pt idx="487">
                  <c:v>9.6654833765017964E-24</c:v>
                </c:pt>
                <c:pt idx="488">
                  <c:v>6.8536849279848575E-24</c:v>
                </c:pt>
                <c:pt idx="489">
                  <c:v>4.854922729538819E-24</c:v>
                </c:pt>
                <c:pt idx="490">
                  <c:v>3.4355647902316799E-24</c:v>
                </c:pt>
                <c:pt idx="491">
                  <c:v>2.4286872599023578E-24</c:v>
                </c:pt>
                <c:pt idx="492">
                  <c:v>1.7151522559891946E-24</c:v>
                </c:pt>
                <c:pt idx="493">
                  <c:v>1.2100167734205569E-24</c:v>
                </c:pt>
                <c:pt idx="494">
                  <c:v>8.5278142975478038E-25</c:v>
                </c:pt>
                <c:pt idx="495">
                  <c:v>6.0040142112637637E-25</c:v>
                </c:pt>
                <c:pt idx="496">
                  <c:v>4.2228272855520955E-25</c:v>
                </c:pt>
                <c:pt idx="497">
                  <c:v>2.9670342587636799E-25</c:v>
                </c:pt>
                <c:pt idx="498">
                  <c:v>2.0825691435273239E-25</c:v>
                </c:pt>
                <c:pt idx="499">
                  <c:v>1.4602725883890279E-25</c:v>
                </c:pt>
                <c:pt idx="500">
                  <c:v>1.0228832388105803E-25</c:v>
                </c:pt>
                <c:pt idx="501">
                  <c:v>7.1577384848536326E-26</c:v>
                </c:pt>
                <c:pt idx="502">
                  <c:v>5.0036073443989523E-26</c:v>
                </c:pt>
                <c:pt idx="503">
                  <c:v>3.494203932146371E-26</c:v>
                </c:pt>
                <c:pt idx="504">
                  <c:v>2.4376475078784844E-26</c:v>
                </c:pt>
                <c:pt idx="505">
                  <c:v>1.6988349827197975E-26</c:v>
                </c:pt>
                <c:pt idx="506">
                  <c:v>1.1827395390106074E-26</c:v>
                </c:pt>
                <c:pt idx="507">
                  <c:v>8.2259235274999685E-27</c:v>
                </c:pt>
                <c:pt idx="508">
                  <c:v>5.7152844298242792E-27</c:v>
                </c:pt>
                <c:pt idx="509">
                  <c:v>3.966876360527367E-27</c:v>
                </c:pt>
                <c:pt idx="510">
                  <c:v>2.7505345798595503E-27</c:v>
                </c:pt>
                <c:pt idx="511">
                  <c:v>1.9052114598278483E-27</c:v>
                </c:pt>
                <c:pt idx="512">
                  <c:v>1.3183383738924667E-27</c:v>
                </c:pt>
                <c:pt idx="513">
                  <c:v>9.1131440155782975E-28</c:v>
                </c:pt>
                <c:pt idx="514">
                  <c:v>6.2931372261730711E-28</c:v>
                </c:pt>
                <c:pt idx="515">
                  <c:v>4.3413400217515038E-28</c:v>
                </c:pt>
                <c:pt idx="516">
                  <c:v>2.9918377566688914E-28</c:v>
                </c:pt>
                <c:pt idx="517">
                  <c:v>2.0597281372175638E-28</c:v>
                </c:pt>
                <c:pt idx="518">
                  <c:v>1.4165744376318145E-28</c:v>
                </c:pt>
                <c:pt idx="519">
                  <c:v>9.7325473414981007E-29</c:v>
                </c:pt>
                <c:pt idx="520">
                  <c:v>6.6799203132124816E-29</c:v>
                </c:pt>
                <c:pt idx="521">
                  <c:v>4.5800864272206327E-29</c:v>
                </c:pt>
                <c:pt idx="522">
                  <c:v>3.1371385184510141E-29</c:v>
                </c:pt>
                <c:pt idx="523">
                  <c:v>2.1466010932628763E-29</c:v>
                </c:pt>
                <c:pt idx="524">
                  <c:v>1.4673260588448163E-29</c:v>
                </c:pt>
                <c:pt idx="525">
                  <c:v>1.0019811302944449E-29</c:v>
                </c:pt>
                <c:pt idx="526">
                  <c:v>6.8351821517584921E-30</c:v>
                </c:pt>
                <c:pt idx="527">
                  <c:v>4.6579869290260391E-30</c:v>
                </c:pt>
                <c:pt idx="528">
                  <c:v>3.1710571887564628E-30</c:v>
                </c:pt>
                <c:pt idx="529">
                  <c:v>2.156589647437821E-30</c:v>
                </c:pt>
                <c:pt idx="530">
                  <c:v>1.4651719147263059E-30</c:v>
                </c:pt>
                <c:pt idx="531">
                  <c:v>9.9441413515823206E-31</c:v>
                </c:pt>
                <c:pt idx="532">
                  <c:v>6.7422309163013796E-31</c:v>
                </c:pt>
                <c:pt idx="533">
                  <c:v>4.5666485386872905E-31</c:v>
                </c:pt>
                <c:pt idx="534">
                  <c:v>3.0899338619180979E-31</c:v>
                </c:pt>
                <c:pt idx="535">
                  <c:v>2.0886150841466668E-31</c:v>
                </c:pt>
                <c:pt idx="536">
                  <c:v>1.4103446970806834E-31</c:v>
                </c:pt>
                <c:pt idx="537">
                  <c:v>9.513706720583466E-32</c:v>
                </c:pt>
                <c:pt idx="538">
                  <c:v>6.4110901157002445E-32</c:v>
                </c:pt>
                <c:pt idx="539">
                  <c:v>4.315902592879917E-32</c:v>
                </c:pt>
                <c:pt idx="540">
                  <c:v>2.9024785342519018E-32</c:v>
                </c:pt>
                <c:pt idx="541">
                  <c:v>1.9499525036866064E-32</c:v>
                </c:pt>
                <c:pt idx="542">
                  <c:v>1.3086896832775253E-32</c:v>
                </c:pt>
                <c:pt idx="543">
                  <c:v>8.7741884380312969E-33</c:v>
                </c:pt>
                <c:pt idx="544">
                  <c:v>5.8767181971122834E-33</c:v>
                </c:pt>
                <c:pt idx="545">
                  <c:v>3.9320624375815612E-33</c:v>
                </c:pt>
                <c:pt idx="546">
                  <c:v>2.628231281980921E-33</c:v>
                </c:pt>
                <c:pt idx="547">
                  <c:v>1.7549485165094898E-33</c:v>
                </c:pt>
                <c:pt idx="548">
                  <c:v>1.1706385305280283E-33</c:v>
                </c:pt>
                <c:pt idx="549">
                  <c:v>7.8007952266180025E-34</c:v>
                </c:pt>
                <c:pt idx="550">
                  <c:v>5.1929312991693916E-34</c:v>
                </c:pt>
                <c:pt idx="551">
                  <c:v>3.4533762995550122E-34</c:v>
                </c:pt>
                <c:pt idx="552">
                  <c:v>2.294208398161779E-34</c:v>
                </c:pt>
                <c:pt idx="553">
                  <c:v>1.5225776733298794E-34</c:v>
                </c:pt>
                <c:pt idx="554">
                  <c:v>1.0094473613449673E-34</c:v>
                </c:pt>
                <c:pt idx="555">
                  <c:v>6.6856791434518272E-35</c:v>
                </c:pt>
                <c:pt idx="556">
                  <c:v>4.4234896165960457E-35</c:v>
                </c:pt>
                <c:pt idx="557">
                  <c:v>2.9237627528223325E-35</c:v>
                </c:pt>
                <c:pt idx="558">
                  <c:v>1.9305314329517555E-35</c:v>
                </c:pt>
                <c:pt idx="559">
                  <c:v>1.2734129324267828E-35</c:v>
                </c:pt>
                <c:pt idx="560">
                  <c:v>8.3911071237011462E-36</c:v>
                </c:pt>
                <c:pt idx="561">
                  <c:v>5.5236595877578378E-36</c:v>
                </c:pt>
                <c:pt idx="562">
                  <c:v>3.6323875420820186E-36</c:v>
                </c:pt>
                <c:pt idx="563">
                  <c:v>2.3862452589478838E-36</c:v>
                </c:pt>
                <c:pt idx="564">
                  <c:v>1.5660139061605401E-36</c:v>
                </c:pt>
                <c:pt idx="565">
                  <c:v>1.0266768759966584E-36</c:v>
                </c:pt>
                <c:pt idx="566">
                  <c:v>6.7240289960665973E-37</c:v>
                </c:pt>
                <c:pt idx="567">
                  <c:v>4.3992942036168668E-37</c:v>
                </c:pt>
                <c:pt idx="568">
                  <c:v>2.8753721862193379E-37</c:v>
                </c:pt>
                <c:pt idx="569">
                  <c:v>1.8774256937025787E-37</c:v>
                </c:pt>
                <c:pt idx="570">
                  <c:v>1.2245854048638382E-37</c:v>
                </c:pt>
                <c:pt idx="571">
                  <c:v>7.9794513792302751E-38</c:v>
                </c:pt>
                <c:pt idx="572">
                  <c:v>5.1941515486671527E-38</c:v>
                </c:pt>
                <c:pt idx="573">
                  <c:v>3.3776436990779361E-38</c:v>
                </c:pt>
                <c:pt idx="574">
                  <c:v>2.1941720527414004E-38</c:v>
                </c:pt>
                <c:pt idx="575">
                  <c:v>1.4239185936102083E-38</c:v>
                </c:pt>
                <c:pt idx="576">
                  <c:v>9.2311810557950878E-39</c:v>
                </c:pt>
                <c:pt idx="577">
                  <c:v>5.9784281157087633E-39</c:v>
                </c:pt>
                <c:pt idx="578">
                  <c:v>3.8678923995891493E-39</c:v>
                </c:pt>
                <c:pt idx="579">
                  <c:v>2.4998812955806499E-39</c:v>
                </c:pt>
                <c:pt idx="580">
                  <c:v>1.6140687223545328E-39</c:v>
                </c:pt>
                <c:pt idx="581">
                  <c:v>1.041075651906323E-39</c:v>
                </c:pt>
                <c:pt idx="582">
                  <c:v>6.7081101717090623E-40</c:v>
                </c:pt>
                <c:pt idx="583">
                  <c:v>4.3179311764938825E-40</c:v>
                </c:pt>
                <c:pt idx="584">
                  <c:v>2.7765715834162522E-40</c:v>
                </c:pt>
                <c:pt idx="585">
                  <c:v>1.783609041580487E-40</c:v>
                </c:pt>
                <c:pt idx="586">
                  <c:v>1.1445851002601339E-40</c:v>
                </c:pt>
                <c:pt idx="587">
                  <c:v>7.3376018709154617E-41</c:v>
                </c:pt>
                <c:pt idx="588">
                  <c:v>4.6991340002047832E-41</c:v>
                </c:pt>
                <c:pt idx="589">
                  <c:v>3.0063472607170319E-41</c:v>
                </c:pt>
                <c:pt idx="590">
                  <c:v>1.9214013561573106E-41</c:v>
                </c:pt>
                <c:pt idx="591">
                  <c:v>1.2267460665597911E-41</c:v>
                </c:pt>
                <c:pt idx="592">
                  <c:v>7.8243610950308471E-42</c:v>
                </c:pt>
                <c:pt idx="593">
                  <c:v>4.9854082332988988E-42</c:v>
                </c:pt>
                <c:pt idx="594">
                  <c:v>3.1732931815762327E-42</c:v>
                </c:pt>
                <c:pt idx="595">
                  <c:v>2.0177962177177195E-42</c:v>
                </c:pt>
                <c:pt idx="596">
                  <c:v>1.2817462015623549E-42</c:v>
                </c:pt>
                <c:pt idx="597">
                  <c:v>8.133629858666766E-43</c:v>
                </c:pt>
                <c:pt idx="598">
                  <c:v>5.156136494579041E-43</c:v>
                </c:pt>
                <c:pt idx="599">
                  <c:v>3.2652920686813804E-43</c:v>
                </c:pt>
                <c:pt idx="600">
                  <c:v>2.0657477761919498E-43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E6-42E9-A0A9-90BF89BC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82336"/>
        <c:axId val="194784256"/>
      </c:scatterChart>
      <c:valAx>
        <c:axId val="194782336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784256"/>
        <c:crosses val="autoZero"/>
        <c:crossBetween val="midCat"/>
      </c:valAx>
      <c:valAx>
        <c:axId val="194784256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7823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Densities!$S$4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Densities!$S$5:$S$605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2.7636904687705941E-4</c:v>
                </c:pt>
                <c:pt idx="102">
                  <c:v>4.2911950048922988E-2</c:v>
                </c:pt>
                <c:pt idx="103">
                  <c:v>0.47444815609682195</c:v>
                </c:pt>
                <c:pt idx="104">
                  <c:v>2.0418928764007092</c:v>
                </c:pt>
                <c:pt idx="105">
                  <c:v>5.5047315281274765</c:v>
                </c:pt>
                <c:pt idx="106">
                  <c:v>11.301096745263587</c:v>
                </c:pt>
                <c:pt idx="107">
                  <c:v>19.476262822386889</c:v>
                </c:pt>
                <c:pt idx="108">
                  <c:v>29.766803092033602</c:v>
                </c:pt>
                <c:pt idx="109">
                  <c:v>41.725804276050546</c:v>
                </c:pt>
                <c:pt idx="110">
                  <c:v>54.832386777963599</c:v>
                </c:pt>
                <c:pt idx="111">
                  <c:v>68.568863403255335</c:v>
                </c:pt>
                <c:pt idx="112">
                  <c:v>82.467111847564325</c:v>
                </c:pt>
                <c:pt idx="113">
                  <c:v>96.131494793292006</c:v>
                </c:pt>
                <c:pt idx="114">
                  <c:v>109.24601474778017</c:v>
                </c:pt>
                <c:pt idx="115">
                  <c:v>121.57188171196994</c:v>
                </c:pt>
                <c:pt idx="116">
                  <c:v>132.93990299594657</c:v>
                </c:pt>
                <c:pt idx="117">
                  <c:v>143.24058195266335</c:v>
                </c:pt>
                <c:pt idx="118">
                  <c:v>152.41372668616492</c:v>
                </c:pt>
                <c:pt idx="119">
                  <c:v>160.43856667464703</c:v>
                </c:pt>
                <c:pt idx="120">
                  <c:v>167.32489832170691</c:v>
                </c:pt>
                <c:pt idx="121">
                  <c:v>173.10546306928063</c:v>
                </c:pt>
                <c:pt idx="122">
                  <c:v>177.82957018822736</c:v>
                </c:pt>
                <c:pt idx="123">
                  <c:v>181.55789355657828</c:v>
                </c:pt>
                <c:pt idx="124">
                  <c:v>184.35830206192662</c:v>
                </c:pt>
                <c:pt idx="125">
                  <c:v>186.30259666788456</c:v>
                </c:pt>
                <c:pt idx="126">
                  <c:v>187.46398677089647</c:v>
                </c:pt>
                <c:pt idx="127">
                  <c:v>187.91520292951725</c:v>
                </c:pt>
                <c:pt idx="128">
                  <c:v>187.72710068306469</c:v>
                </c:pt>
                <c:pt idx="129">
                  <c:v>186.96767593341656</c:v>
                </c:pt>
                <c:pt idx="130">
                  <c:v>185.70139675121166</c:v>
                </c:pt>
                <c:pt idx="131">
                  <c:v>183.988786229064</c:v>
                </c:pt>
                <c:pt idx="132">
                  <c:v>181.88619143807983</c:v>
                </c:pt>
                <c:pt idx="133">
                  <c:v>179.44570449793946</c:v>
                </c:pt>
                <c:pt idx="134">
                  <c:v>176.71518740512704</c:v>
                </c:pt>
                <c:pt idx="135">
                  <c:v>173.73837503213696</c:v>
                </c:pt>
                <c:pt idx="136">
                  <c:v>170.55503754095923</c:v>
                </c:pt>
                <c:pt idx="137">
                  <c:v>167.20117456368865</c:v>
                </c:pt>
                <c:pt idx="138">
                  <c:v>163.70923670502859</c:v>
                </c:pt>
                <c:pt idx="139">
                  <c:v>160.10835907943888</c:v>
                </c:pt>
                <c:pt idx="140">
                  <c:v>156.42459224619876</c:v>
                </c:pt>
                <c:pt idx="141">
                  <c:v>152.68114723909764</c:v>
                </c:pt>
                <c:pt idx="142">
                  <c:v>148.89862064680625</c:v>
                </c:pt>
                <c:pt idx="143">
                  <c:v>145.09520993542802</c:v>
                </c:pt>
                <c:pt idx="144">
                  <c:v>141.28693701098706</c:v>
                </c:pt>
                <c:pt idx="145">
                  <c:v>137.48783491904226</c:v>
                </c:pt>
                <c:pt idx="146">
                  <c:v>133.7101397484719</c:v>
                </c:pt>
                <c:pt idx="147">
                  <c:v>129.96446063437418</c:v>
                </c:pt>
                <c:pt idx="148">
                  <c:v>126.2599447736379</c:v>
                </c:pt>
                <c:pt idx="149">
                  <c:v>122.60441576913972</c:v>
                </c:pt>
                <c:pt idx="150">
                  <c:v>119.00451869599482</c:v>
                </c:pt>
                <c:pt idx="151">
                  <c:v>115.46584109851932</c:v>
                </c:pt>
                <c:pt idx="152">
                  <c:v>111.99302249464971</c:v>
                </c:pt>
                <c:pt idx="153">
                  <c:v>108.58985997723447</c:v>
                </c:pt>
                <c:pt idx="154">
                  <c:v>105.25940319014438</c:v>
                </c:pt>
                <c:pt idx="155">
                  <c:v>102.00403716131845</c:v>
                </c:pt>
                <c:pt idx="156">
                  <c:v>98.825561449522596</c:v>
                </c:pt>
                <c:pt idx="157">
                  <c:v>95.725257364884243</c:v>
                </c:pt>
                <c:pt idx="158">
                  <c:v>92.703948684214055</c:v>
                </c:pt>
                <c:pt idx="159">
                  <c:v>89.762063016848856</c:v>
                </c:pt>
                <c:pt idx="160">
                  <c:v>86.899673871695953</c:v>
                </c:pt>
                <c:pt idx="161">
                  <c:v>84.116558770469524</c:v>
                </c:pt>
                <c:pt idx="162">
                  <c:v>81.412228087468506</c:v>
                </c:pt>
                <c:pt idx="163">
                  <c:v>78.785968851344265</c:v>
                </c:pt>
                <c:pt idx="164">
                  <c:v>76.236868163867541</c:v>
                </c:pt>
                <c:pt idx="165">
                  <c:v>73.763852881728042</c:v>
                </c:pt>
                <c:pt idx="166">
                  <c:v>71.36571368582257</c:v>
                </c:pt>
                <c:pt idx="167">
                  <c:v>69.041118308521561</c:v>
                </c:pt>
                <c:pt idx="168">
                  <c:v>66.788642325010812</c:v>
                </c:pt>
                <c:pt idx="169">
                  <c:v>64.606782163717511</c:v>
                </c:pt>
                <c:pt idx="170">
                  <c:v>62.493977224034602</c:v>
                </c:pt>
                <c:pt idx="171">
                  <c:v>60.448610960522899</c:v>
                </c:pt>
                <c:pt idx="172">
                  <c:v>58.469037771125002</c:v>
                </c:pt>
                <c:pt idx="173">
                  <c:v>56.553588201335714</c:v>
                </c:pt>
                <c:pt idx="174">
                  <c:v>54.700574365212915</c:v>
                </c:pt>
                <c:pt idx="175">
                  <c:v>52.908302738963187</c:v>
                </c:pt>
                <c:pt idx="176">
                  <c:v>51.175080449314407</c:v>
                </c:pt>
                <c:pt idx="177">
                  <c:v>49.499223730292698</c:v>
                </c:pt>
                <c:pt idx="178">
                  <c:v>47.879062910552442</c:v>
                </c:pt>
                <c:pt idx="179">
                  <c:v>46.312937859727121</c:v>
                </c:pt>
                <c:pt idx="180">
                  <c:v>44.799218154589759</c:v>
                </c:pt>
                <c:pt idx="181">
                  <c:v>43.336291803350299</c:v>
                </c:pt>
                <c:pt idx="182">
                  <c:v>41.922578906603</c:v>
                </c:pt>
                <c:pt idx="183">
                  <c:v>40.556526453155996</c:v>
                </c:pt>
                <c:pt idx="184">
                  <c:v>39.236613307361281</c:v>
                </c:pt>
                <c:pt idx="185">
                  <c:v>37.961350642795601</c:v>
                </c:pt>
                <c:pt idx="186">
                  <c:v>36.729285411707394</c:v>
                </c:pt>
                <c:pt idx="187">
                  <c:v>35.539001212378516</c:v>
                </c:pt>
                <c:pt idx="188">
                  <c:v>34.389114385996457</c:v>
                </c:pt>
                <c:pt idx="189">
                  <c:v>33.278277919782106</c:v>
                </c:pt>
                <c:pt idx="190">
                  <c:v>32.205181121729154</c:v>
                </c:pt>
                <c:pt idx="191">
                  <c:v>31.168555692136223</c:v>
                </c:pt>
                <c:pt idx="192">
                  <c:v>30.167164231063861</c:v>
                </c:pt>
                <c:pt idx="193">
                  <c:v>29.199803599361253</c:v>
                </c:pt>
                <c:pt idx="194">
                  <c:v>28.265311315459062</c:v>
                </c:pt>
                <c:pt idx="195">
                  <c:v>27.362561110140515</c:v>
                </c:pt>
                <c:pt idx="196">
                  <c:v>26.490454361344231</c:v>
                </c:pt>
                <c:pt idx="197">
                  <c:v>25.647938417180939</c:v>
                </c:pt>
                <c:pt idx="198">
                  <c:v>24.833982851905912</c:v>
                </c:pt>
                <c:pt idx="199">
                  <c:v>24.047598005776106</c:v>
                </c:pt>
                <c:pt idx="200">
                  <c:v>23.287825010390172</c:v>
                </c:pt>
                <c:pt idx="201">
                  <c:v>22.5537353550076</c:v>
                </c:pt>
                <c:pt idx="202">
                  <c:v>21.844431537069998</c:v>
                </c:pt>
                <c:pt idx="203">
                  <c:v>21.159049881126769</c:v>
                </c:pt>
                <c:pt idx="204">
                  <c:v>20.496750781015539</c:v>
                </c:pt>
                <c:pt idx="205">
                  <c:v>19.856723578771941</c:v>
                </c:pt>
                <c:pt idx="206">
                  <c:v>19.238192744581994</c:v>
                </c:pt>
                <c:pt idx="207">
                  <c:v>18.640402806371913</c:v>
                </c:pt>
                <c:pt idx="208">
                  <c:v>18.062622903457225</c:v>
                </c:pt>
                <c:pt idx="209">
                  <c:v>17.504154484378198</c:v>
                </c:pt>
                <c:pt idx="210">
                  <c:v>16.964318296473767</c:v>
                </c:pt>
                <c:pt idx="211">
                  <c:v>16.442461324775447</c:v>
                </c:pt>
                <c:pt idx="212">
                  <c:v>15.937953539400807</c:v>
                </c:pt>
                <c:pt idx="213">
                  <c:v>15.450184317686301</c:v>
                </c:pt>
                <c:pt idx="214">
                  <c:v>14.978571876746171</c:v>
                </c:pt>
                <c:pt idx="215">
                  <c:v>14.52254690201965</c:v>
                </c:pt>
                <c:pt idx="216">
                  <c:v>14.0815623050905</c:v>
                </c:pt>
                <c:pt idx="217">
                  <c:v>13.655096367873321</c:v>
                </c:pt>
                <c:pt idx="218">
                  <c:v>13.242642117432258</c:v>
                </c:pt>
                <c:pt idx="219">
                  <c:v>12.843706567039481</c:v>
                </c:pt>
                <c:pt idx="220">
                  <c:v>12.457820582414959</c:v>
                </c:pt>
                <c:pt idx="221">
                  <c:v>12.084529449167547</c:v>
                </c:pt>
                <c:pt idx="222">
                  <c:v>11.723397209603693</c:v>
                </c:pt>
                <c:pt idx="223">
                  <c:v>11.37399842279091</c:v>
                </c:pt>
                <c:pt idx="224">
                  <c:v>11.03592878973908</c:v>
                </c:pt>
                <c:pt idx="225">
                  <c:v>10.708794853479809</c:v>
                </c:pt>
                <c:pt idx="226">
                  <c:v>10.392217847984137</c:v>
                </c:pt>
                <c:pt idx="227">
                  <c:v>10.085834457104065</c:v>
                </c:pt>
                <c:pt idx="228">
                  <c:v>9.7892928030245123</c:v>
                </c:pt>
                <c:pt idx="229">
                  <c:v>9.5022540183564708</c:v>
                </c:pt>
                <c:pt idx="230">
                  <c:v>9.2243914329853691</c:v>
                </c:pt>
                <c:pt idx="231">
                  <c:v>8.9553924714248776</c:v>
                </c:pt>
                <c:pt idx="232">
                  <c:v>8.6949514428724672</c:v>
                </c:pt>
                <c:pt idx="233">
                  <c:v>8.4427751248505878</c:v>
                </c:pt>
                <c:pt idx="234">
                  <c:v>8.1985846063503676</c:v>
                </c:pt>
                <c:pt idx="235">
                  <c:v>7.9621051505412987</c:v>
                </c:pt>
                <c:pt idx="236">
                  <c:v>7.7330753020694862</c:v>
                </c:pt>
                <c:pt idx="237">
                  <c:v>7.5112446644431952</c:v>
                </c:pt>
                <c:pt idx="238">
                  <c:v>7.2963689669129641</c:v>
                </c:pt>
                <c:pt idx="239">
                  <c:v>7.0882109318333439</c:v>
                </c:pt>
                <c:pt idx="240">
                  <c:v>6.8865474846073473</c:v>
                </c:pt>
                <c:pt idx="241">
                  <c:v>6.6911566890502652</c:v>
                </c:pt>
                <c:pt idx="242">
                  <c:v>6.5018303783449802</c:v>
                </c:pt>
                <c:pt idx="243">
                  <c:v>6.3183653730043696</c:v>
                </c:pt>
                <c:pt idx="244">
                  <c:v>6.1405647277038016</c:v>
                </c:pt>
                <c:pt idx="245">
                  <c:v>5.9682398996854795</c:v>
                </c:pt>
                <c:pt idx="246">
                  <c:v>5.8012100982371422</c:v>
                </c:pt>
                <c:pt idx="247">
                  <c:v>5.6392964842104378</c:v>
                </c:pt>
                <c:pt idx="248">
                  <c:v>5.4823325241516727</c:v>
                </c:pt>
                <c:pt idx="249">
                  <c:v>5.3301543409024763</c:v>
                </c:pt>
                <c:pt idx="250">
                  <c:v>5.1826012014907779</c:v>
                </c:pt>
                <c:pt idx="251">
                  <c:v>5.0395238654875332</c:v>
                </c:pt>
                <c:pt idx="252">
                  <c:v>4.9007762366500005</c:v>
                </c:pt>
                <c:pt idx="253">
                  <c:v>4.7662140076690234</c:v>
                </c:pt>
                <c:pt idx="254">
                  <c:v>4.6356996474990195</c:v>
                </c:pt>
                <c:pt idx="255">
                  <c:v>4.5091041360814659</c:v>
                </c:pt>
                <c:pt idx="256">
                  <c:v>4.3862986159881601</c:v>
                </c:pt>
                <c:pt idx="257">
                  <c:v>4.2671594881714405</c:v>
                </c:pt>
                <c:pt idx="258">
                  <c:v>4.1515707972089588</c:v>
                </c:pt>
                <c:pt idx="259">
                  <c:v>4.0394139313830459</c:v>
                </c:pt>
                <c:pt idx="260">
                  <c:v>3.9305809583674303</c:v>
                </c:pt>
                <c:pt idx="261">
                  <c:v>3.8249644879369273</c:v>
                </c:pt>
                <c:pt idx="262">
                  <c:v>3.7224627677176492</c:v>
                </c:pt>
                <c:pt idx="263">
                  <c:v>3.6229719311414721</c:v>
                </c:pt>
                <c:pt idx="264">
                  <c:v>3.5263995499731915</c:v>
                </c:pt>
                <c:pt idx="265">
                  <c:v>3.4326517323046701</c:v>
                </c:pt>
                <c:pt idx="266">
                  <c:v>3.3416397903981987</c:v>
                </c:pt>
                <c:pt idx="267">
                  <c:v>3.2532746028351989</c:v>
                </c:pt>
                <c:pt idx="268">
                  <c:v>3.1674750441881145</c:v>
                </c:pt>
                <c:pt idx="269">
                  <c:v>3.0841601787647694</c:v>
                </c:pt>
                <c:pt idx="270">
                  <c:v>3.0032498027094539</c:v>
                </c:pt>
                <c:pt idx="271">
                  <c:v>2.924669295807647</c:v>
                </c:pt>
                <c:pt idx="272">
                  <c:v>2.8483458809885205</c:v>
                </c:pt>
                <c:pt idx="273">
                  <c:v>2.7742100879978722</c:v>
                </c:pt>
                <c:pt idx="274">
                  <c:v>2.7021930971028034</c:v>
                </c:pt>
                <c:pt idx="275">
                  <c:v>2.6322271456675344</c:v>
                </c:pt>
                <c:pt idx="276">
                  <c:v>2.5642537138798049</c:v>
                </c:pt>
                <c:pt idx="277">
                  <c:v>2.4982059877807354</c:v>
                </c:pt>
                <c:pt idx="278">
                  <c:v>2.4340263420248589</c:v>
                </c:pt>
                <c:pt idx="279">
                  <c:v>2.3716563381150775</c:v>
                </c:pt>
                <c:pt idx="280">
                  <c:v>2.3110445848684158</c:v>
                </c:pt>
                <c:pt idx="281">
                  <c:v>2.2521331587838089</c:v>
                </c:pt>
                <c:pt idx="282">
                  <c:v>2.1948689610598593</c:v>
                </c:pt>
                <c:pt idx="283">
                  <c:v>2.1392051270576613</c:v>
                </c:pt>
                <c:pt idx="284">
                  <c:v>2.085093491095702</c:v>
                </c:pt>
                <c:pt idx="285">
                  <c:v>2.0324849388155681</c:v>
                </c:pt>
                <c:pt idx="286">
                  <c:v>1.9813350992433505</c:v>
                </c:pt>
                <c:pt idx="287">
                  <c:v>1.9315979751018815</c:v>
                </c:pt>
                <c:pt idx="288">
                  <c:v>1.8832328817046384</c:v>
                </c:pt>
                <c:pt idx="289">
                  <c:v>1.8361981043730353</c:v>
                </c:pt>
                <c:pt idx="290">
                  <c:v>1.790453636046907</c:v>
                </c:pt>
                <c:pt idx="291">
                  <c:v>1.7459615025451625</c:v>
                </c:pt>
                <c:pt idx="292">
                  <c:v>1.7026846512585569</c:v>
                </c:pt>
                <c:pt idx="293">
                  <c:v>1.6605853519514879</c:v>
                </c:pt>
                <c:pt idx="294">
                  <c:v>1.6196307804031835</c:v>
                </c:pt>
                <c:pt idx="295">
                  <c:v>1.5797865674047757</c:v>
                </c:pt>
                <c:pt idx="296">
                  <c:v>1.5410178829614736</c:v>
                </c:pt>
                <c:pt idx="297">
                  <c:v>1.5032946946730992</c:v>
                </c:pt>
                <c:pt idx="298">
                  <c:v>1.4665855064665418</c:v>
                </c:pt>
                <c:pt idx="299">
                  <c:v>1.4308628338167291</c:v>
                </c:pt>
                <c:pt idx="300">
                  <c:v>1.3960977014206011</c:v>
                </c:pt>
                <c:pt idx="301">
                  <c:v>1.362257366372549</c:v>
                </c:pt>
                <c:pt idx="302">
                  <c:v>1.3293194263451837</c:v>
                </c:pt>
                <c:pt idx="303">
                  <c:v>1.29725622063058</c:v>
                </c:pt>
                <c:pt idx="304">
                  <c:v>1.2660451707184952</c:v>
                </c:pt>
                <c:pt idx="305">
                  <c:v>1.2356568134148926</c:v>
                </c:pt>
                <c:pt idx="306">
                  <c:v>1.2060708605866195</c:v>
                </c:pt>
                <c:pt idx="307">
                  <c:v>1.1772633920232451</c:v>
                </c:pt>
                <c:pt idx="308">
                  <c:v>1.1492130218369174</c:v>
                </c:pt>
                <c:pt idx="309">
                  <c:v>1.1218959111323688</c:v>
                </c:pt>
                <c:pt idx="310">
                  <c:v>1.0952897795549545</c:v>
                </c:pt>
                <c:pt idx="311">
                  <c:v>1.0693808170795029</c:v>
                </c:pt>
                <c:pt idx="312">
                  <c:v>1.0441427318033312</c:v>
                </c:pt>
                <c:pt idx="313">
                  <c:v>1.0195611580476536</c:v>
                </c:pt>
                <c:pt idx="314">
                  <c:v>0.99561639043798533</c:v>
                </c:pt>
                <c:pt idx="315">
                  <c:v>0.97228739545218024</c:v>
                </c:pt>
                <c:pt idx="316">
                  <c:v>0.94955705624844011</c:v>
                </c:pt>
                <c:pt idx="317">
                  <c:v>0.92741409712417122</c:v>
                </c:pt>
                <c:pt idx="318">
                  <c:v>0.90583881270488864</c:v>
                </c:pt>
                <c:pt idx="319">
                  <c:v>0.88481418101648424</c:v>
                </c:pt>
                <c:pt idx="320">
                  <c:v>0.86432267864134527</c:v>
                </c:pt>
                <c:pt idx="321">
                  <c:v>0.84435610630054225</c:v>
                </c:pt>
                <c:pt idx="322">
                  <c:v>0.82489489414486195</c:v>
                </c:pt>
                <c:pt idx="323">
                  <c:v>0.80592752252622168</c:v>
                </c:pt>
                <c:pt idx="324">
                  <c:v>0.78743905655969537</c:v>
                </c:pt>
                <c:pt idx="325">
                  <c:v>0.76941682463239214</c:v>
                </c:pt>
                <c:pt idx="326">
                  <c:v>0.75184574278158722</c:v>
                </c:pt>
                <c:pt idx="327">
                  <c:v>0.73471736778286256</c:v>
                </c:pt>
                <c:pt idx="328">
                  <c:v>0.71801875697278394</c:v>
                </c:pt>
                <c:pt idx="329">
                  <c:v>0.70173593769585352</c:v>
                </c:pt>
                <c:pt idx="330">
                  <c:v>0.6858566584675222</c:v>
                </c:pt>
                <c:pt idx="331">
                  <c:v>0.67037507814858566</c:v>
                </c:pt>
                <c:pt idx="332">
                  <c:v>0.65527554357017881</c:v>
                </c:pt>
                <c:pt idx="333">
                  <c:v>0.64055199675266272</c:v>
                </c:pt>
                <c:pt idx="334">
                  <c:v>0.62619024820010505</c:v>
                </c:pt>
                <c:pt idx="335">
                  <c:v>0.61218222060632077</c:v>
                </c:pt>
                <c:pt idx="336">
                  <c:v>0.59851887443569673</c:v>
                </c:pt>
                <c:pt idx="337">
                  <c:v>0.58518928635134526</c:v>
                </c:pt>
                <c:pt idx="338">
                  <c:v>0.57218422708227301</c:v>
                </c:pt>
                <c:pt idx="339">
                  <c:v>0.55950078283514149</c:v>
                </c:pt>
                <c:pt idx="340">
                  <c:v>0.54712453372105652</c:v>
                </c:pt>
                <c:pt idx="341">
                  <c:v>0.53505023491200876</c:v>
                </c:pt>
                <c:pt idx="342">
                  <c:v>0.52326784398537551</c:v>
                </c:pt>
                <c:pt idx="343">
                  <c:v>0.51176948692287927</c:v>
                </c:pt>
                <c:pt idx="344">
                  <c:v>0.50054784535985553</c:v>
                </c:pt>
                <c:pt idx="345">
                  <c:v>0.48959775578345799</c:v>
                </c:pt>
                <c:pt idx="346">
                  <c:v>0.47891040905103516</c:v>
                </c:pt>
                <c:pt idx="347">
                  <c:v>0.46848154289279648</c:v>
                </c:pt>
                <c:pt idx="348">
                  <c:v>0.45829950891165122</c:v>
                </c:pt>
                <c:pt idx="349">
                  <c:v>0.44836123068393507</c:v>
                </c:pt>
                <c:pt idx="350">
                  <c:v>0.43865762124018981</c:v>
                </c:pt>
                <c:pt idx="351">
                  <c:v>0.42918780644241389</c:v>
                </c:pt>
                <c:pt idx="352">
                  <c:v>0.4199420623523728</c:v>
                </c:pt>
                <c:pt idx="353">
                  <c:v>0.41091459526470742</c:v>
                </c:pt>
                <c:pt idx="354">
                  <c:v>0.40209782254047383</c:v>
                </c:pt>
                <c:pt idx="355">
                  <c:v>0.3934902127441034</c:v>
                </c:pt>
                <c:pt idx="356">
                  <c:v>0.38508598572276415</c:v>
                </c:pt>
                <c:pt idx="357">
                  <c:v>0.37687838554166869</c:v>
                </c:pt>
                <c:pt idx="358">
                  <c:v>0.36886280434158397</c:v>
                </c:pt>
                <c:pt idx="359">
                  <c:v>0.36103378045406614</c:v>
                </c:pt>
                <c:pt idx="360">
                  <c:v>0.35338958593190278</c:v>
                </c:pt>
                <c:pt idx="361">
                  <c:v>0.34592000894588182</c:v>
                </c:pt>
                <c:pt idx="362">
                  <c:v>0.33862655382651752</c:v>
                </c:pt>
                <c:pt idx="363">
                  <c:v>0.33149980156743641</c:v>
                </c:pt>
                <c:pt idx="364">
                  <c:v>0.32453676383640068</c:v>
                </c:pt>
                <c:pt idx="365">
                  <c:v>0.31773664781057159</c:v>
                </c:pt>
                <c:pt idx="366">
                  <c:v>0.31109239939956446</c:v>
                </c:pt>
                <c:pt idx="367">
                  <c:v>0.30460088796960622</c:v>
                </c:pt>
                <c:pt idx="368">
                  <c:v>0.29825656376082643</c:v>
                </c:pt>
                <c:pt idx="369">
                  <c:v>0.29206011795211012</c:v>
                </c:pt>
                <c:pt idx="370">
                  <c:v>0.2859995362281334</c:v>
                </c:pt>
                <c:pt idx="371">
                  <c:v>0.28008288234255413</c:v>
                </c:pt>
                <c:pt idx="372">
                  <c:v>0.2742973965910549</c:v>
                </c:pt>
                <c:pt idx="373">
                  <c:v>0.26864541678457005</c:v>
                </c:pt>
                <c:pt idx="374">
                  <c:v>0.26311876397296097</c:v>
                </c:pt>
                <c:pt idx="375">
                  <c:v>0.25771932873376591</c:v>
                </c:pt>
                <c:pt idx="376">
                  <c:v>0.25243837646323281</c:v>
                </c:pt>
                <c:pt idx="377">
                  <c:v>0.2472777841863727</c:v>
                </c:pt>
                <c:pt idx="378">
                  <c:v>0.24223397403601646</c:v>
                </c:pt>
                <c:pt idx="379">
                  <c:v>0.23730397800871689</c:v>
                </c:pt>
                <c:pt idx="380">
                  <c:v>0.23248114181364035</c:v>
                </c:pt>
                <c:pt idx="381">
                  <c:v>0.2277657297250664</c:v>
                </c:pt>
                <c:pt idx="382">
                  <c:v>0.2231570370115829</c:v>
                </c:pt>
                <c:pt idx="383">
                  <c:v>0.21865097758625232</c:v>
                </c:pt>
                <c:pt idx="384">
                  <c:v>0.2142416425472346</c:v>
                </c:pt>
                <c:pt idx="385">
                  <c:v>0.20993467652209025</c:v>
                </c:pt>
                <c:pt idx="386">
                  <c:v>0.20571914939766789</c:v>
                </c:pt>
                <c:pt idx="387">
                  <c:v>0.20159676879238919</c:v>
                </c:pt>
                <c:pt idx="388">
                  <c:v>0.19756609136211203</c:v>
                </c:pt>
                <c:pt idx="389">
                  <c:v>0.1936239458154819</c:v>
                </c:pt>
                <c:pt idx="390">
                  <c:v>0.18976745562860992</c:v>
                </c:pt>
                <c:pt idx="391">
                  <c:v>0.18599516390482679</c:v>
                </c:pt>
                <c:pt idx="392">
                  <c:v>0.1823043635268331</c:v>
                </c:pt>
                <c:pt idx="393">
                  <c:v>0.17869480716100825</c:v>
                </c:pt>
                <c:pt idx="394">
                  <c:v>0.17516242566107365</c:v>
                </c:pt>
                <c:pt idx="395">
                  <c:v>0.17171118991748599</c:v>
                </c:pt>
                <c:pt idx="396">
                  <c:v>0.16832754401495745</c:v>
                </c:pt>
                <c:pt idx="397">
                  <c:v>0.16502306858794288</c:v>
                </c:pt>
                <c:pt idx="398">
                  <c:v>0.16178667766922861</c:v>
                </c:pt>
                <c:pt idx="399">
                  <c:v>0.15862096995589681</c:v>
                </c:pt>
                <c:pt idx="400">
                  <c:v>0.1555229740563685</c:v>
                </c:pt>
                <c:pt idx="401">
                  <c:v>0.15249032505465498</c:v>
                </c:pt>
                <c:pt idx="402">
                  <c:v>0.14952582493574576</c:v>
                </c:pt>
                <c:pt idx="403">
                  <c:v>0.14661805569551184</c:v>
                </c:pt>
                <c:pt idx="404">
                  <c:v>0.14377929931168842</c:v>
                </c:pt>
                <c:pt idx="405">
                  <c:v>0.14099599309272404</c:v>
                </c:pt>
                <c:pt idx="406">
                  <c:v>0.13827447284506419</c:v>
                </c:pt>
                <c:pt idx="407">
                  <c:v>0.1356085552281939</c:v>
                </c:pt>
                <c:pt idx="408">
                  <c:v>0.13299909743945579</c:v>
                </c:pt>
                <c:pt idx="409">
                  <c:v>0.13044684825597522</c:v>
                </c:pt>
                <c:pt idx="410">
                  <c:v>0.12794677969017731</c:v>
                </c:pt>
                <c:pt idx="411">
                  <c:v>0.12549917295700055</c:v>
                </c:pt>
                <c:pt idx="412">
                  <c:v>0.1231044719017093</c:v>
                </c:pt>
                <c:pt idx="413">
                  <c:v>0.12075877000835081</c:v>
                </c:pt>
                <c:pt idx="414">
                  <c:v>0.11845964815082773</c:v>
                </c:pt>
                <c:pt idx="415">
                  <c:v>0.11621367930481075</c:v>
                </c:pt>
                <c:pt idx="416">
                  <c:v>0.11401154949601186</c:v>
                </c:pt>
                <c:pt idx="417">
                  <c:v>0.111854576707697</c:v>
                </c:pt>
                <c:pt idx="418">
                  <c:v>0.10974451260400107</c:v>
                </c:pt>
                <c:pt idx="419">
                  <c:v>0.10767391345938362</c:v>
                </c:pt>
                <c:pt idx="420">
                  <c:v>0.10565108697299132</c:v>
                </c:pt>
                <c:pt idx="421">
                  <c:v>0.10366436780707457</c:v>
                </c:pt>
                <c:pt idx="422">
                  <c:v>0.10172173501199651</c:v>
                </c:pt>
                <c:pt idx="423">
                  <c:v>9.9818590892919445E-2</c:v>
                </c:pt>
                <c:pt idx="424">
                  <c:v>9.7954013877996765E-2</c:v>
                </c:pt>
                <c:pt idx="425">
                  <c:v>9.6128762908749207E-2</c:v>
                </c:pt>
                <c:pt idx="426">
                  <c:v>9.4343867977240634E-2</c:v>
                </c:pt>
                <c:pt idx="427">
                  <c:v>9.2588351536474628E-2</c:v>
                </c:pt>
                <c:pt idx="428">
                  <c:v>9.087407543584454E-2</c:v>
                </c:pt>
                <c:pt idx="429">
                  <c:v>8.9189852064183034E-2</c:v>
                </c:pt>
                <c:pt idx="430">
                  <c:v>8.75441991848077E-2</c:v>
                </c:pt>
                <c:pt idx="431">
                  <c:v>8.5931577202243495E-2</c:v>
                </c:pt>
                <c:pt idx="432">
                  <c:v>8.4349204460291635E-2</c:v>
                </c:pt>
                <c:pt idx="433">
                  <c:v>8.2799096897366586E-2</c:v>
                </c:pt>
                <c:pt idx="434">
                  <c:v>8.127948929680627E-2</c:v>
                </c:pt>
                <c:pt idx="435">
                  <c:v>7.9791594609791155E-2</c:v>
                </c:pt>
                <c:pt idx="436">
                  <c:v>7.8333579857023383E-2</c:v>
                </c:pt>
                <c:pt idx="437">
                  <c:v>7.6906041349697821E-2</c:v>
                </c:pt>
                <c:pt idx="438">
                  <c:v>7.5505167439551824E-2</c:v>
                </c:pt>
                <c:pt idx="439">
                  <c:v>7.4135271218352811E-2</c:v>
                </c:pt>
                <c:pt idx="440">
                  <c:v>7.2788961476603048E-2</c:v>
                </c:pt>
                <c:pt idx="441">
                  <c:v>7.146744269515351E-2</c:v>
                </c:pt>
                <c:pt idx="442">
                  <c:v>7.0176745748588676E-2</c:v>
                </c:pt>
                <c:pt idx="443">
                  <c:v>6.891152247087956E-2</c:v>
                </c:pt>
                <c:pt idx="444">
                  <c:v>6.7670356622938355E-2</c:v>
                </c:pt>
                <c:pt idx="445">
                  <c:v>6.6451564303265931E-2</c:v>
                </c:pt>
                <c:pt idx="446">
                  <c:v>6.5259604293296636E-2</c:v>
                </c:pt>
                <c:pt idx="447">
                  <c:v>6.4091606845405158E-2</c:v>
                </c:pt>
                <c:pt idx="448">
                  <c:v>6.2944232955713428E-2</c:v>
                </c:pt>
                <c:pt idx="449">
                  <c:v>6.181746060136481E-2</c:v>
                </c:pt>
                <c:pt idx="450">
                  <c:v>6.0716920857392664E-2</c:v>
                </c:pt>
                <c:pt idx="451">
                  <c:v>5.963277120094989E-2</c:v>
                </c:pt>
                <c:pt idx="452">
                  <c:v>5.8576377120122744E-2</c:v>
                </c:pt>
                <c:pt idx="453">
                  <c:v>5.7537708050749842E-2</c:v>
                </c:pt>
                <c:pt idx="454">
                  <c:v>5.6518495328175371E-2</c:v>
                </c:pt>
                <c:pt idx="455">
                  <c:v>5.5520566849499506E-2</c:v>
                </c:pt>
                <c:pt idx="456">
                  <c:v>5.4538740467150945E-2</c:v>
                </c:pt>
                <c:pt idx="457">
                  <c:v>5.3576936249609582E-2</c:v>
                </c:pt>
                <c:pt idx="458">
                  <c:v>5.2636609399478798E-2</c:v>
                </c:pt>
                <c:pt idx="459">
                  <c:v>5.1713299441258354E-2</c:v>
                </c:pt>
                <c:pt idx="460">
                  <c:v>5.0805397012348465E-2</c:v>
                </c:pt>
                <c:pt idx="461">
                  <c:v>4.9914816407209926E-2</c:v>
                </c:pt>
                <c:pt idx="462">
                  <c:v>4.9046927814728331E-2</c:v>
                </c:pt>
                <c:pt idx="463">
                  <c:v>4.818943401057544E-2</c:v>
                </c:pt>
                <c:pt idx="464">
                  <c:v>4.7352119919357935E-2</c:v>
                </c:pt>
                <c:pt idx="465">
                  <c:v>4.6529603493728963E-2</c:v>
                </c:pt>
                <c:pt idx="466">
                  <c:v>4.5722611487957268E-2</c:v>
                </c:pt>
                <c:pt idx="467">
                  <c:v>4.492840459749143E-2</c:v>
                </c:pt>
                <c:pt idx="468">
                  <c:v>4.415214294704612E-2</c:v>
                </c:pt>
                <c:pt idx="469">
                  <c:v>4.3385983011529766E-2</c:v>
                </c:pt>
                <c:pt idx="470">
                  <c:v>4.2638637371837824E-2</c:v>
                </c:pt>
                <c:pt idx="471">
                  <c:v>4.1907251526938048E-2</c:v>
                </c:pt>
                <c:pt idx="472">
                  <c:v>4.1186665352115764E-2</c:v>
                </c:pt>
                <c:pt idx="473">
                  <c:v>4.0479967129496662E-2</c:v>
                </c:pt>
                <c:pt idx="474">
                  <c:v>3.9787016251611497E-2</c:v>
                </c:pt>
                <c:pt idx="475">
                  <c:v>3.9103819805146912E-2</c:v>
                </c:pt>
                <c:pt idx="476">
                  <c:v>3.8439593508569035E-2</c:v>
                </c:pt>
                <c:pt idx="477">
                  <c:v>3.7783890057506431E-2</c:v>
                </c:pt>
                <c:pt idx="478">
                  <c:v>3.7145056114621343E-2</c:v>
                </c:pt>
                <c:pt idx="479">
                  <c:v>3.6509417180013298E-2</c:v>
                </c:pt>
                <c:pt idx="480">
                  <c:v>3.5892573906504827E-2</c:v>
                </c:pt>
                <c:pt idx="481">
                  <c:v>3.528508865299762E-2</c:v>
                </c:pt>
                <c:pt idx="482">
                  <c:v>3.4687632269585905E-2</c:v>
                </c:pt>
                <c:pt idx="483">
                  <c:v>3.4099513577384721E-2</c:v>
                </c:pt>
                <c:pt idx="484">
                  <c:v>3.3528125479957704E-2</c:v>
                </c:pt>
                <c:pt idx="485">
                  <c:v>3.2961658643954235E-2</c:v>
                </c:pt>
                <c:pt idx="486">
                  <c:v>3.2409713340798493E-2</c:v>
                </c:pt>
                <c:pt idx="487">
                  <c:v>3.1865862284486714E-2</c:v>
                </c:pt>
                <c:pt idx="488">
                  <c:v>3.1333876465700072E-2</c:v>
                </c:pt>
                <c:pt idx="489">
                  <c:v>3.0806571350979958E-2</c:v>
                </c:pt>
                <c:pt idx="490">
                  <c:v>3.0296405100914588E-2</c:v>
                </c:pt>
                <c:pt idx="491">
                  <c:v>2.9789469434510045E-2</c:v>
                </c:pt>
                <c:pt idx="492">
                  <c:v>2.9293706979712734E-2</c:v>
                </c:pt>
                <c:pt idx="493">
                  <c:v>2.8810128246828728E-2</c:v>
                </c:pt>
                <c:pt idx="494">
                  <c:v>2.8328277461157122E-2</c:v>
                </c:pt>
                <c:pt idx="495">
                  <c:v>2.7862293296653483E-2</c:v>
                </c:pt>
                <c:pt idx="496">
                  <c:v>2.7398436878913347E-2</c:v>
                </c:pt>
                <c:pt idx="497">
                  <c:v>2.6949319681488382E-2</c:v>
                </c:pt>
                <c:pt idx="498">
                  <c:v>2.6501739848862685E-2</c:v>
                </c:pt>
                <c:pt idx="499">
                  <c:v>2.6070338345529544E-2</c:v>
                </c:pt>
                <c:pt idx="500">
                  <c:v>2.5638017811448633E-2</c:v>
                </c:pt>
                <c:pt idx="501">
                  <c:v>2.5215623656476595E-2</c:v>
                </c:pt>
                <c:pt idx="502">
                  <c:v>2.4807441867326536E-2</c:v>
                </c:pt>
                <c:pt idx="503">
                  <c:v>2.4400490817048839E-2</c:v>
                </c:pt>
                <c:pt idx="504">
                  <c:v>2.4003534755548742E-2</c:v>
                </c:pt>
                <c:pt idx="505">
                  <c:v>2.361251554797595E-2</c:v>
                </c:pt>
                <c:pt idx="506">
                  <c:v>2.3229288196484951E-2</c:v>
                </c:pt>
                <c:pt idx="507">
                  <c:v>2.2851198946851996E-2</c:v>
                </c:pt>
                <c:pt idx="508">
                  <c:v>2.247590490594498E-2</c:v>
                </c:pt>
                <c:pt idx="509">
                  <c:v>2.2116627411037596E-2</c:v>
                </c:pt>
                <c:pt idx="510">
                  <c:v>2.1758585737200256E-2</c:v>
                </c:pt>
                <c:pt idx="511">
                  <c:v>2.1406853611787013E-2</c:v>
                </c:pt>
                <c:pt idx="512">
                  <c:v>2.1060264670429499E-2</c:v>
                </c:pt>
                <c:pt idx="513">
                  <c:v>2.0721063550437936E-2</c:v>
                </c:pt>
                <c:pt idx="514">
                  <c:v>2.0389019011817725E-2</c:v>
                </c:pt>
                <c:pt idx="515">
                  <c:v>2.0063573706889572E-2</c:v>
                </c:pt>
                <c:pt idx="516">
                  <c:v>1.9739275284572002E-2</c:v>
                </c:pt>
                <c:pt idx="517">
                  <c:v>1.9425999301997052E-2</c:v>
                </c:pt>
                <c:pt idx="518">
                  <c:v>1.9113968457854565E-2</c:v>
                </c:pt>
                <c:pt idx="519">
                  <c:v>1.8811651387551191E-2</c:v>
                </c:pt>
                <c:pt idx="520">
                  <c:v>1.8508123060133243E-2</c:v>
                </c:pt>
                <c:pt idx="521">
                  <c:v>1.8214234814687997E-2</c:v>
                </c:pt>
                <c:pt idx="522">
                  <c:v>1.7927186360291829E-2</c:v>
                </c:pt>
                <c:pt idx="523">
                  <c:v>1.7640690171377271E-2</c:v>
                </c:pt>
                <c:pt idx="524">
                  <c:v>1.7358675633786635E-2</c:v>
                </c:pt>
                <c:pt idx="525">
                  <c:v>1.7085664209392365E-2</c:v>
                </c:pt>
                <c:pt idx="526">
                  <c:v>1.6817756158505302E-2</c:v>
                </c:pt>
                <c:pt idx="527">
                  <c:v>1.6551576901863586E-2</c:v>
                </c:pt>
                <c:pt idx="528">
                  <c:v>1.6291420896509794E-2</c:v>
                </c:pt>
                <c:pt idx="529">
                  <c:v>1.6036036227747887E-2</c:v>
                </c:pt>
                <c:pt idx="530">
                  <c:v>1.5785005308334866E-2</c:v>
                </c:pt>
                <c:pt idx="531">
                  <c:v>1.5537082152805321E-2</c:v>
                </c:pt>
                <c:pt idx="532">
                  <c:v>1.5292409062694391E-2</c:v>
                </c:pt>
                <c:pt idx="533">
                  <c:v>1.5054002322327249E-2</c:v>
                </c:pt>
                <c:pt idx="534">
                  <c:v>1.4819078581439216E-2</c:v>
                </c:pt>
                <c:pt idx="535">
                  <c:v>1.4589670719103703E-2</c:v>
                </c:pt>
                <c:pt idx="536">
                  <c:v>1.4361881536730393E-2</c:v>
                </c:pt>
                <c:pt idx="537">
                  <c:v>1.4135332410591863E-2</c:v>
                </c:pt>
                <c:pt idx="538">
                  <c:v>1.3917223120739775E-2</c:v>
                </c:pt>
                <c:pt idx="539">
                  <c:v>1.3703403205732583E-2</c:v>
                </c:pt>
                <c:pt idx="540">
                  <c:v>1.3490815723663646E-2</c:v>
                </c:pt>
                <c:pt idx="541">
                  <c:v>1.3280222157152546E-2</c:v>
                </c:pt>
                <c:pt idx="542">
                  <c:v>1.3076691151355652E-2</c:v>
                </c:pt>
                <c:pt idx="543">
                  <c:v>1.287528789232226E-2</c:v>
                </c:pt>
                <c:pt idx="544">
                  <c:v>1.2678705944824641E-2</c:v>
                </c:pt>
                <c:pt idx="545">
                  <c:v>1.2482501774021496E-2</c:v>
                </c:pt>
                <c:pt idx="546">
                  <c:v>1.2293781139307344E-2</c:v>
                </c:pt>
                <c:pt idx="547">
                  <c:v>1.2102355081359661E-2</c:v>
                </c:pt>
                <c:pt idx="548">
                  <c:v>1.1917828953800311E-2</c:v>
                </c:pt>
                <c:pt idx="549">
                  <c:v>1.1734684760494407E-2</c:v>
                </c:pt>
                <c:pt idx="550">
                  <c:v>1.1556509262457097E-2</c:v>
                </c:pt>
                <c:pt idx="551">
                  <c:v>1.1381096362377257E-2</c:v>
                </c:pt>
                <c:pt idx="552">
                  <c:v>1.1209846205716698E-2</c:v>
                </c:pt>
                <c:pt idx="553">
                  <c:v>1.1040266398028124E-2</c:v>
                </c:pt>
                <c:pt idx="554">
                  <c:v>1.0868734602912603E-2</c:v>
                </c:pt>
                <c:pt idx="555">
                  <c:v>1.0707594631510471E-2</c:v>
                </c:pt>
                <c:pt idx="556">
                  <c:v>1.0547078076357519E-2</c:v>
                </c:pt>
                <c:pt idx="557">
                  <c:v>1.038751358623728E-2</c:v>
                </c:pt>
                <c:pt idx="558">
                  <c:v>1.0230321211885827E-2</c:v>
                </c:pt>
                <c:pt idx="559">
                  <c:v>1.0073591741040049E-2</c:v>
                </c:pt>
                <c:pt idx="560">
                  <c:v>9.9199149769361745E-3</c:v>
                </c:pt>
                <c:pt idx="561">
                  <c:v>9.774184228910493E-3</c:v>
                </c:pt>
                <c:pt idx="562">
                  <c:v>9.6253990800770125E-3</c:v>
                </c:pt>
                <c:pt idx="563">
                  <c:v>9.4835854359159085E-3</c:v>
                </c:pt>
                <c:pt idx="564">
                  <c:v>9.3402776256358479E-3</c:v>
                </c:pt>
                <c:pt idx="565">
                  <c:v>9.2029837492812929E-3</c:v>
                </c:pt>
                <c:pt idx="566">
                  <c:v>9.0660723083024232E-3</c:v>
                </c:pt>
                <c:pt idx="567">
                  <c:v>8.9301624837836817E-3</c:v>
                </c:pt>
                <c:pt idx="568">
                  <c:v>8.7951403497936627E-3</c:v>
                </c:pt>
                <c:pt idx="569">
                  <c:v>8.6656396000703208E-3</c:v>
                </c:pt>
                <c:pt idx="570">
                  <c:v>8.5403702034349879E-3</c:v>
                </c:pt>
                <c:pt idx="571">
                  <c:v>8.4099296706566674E-3</c:v>
                </c:pt>
                <c:pt idx="572">
                  <c:v>8.2865165467252422E-3</c:v>
                </c:pt>
                <c:pt idx="573">
                  <c:v>8.162781973790334E-3</c:v>
                </c:pt>
                <c:pt idx="574">
                  <c:v>8.0449114099492673E-3</c:v>
                </c:pt>
                <c:pt idx="575">
                  <c:v>7.9290063860623042E-3</c:v>
                </c:pt>
                <c:pt idx="576">
                  <c:v>7.8075270383494606E-3</c:v>
                </c:pt>
                <c:pt idx="577">
                  <c:v>7.6955907873368576E-3</c:v>
                </c:pt>
                <c:pt idx="578">
                  <c:v>7.579812394875509E-3</c:v>
                </c:pt>
                <c:pt idx="579">
                  <c:v>7.4727368424307248E-3</c:v>
                </c:pt>
                <c:pt idx="580">
                  <c:v>7.3609284933931571E-3</c:v>
                </c:pt>
                <c:pt idx="581">
                  <c:v>7.2548736156498143E-3</c:v>
                </c:pt>
                <c:pt idx="582">
                  <c:v>7.1490914825154874E-3</c:v>
                </c:pt>
                <c:pt idx="583">
                  <c:v>7.0452744658187905E-3</c:v>
                </c:pt>
                <c:pt idx="584">
                  <c:v>6.9446664334427664E-3</c:v>
                </c:pt>
                <c:pt idx="585">
                  <c:v>6.8446305718226127E-3</c:v>
                </c:pt>
                <c:pt idx="586">
                  <c:v>6.7388759672590715E-3</c:v>
                </c:pt>
                <c:pt idx="587">
                  <c:v>6.6423269167662901E-3</c:v>
                </c:pt>
                <c:pt idx="588">
                  <c:v>6.5497529918949731E-3</c:v>
                </c:pt>
                <c:pt idx="589">
                  <c:v>6.4490678795207489E-3</c:v>
                </c:pt>
                <c:pt idx="590">
                  <c:v>6.3607905292743794E-3</c:v>
                </c:pt>
                <c:pt idx="591">
                  <c:v>6.2698407900794225E-3</c:v>
                </c:pt>
                <c:pt idx="592">
                  <c:v>6.1752331391017479E-3</c:v>
                </c:pt>
                <c:pt idx="593">
                  <c:v>6.0897077989010076E-3</c:v>
                </c:pt>
                <c:pt idx="594">
                  <c:v>5.9972545762246744E-3</c:v>
                </c:pt>
                <c:pt idx="595">
                  <c:v>5.9125563636969278E-3</c:v>
                </c:pt>
                <c:pt idx="596">
                  <c:v>5.830026979030626E-3</c:v>
                </c:pt>
                <c:pt idx="597">
                  <c:v>5.7514807667987874E-3</c:v>
                </c:pt>
                <c:pt idx="598">
                  <c:v>5.6657661147343358E-3</c:v>
                </c:pt>
                <c:pt idx="599">
                  <c:v>5.587125881845352E-3</c:v>
                </c:pt>
                <c:pt idx="600">
                  <c:v>5.5090997478431276E-3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95-461E-B93C-21FCD983A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0640"/>
        <c:axId val="194806912"/>
      </c:scatterChart>
      <c:valAx>
        <c:axId val="194800640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806912"/>
        <c:crosses val="autoZero"/>
        <c:crossBetween val="midCat"/>
      </c:valAx>
      <c:valAx>
        <c:axId val="194806912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8006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Densities!$T$4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Densities!$T$5:$T$605</c:f>
              <c:numCache>
                <c:formatCode>0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3.8168350217872866E-42</c:v>
                </c:pt>
                <c:pt idx="52">
                  <c:v>1.1890467802011467E-29</c:v>
                </c:pt>
                <c:pt idx="53">
                  <c:v>2.5635948096283242E-23</c:v>
                </c:pt>
                <c:pt idx="54">
                  <c:v>2.9211408847168149E-19</c:v>
                </c:pt>
                <c:pt idx="55">
                  <c:v>2.3025586867928831E-16</c:v>
                </c:pt>
                <c:pt idx="56">
                  <c:v>3.6882058549275201E-14</c:v>
                </c:pt>
                <c:pt idx="57">
                  <c:v>2.0749790700483373E-12</c:v>
                </c:pt>
                <c:pt idx="58">
                  <c:v>5.6084294233549114E-11</c:v>
                </c:pt>
                <c:pt idx="59">
                  <c:v>8.8485362499563695E-10</c:v>
                </c:pt>
                <c:pt idx="60">
                  <c:v>9.2677211696857425E-9</c:v>
                </c:pt>
                <c:pt idx="61">
                  <c:v>7.0438751918646826E-8</c:v>
                </c:pt>
                <c:pt idx="62">
                  <c:v>4.1414669126451685E-7</c:v>
                </c:pt>
                <c:pt idx="63">
                  <c:v>1.974914507247712E-6</c:v>
                </c:pt>
                <c:pt idx="64">
                  <c:v>7.9174136105840307E-6</c:v>
                </c:pt>
                <c:pt idx="65">
                  <c:v>2.7437083431041686E-5</c:v>
                </c:pt>
                <c:pt idx="66">
                  <c:v>8.4011900322762448E-5</c:v>
                </c:pt>
                <c:pt idx="67">
                  <c:v>2.3140244991943614E-4</c:v>
                </c:pt>
                <c:pt idx="68">
                  <c:v>5.8071403239771588E-4</c:v>
                </c:pt>
                <c:pt idx="69">
                  <c:v>1.3473117067114297E-3</c:v>
                </c:pt>
                <c:pt idx="70">
                  <c:v>2.910129082089982E-3</c:v>
                </c:pt>
                <c:pt idx="71">
                  <c:v>5.9070447974437362E-3</c:v>
                </c:pt>
                <c:pt idx="72">
                  <c:v>1.1346436401178515E-2</c:v>
                </c:pt>
                <c:pt idx="73">
                  <c:v>2.0742647321399431E-2</c:v>
                </c:pt>
                <c:pt idx="74">
                  <c:v>3.6274839131138145E-2</c:v>
                </c:pt>
                <c:pt idx="75">
                  <c:v>6.0946786455009387E-2</c:v>
                </c:pt>
                <c:pt idx="76">
                  <c:v>9.8758770226330964E-2</c:v>
                </c:pt>
                <c:pt idx="77">
                  <c:v>0.15485359689949882</c:v>
                </c:pt>
                <c:pt idx="78">
                  <c:v>0.23563681425119001</c:v>
                </c:pt>
                <c:pt idx="79">
                  <c:v>0.34887431248217199</c:v>
                </c:pt>
                <c:pt idx="80">
                  <c:v>0.50371314723852645</c:v>
                </c:pt>
                <c:pt idx="81">
                  <c:v>0.71067295140563103</c:v>
                </c:pt>
                <c:pt idx="82">
                  <c:v>0.98155619535552907</c:v>
                </c:pt>
                <c:pt idx="83">
                  <c:v>1.3293055280168271</c:v>
                </c:pt>
                <c:pt idx="84">
                  <c:v>1.7677938411351461</c:v>
                </c:pt>
                <c:pt idx="85">
                  <c:v>2.3115738563701229</c:v>
                </c:pt>
                <c:pt idx="86">
                  <c:v>2.9755693199527311</c:v>
                </c:pt>
                <c:pt idx="87">
                  <c:v>3.7747450259658417</c:v>
                </c:pt>
                <c:pt idx="88">
                  <c:v>4.7237466429002186</c:v>
                </c:pt>
                <c:pt idx="89">
                  <c:v>5.836542066775638</c:v>
                </c:pt>
                <c:pt idx="90">
                  <c:v>7.1260657812289736</c:v>
                </c:pt>
                <c:pt idx="91">
                  <c:v>8.6038770864962437</c:v>
                </c:pt>
                <c:pt idx="92">
                  <c:v>10.279856454194649</c:v>
                </c:pt>
                <c:pt idx="93">
                  <c:v>12.16193149945863</c:v>
                </c:pt>
                <c:pt idx="94">
                  <c:v>14.255857568913362</c:v>
                </c:pt>
                <c:pt idx="95">
                  <c:v>16.565034493566927</c:v>
                </c:pt>
                <c:pt idx="96">
                  <c:v>19.090402320748584</c:v>
                </c:pt>
                <c:pt idx="97">
                  <c:v>21.83036038180472</c:v>
                </c:pt>
                <c:pt idx="98">
                  <c:v>24.780770764933937</c:v>
                </c:pt>
                <c:pt idx="99">
                  <c:v>27.93499241334537</c:v>
                </c:pt>
                <c:pt idx="100">
                  <c:v>31.283968606821492</c:v>
                </c:pt>
                <c:pt idx="101">
                  <c:v>34.816369012531482</c:v>
                </c:pt>
                <c:pt idx="102">
                  <c:v>38.51874887301522</c:v>
                </c:pt>
                <c:pt idx="103">
                  <c:v>42.375759178774409</c:v>
                </c:pt>
                <c:pt idx="104">
                  <c:v>46.370367967488519</c:v>
                </c:pt>
                <c:pt idx="105">
                  <c:v>50.484107427242392</c:v>
                </c:pt>
                <c:pt idx="106">
                  <c:v>54.697334769121532</c:v>
                </c:pt>
                <c:pt idx="107">
                  <c:v>58.989489399967347</c:v>
                </c:pt>
                <c:pt idx="108">
                  <c:v>63.339360611893575</c:v>
                </c:pt>
                <c:pt idx="109">
                  <c:v>67.725352236036599</c:v>
                </c:pt>
                <c:pt idx="110">
                  <c:v>72.125725097266226</c:v>
                </c:pt>
                <c:pt idx="111">
                  <c:v>76.51884844066953</c:v>
                </c:pt>
                <c:pt idx="112">
                  <c:v>80.883411784655337</c:v>
                </c:pt>
                <c:pt idx="113">
                  <c:v>85.198643496112169</c:v>
                </c:pt>
                <c:pt idx="114">
                  <c:v>89.444483070133529</c:v>
                </c:pt>
                <c:pt idx="115">
                  <c:v>93.601762408621056</c:v>
                </c:pt>
                <c:pt idx="116">
                  <c:v>97.652337171377781</c:v>
                </c:pt>
                <c:pt idx="117">
                  <c:v>101.57921259777019</c:v>
                </c:pt>
                <c:pt idx="118">
                  <c:v>105.36664347016861</c:v>
                </c:pt>
                <c:pt idx="119">
                  <c:v>109.00021727225374</c:v>
                </c:pt>
                <c:pt idx="120">
                  <c:v>112.46690189391229</c:v>
                </c:pt>
                <c:pt idx="121">
                  <c:v>115.75509387823368</c:v>
                </c:pt>
                <c:pt idx="122">
                  <c:v>118.8546333835</c:v>
                </c:pt>
                <c:pt idx="123">
                  <c:v>121.75680927893617</c:v>
                </c:pt>
                <c:pt idx="124">
                  <c:v>124.45434786900745</c:v>
                </c:pt>
                <c:pt idx="125">
                  <c:v>126.94139381146108</c:v>
                </c:pt>
                <c:pt idx="126">
                  <c:v>129.21345894298386</c:v>
                </c:pt>
                <c:pt idx="127">
                  <c:v>131.26738519948776</c:v>
                </c:pt>
                <c:pt idx="128">
                  <c:v>133.1012943091292</c:v>
                </c:pt>
                <c:pt idx="129">
                  <c:v>134.7145101634334</c:v>
                </c:pt>
                <c:pt idx="130">
                  <c:v>136.10749094623841</c:v>
                </c:pt>
                <c:pt idx="131">
                  <c:v>137.28176841837359</c:v>
                </c:pt>
                <c:pt idx="132">
                  <c:v>138.23985576047471</c:v>
                </c:pt>
                <c:pt idx="133">
                  <c:v>138.98517709984293</c:v>
                </c:pt>
                <c:pt idx="134">
                  <c:v>139.52198294267527</c:v>
                </c:pt>
                <c:pt idx="135">
                  <c:v>139.8552640884121</c:v>
                </c:pt>
                <c:pt idx="136">
                  <c:v>139.99068354184075</c:v>
                </c:pt>
                <c:pt idx="137">
                  <c:v>139.93449454741125</c:v>
                </c:pt>
                <c:pt idx="138">
                  <c:v>139.69345341938165</c:v>
                </c:pt>
                <c:pt idx="139">
                  <c:v>139.27475275496425</c:v>
                </c:pt>
                <c:pt idx="140">
                  <c:v>138.68595074434387</c:v>
                </c:pt>
                <c:pt idx="141">
                  <c:v>137.93490828695187</c:v>
                </c:pt>
                <c:pt idx="142">
                  <c:v>137.02970615842025</c:v>
                </c:pt>
                <c:pt idx="143">
                  <c:v>135.97861421923986</c:v>
                </c:pt>
                <c:pt idx="144">
                  <c:v>134.78999687233096</c:v>
                </c:pt>
                <c:pt idx="145">
                  <c:v>133.47229614948941</c:v>
                </c:pt>
                <c:pt idx="146">
                  <c:v>132.03396665925627</c:v>
                </c:pt>
                <c:pt idx="147">
                  <c:v>130.4834244125752</c:v>
                </c:pt>
                <c:pt idx="148">
                  <c:v>128.82902036825962</c:v>
                </c:pt>
                <c:pt idx="149">
                  <c:v>127.07900357011859</c:v>
                </c:pt>
                <c:pt idx="150">
                  <c:v>125.24147777887018</c:v>
                </c:pt>
                <c:pt idx="151">
                  <c:v>123.32437501760829</c:v>
                </c:pt>
                <c:pt idx="152">
                  <c:v>121.33544082665315</c:v>
                </c:pt>
                <c:pt idx="153">
                  <c:v>119.28220390589051</c:v>
                </c:pt>
                <c:pt idx="154">
                  <c:v>117.1719535633664</c:v>
                </c:pt>
                <c:pt idx="155">
                  <c:v>115.011737113202</c:v>
                </c:pt>
                <c:pt idx="156">
                  <c:v>112.80833081897535</c:v>
                </c:pt>
                <c:pt idx="157">
                  <c:v>110.56824509789176</c:v>
                </c:pt>
                <c:pt idx="158">
                  <c:v>108.29770110201697</c:v>
                </c:pt>
                <c:pt idx="159">
                  <c:v>106.00264112661795</c:v>
                </c:pt>
                <c:pt idx="160">
                  <c:v>103.68871473237506</c:v>
                </c:pt>
                <c:pt idx="161">
                  <c:v>101.36127397489258</c:v>
                </c:pt>
                <c:pt idx="162">
                  <c:v>99.025388149848183</c:v>
                </c:pt>
                <c:pt idx="163">
                  <c:v>96.685833384652085</c:v>
                </c:pt>
                <c:pt idx="164">
                  <c:v>94.347092204766227</c:v>
                </c:pt>
                <c:pt idx="165">
                  <c:v>92.013370447258112</c:v>
                </c:pt>
                <c:pt idx="166">
                  <c:v>89.688593357672985</c:v>
                </c:pt>
                <c:pt idx="167">
                  <c:v>87.376414697332152</c:v>
                </c:pt>
                <c:pt idx="168">
                  <c:v>85.080220212779835</c:v>
                </c:pt>
                <c:pt idx="169">
                  <c:v>82.803142814613651</c:v>
                </c:pt>
                <c:pt idx="170">
                  <c:v>80.548062577484586</c:v>
                </c:pt>
                <c:pt idx="171">
                  <c:v>78.317617148437876</c:v>
                </c:pt>
                <c:pt idx="172">
                  <c:v>76.114212588934691</c:v>
                </c:pt>
                <c:pt idx="173">
                  <c:v>73.940035951597366</c:v>
                </c:pt>
                <c:pt idx="174">
                  <c:v>71.797055280209406</c:v>
                </c:pt>
                <c:pt idx="175">
                  <c:v>69.687036523269356</c:v>
                </c:pt>
                <c:pt idx="176">
                  <c:v>67.611553942331653</c:v>
                </c:pt>
                <c:pt idx="177">
                  <c:v>65.571989678325778</c:v>
                </c:pt>
                <c:pt idx="178">
                  <c:v>63.569556736642333</c:v>
                </c:pt>
                <c:pt idx="179">
                  <c:v>61.605298119771227</c:v>
                </c:pt>
                <c:pt idx="180">
                  <c:v>59.680102873493901</c:v>
                </c:pt>
                <c:pt idx="181">
                  <c:v>57.794712158415471</c:v>
                </c:pt>
                <c:pt idx="182">
                  <c:v>55.949729224624711</c:v>
                </c:pt>
                <c:pt idx="183">
                  <c:v>54.14562201377926</c:v>
                </c:pt>
                <c:pt idx="184">
                  <c:v>52.382742457904307</c:v>
                </c:pt>
                <c:pt idx="185">
                  <c:v>50.661326913073459</c:v>
                </c:pt>
                <c:pt idx="186">
                  <c:v>48.981503748823933</c:v>
                </c:pt>
                <c:pt idx="187">
                  <c:v>47.343308526986981</c:v>
                </c:pt>
                <c:pt idx="188">
                  <c:v>45.74668595325182</c:v>
                </c:pt>
                <c:pt idx="189">
                  <c:v>44.191495081336022</c:v>
                </c:pt>
                <c:pt idx="190">
                  <c:v>42.677518853964649</c:v>
                </c:pt>
                <c:pt idx="191">
                  <c:v>41.204470391242864</c:v>
                </c:pt>
                <c:pt idx="192">
                  <c:v>39.771996460102876</c:v>
                </c:pt>
                <c:pt idx="193">
                  <c:v>38.37968723212348</c:v>
                </c:pt>
                <c:pt idx="194">
                  <c:v>37.027089944477453</c:v>
                </c:pt>
                <c:pt idx="195">
                  <c:v>35.713684180121994</c:v>
                </c:pt>
                <c:pt idx="196">
                  <c:v>34.438923718002613</c:v>
                </c:pt>
                <c:pt idx="197">
                  <c:v>33.202221787903554</c:v>
                </c:pt>
                <c:pt idx="198">
                  <c:v>32.002949769405213</c:v>
                </c:pt>
                <c:pt idx="199">
                  <c:v>30.840459526448871</c:v>
                </c:pt>
                <c:pt idx="200">
                  <c:v>29.714073649517172</c:v>
                </c:pt>
                <c:pt idx="201">
                  <c:v>28.623093695570589</c:v>
                </c:pt>
                <c:pt idx="202">
                  <c:v>27.566802356451813</c:v>
                </c:pt>
                <c:pt idx="203">
                  <c:v>26.544464543087898</c:v>
                </c:pt>
                <c:pt idx="204">
                  <c:v>25.555342022219598</c:v>
                </c:pt>
                <c:pt idx="205">
                  <c:v>24.598678129150731</c:v>
                </c:pt>
                <c:pt idx="206">
                  <c:v>23.673713054998824</c:v>
                </c:pt>
                <c:pt idx="207">
                  <c:v>22.779679943567277</c:v>
                </c:pt>
                <c:pt idx="208">
                  <c:v>21.915812914441446</c:v>
                </c:pt>
                <c:pt idx="209">
                  <c:v>21.081342726179951</c:v>
                </c:pt>
                <c:pt idx="210">
                  <c:v>20.275504582570324</c:v>
                </c:pt>
                <c:pt idx="211">
                  <c:v>19.49753379582031</c:v>
                </c:pt>
                <c:pt idx="212">
                  <c:v>18.746670882308081</c:v>
                </c:pt>
                <c:pt idx="213">
                  <c:v>18.022163947827018</c:v>
                </c:pt>
                <c:pt idx="214">
                  <c:v>17.323263374995069</c:v>
                </c:pt>
                <c:pt idx="215">
                  <c:v>16.649239387329928</c:v>
                </c:pt>
                <c:pt idx="216">
                  <c:v>15.999354402093658</c:v>
                </c:pt>
                <c:pt idx="217">
                  <c:v>15.372895122676978</c:v>
                </c:pt>
                <c:pt idx="218">
                  <c:v>14.769151721917561</c:v>
                </c:pt>
                <c:pt idx="219">
                  <c:v>14.187431828308062</c:v>
                </c:pt>
                <c:pt idx="220">
                  <c:v>13.627048382931772</c:v>
                </c:pt>
                <c:pt idx="221">
                  <c:v>13.087331240425881</c:v>
                </c:pt>
                <c:pt idx="222">
                  <c:v>12.567621422709951</c:v>
                </c:pt>
                <c:pt idx="223">
                  <c:v>12.067274588432875</c:v>
                </c:pt>
                <c:pt idx="224">
                  <c:v>11.585665098731019</c:v>
                </c:pt>
                <c:pt idx="225">
                  <c:v>11.122168019472163</c:v>
                </c:pt>
                <c:pt idx="226">
                  <c:v>10.676187852613067</c:v>
                </c:pt>
                <c:pt idx="227">
                  <c:v>10.247133274288862</c:v>
                </c:pt>
                <c:pt idx="228">
                  <c:v>9.8344299826087784</c:v>
                </c:pt>
                <c:pt idx="229">
                  <c:v>9.4375236792121342</c:v>
                </c:pt>
                <c:pt idx="230">
                  <c:v>9.0558655951693261</c:v>
                </c:pt>
                <c:pt idx="231">
                  <c:v>8.6889265856100746</c:v>
                </c:pt>
                <c:pt idx="232">
                  <c:v>8.3361936602764644</c:v>
                </c:pt>
                <c:pt idx="233">
                  <c:v>7.9971645083019851</c:v>
                </c:pt>
                <c:pt idx="234">
                  <c:v>7.6713501002967366</c:v>
                </c:pt>
                <c:pt idx="235">
                  <c:v>7.3582778325337328</c:v>
                </c:pt>
                <c:pt idx="236">
                  <c:v>7.0574920690499869</c:v>
                </c:pt>
                <c:pt idx="237">
                  <c:v>6.768543353834894</c:v>
                </c:pt>
                <c:pt idx="238">
                  <c:v>6.4910039149213006</c:v>
                </c:pt>
                <c:pt idx="239">
                  <c:v>6.2244505882012859</c:v>
                </c:pt>
                <c:pt idx="240">
                  <c:v>5.9684788578442953</c:v>
                </c:pt>
                <c:pt idx="241">
                  <c:v>5.7227013384140992</c:v>
                </c:pt>
                <c:pt idx="242">
                  <c:v>5.4867322707777282</c:v>
                </c:pt>
                <c:pt idx="243">
                  <c:v>5.2602067395889769</c:v>
                </c:pt>
                <c:pt idx="244">
                  <c:v>5.0427689639049449</c:v>
                </c:pt>
                <c:pt idx="245">
                  <c:v>4.8340741132246734</c:v>
                </c:pt>
                <c:pt idx="246">
                  <c:v>4.6337874401274073</c:v>
                </c:pt>
                <c:pt idx="247">
                  <c:v>4.441593821251713</c:v>
                </c:pt>
                <c:pt idx="248">
                  <c:v>4.2571777808704523</c:v>
                </c:pt>
                <c:pt idx="249">
                  <c:v>4.0802416783822242</c:v>
                </c:pt>
                <c:pt idx="250">
                  <c:v>3.9104946494492032</c:v>
                </c:pt>
                <c:pt idx="251">
                  <c:v>3.7476635293340332</c:v>
                </c:pt>
                <c:pt idx="252">
                  <c:v>3.5914720362181103</c:v>
                </c:pt>
                <c:pt idx="253">
                  <c:v>3.4416640273381844</c:v>
                </c:pt>
                <c:pt idx="254">
                  <c:v>3.2979898922490953</c:v>
                </c:pt>
                <c:pt idx="255">
                  <c:v>3.1602048452053499</c:v>
                </c:pt>
                <c:pt idx="256">
                  <c:v>3.0280827487388224</c:v>
                </c:pt>
                <c:pt idx="257">
                  <c:v>2.9013914209542748</c:v>
                </c:pt>
                <c:pt idx="258">
                  <c:v>2.7799206079454075</c:v>
                </c:pt>
                <c:pt idx="259">
                  <c:v>2.6634639047236344</c:v>
                </c:pt>
                <c:pt idx="260">
                  <c:v>2.5518164783935178</c:v>
                </c:pt>
                <c:pt idx="261">
                  <c:v>2.4447860050421863</c:v>
                </c:pt>
                <c:pt idx="262">
                  <c:v>2.3421892951600713</c:v>
                </c:pt>
                <c:pt idx="263">
                  <c:v>2.2438499355011827</c:v>
                </c:pt>
                <c:pt idx="264">
                  <c:v>2.1495921497883055</c:v>
                </c:pt>
                <c:pt idx="265">
                  <c:v>2.0592537549289638</c:v>
                </c:pt>
                <c:pt idx="266">
                  <c:v>1.9726730828267121</c:v>
                </c:pt>
                <c:pt idx="267">
                  <c:v>1.8897006762120736</c:v>
                </c:pt>
                <c:pt idx="268">
                  <c:v>1.8101889074067374</c:v>
                </c:pt>
                <c:pt idx="269">
                  <c:v>1.7339959221089607</c:v>
                </c:pt>
                <c:pt idx="270">
                  <c:v>1.6609829017830842</c:v>
                </c:pt>
                <c:pt idx="271">
                  <c:v>1.591027724606904</c:v>
                </c:pt>
                <c:pt idx="272">
                  <c:v>1.5239987142265723</c:v>
                </c:pt>
                <c:pt idx="273">
                  <c:v>1.4597770420839846</c:v>
                </c:pt>
                <c:pt idx="274">
                  <c:v>1.398247159332608</c:v>
                </c:pt>
                <c:pt idx="275">
                  <c:v>1.3392998054985104</c:v>
                </c:pt>
                <c:pt idx="276">
                  <c:v>1.2828271024655293</c:v>
                </c:pt>
                <c:pt idx="277">
                  <c:v>1.2287260103696975</c:v>
                </c:pt>
                <c:pt idx="278">
                  <c:v>1.1769000487701908</c:v>
                </c:pt>
                <c:pt idx="279">
                  <c:v>1.1272529066327746</c:v>
                </c:pt>
                <c:pt idx="280">
                  <c:v>1.079696350229399</c:v>
                </c:pt>
                <c:pt idx="281">
                  <c:v>1.0341425591840931</c:v>
                </c:pt>
                <c:pt idx="282">
                  <c:v>0.99050759591991566</c:v>
                </c:pt>
                <c:pt idx="283">
                  <c:v>0.94871292354199721</c:v>
                </c:pt>
                <c:pt idx="284">
                  <c:v>0.90868104870005939</c:v>
                </c:pt>
                <c:pt idx="285">
                  <c:v>0.87033572487632205</c:v>
                </c:pt>
                <c:pt idx="286">
                  <c:v>0.83361135783934992</c:v>
                </c:pt>
                <c:pt idx="287">
                  <c:v>0.79843611919521584</c:v>
                </c:pt>
                <c:pt idx="288">
                  <c:v>0.76474705745527982</c:v>
                </c:pt>
                <c:pt idx="289">
                  <c:v>0.7324816344829802</c:v>
                </c:pt>
                <c:pt idx="290">
                  <c:v>0.70158145243880143</c:v>
                </c:pt>
                <c:pt idx="291">
                  <c:v>0.67198408160639922</c:v>
                </c:pt>
                <c:pt idx="292">
                  <c:v>0.64364023822077043</c:v>
                </c:pt>
                <c:pt idx="293">
                  <c:v>0.61649741979171235</c:v>
                </c:pt>
                <c:pt idx="294">
                  <c:v>0.59049891576934066</c:v>
                </c:pt>
                <c:pt idx="295">
                  <c:v>0.56560383140296167</c:v>
                </c:pt>
                <c:pt idx="296">
                  <c:v>0.54176168352891918</c:v>
                </c:pt>
                <c:pt idx="297">
                  <c:v>0.51892711522695356</c:v>
                </c:pt>
                <c:pt idx="298">
                  <c:v>0.49706197613312053</c:v>
                </c:pt>
                <c:pt idx="299">
                  <c:v>0.47612242043393838</c:v>
                </c:pt>
                <c:pt idx="300">
                  <c:v>0.45606907126175511</c:v>
                </c:pt>
                <c:pt idx="301">
                  <c:v>0.43686382568647147</c:v>
                </c:pt>
                <c:pt idx="302">
                  <c:v>0.41847215864515735</c:v>
                </c:pt>
                <c:pt idx="303">
                  <c:v>0.40085962300191391</c:v>
                </c:pt>
                <c:pt idx="304">
                  <c:v>0.38399365881024855</c:v>
                </c:pt>
                <c:pt idx="305">
                  <c:v>0.36783919212988148</c:v>
                </c:pt>
                <c:pt idx="306">
                  <c:v>0.35237074082162745</c:v>
                </c:pt>
                <c:pt idx="307">
                  <c:v>0.3375577981468581</c:v>
                </c:pt>
                <c:pt idx="308">
                  <c:v>0.32337165985305699</c:v>
                </c:pt>
                <c:pt idx="309">
                  <c:v>0.30978754175618739</c:v>
                </c:pt>
                <c:pt idx="310">
                  <c:v>0.29677696322043084</c:v>
                </c:pt>
                <c:pt idx="311">
                  <c:v>0.28432124547523446</c:v>
                </c:pt>
                <c:pt idx="312">
                  <c:v>0.27238792344179591</c:v>
                </c:pt>
                <c:pt idx="313">
                  <c:v>0.26096039188621722</c:v>
                </c:pt>
                <c:pt idx="314">
                  <c:v>0.25001566911057349</c:v>
                </c:pt>
                <c:pt idx="315">
                  <c:v>0.23953904045850502</c:v>
                </c:pt>
                <c:pt idx="316">
                  <c:v>0.22950308747350917</c:v>
                </c:pt>
                <c:pt idx="317">
                  <c:v>0.21988741190815017</c:v>
                </c:pt>
                <c:pt idx="318">
                  <c:v>0.21068289291165196</c:v>
                </c:pt>
                <c:pt idx="319">
                  <c:v>0.20186653353949663</c:v>
                </c:pt>
                <c:pt idx="320">
                  <c:v>0.19342281445402457</c:v>
                </c:pt>
                <c:pt idx="321">
                  <c:v>0.18533363625521884</c:v>
                </c:pt>
                <c:pt idx="322">
                  <c:v>0.17758810779344367</c:v>
                </c:pt>
                <c:pt idx="323">
                  <c:v>0.17017069448444638</c:v>
                </c:pt>
                <c:pt idx="324">
                  <c:v>0.1630653264191517</c:v>
                </c:pt>
                <c:pt idx="325">
                  <c:v>0.15626367556962217</c:v>
                </c:pt>
                <c:pt idx="326">
                  <c:v>0.14974294150298367</c:v>
                </c:pt>
                <c:pt idx="327">
                  <c:v>0.14350107101137199</c:v>
                </c:pt>
                <c:pt idx="328">
                  <c:v>0.13752033569520117</c:v>
                </c:pt>
                <c:pt idx="329">
                  <c:v>0.13179659695149085</c:v>
                </c:pt>
                <c:pt idx="330">
                  <c:v>0.12630650208188526</c:v>
                </c:pt>
                <c:pt idx="331">
                  <c:v>0.12105381021860433</c:v>
                </c:pt>
                <c:pt idx="332">
                  <c:v>0.11601816546585962</c:v>
                </c:pt>
                <c:pt idx="333">
                  <c:v>0.11119850479730234</c:v>
                </c:pt>
                <c:pt idx="334">
                  <c:v>0.10657930209900932</c:v>
                </c:pt>
                <c:pt idx="335">
                  <c:v>0.10215556919395416</c:v>
                </c:pt>
                <c:pt idx="336">
                  <c:v>9.7916234514483336E-2</c:v>
                </c:pt>
                <c:pt idx="337">
                  <c:v>9.3857499964861327E-2</c:v>
                </c:pt>
                <c:pt idx="338">
                  <c:v>8.9966383918138521E-2</c:v>
                </c:pt>
                <c:pt idx="339">
                  <c:v>8.6238039651790735E-2</c:v>
                </c:pt>
                <c:pt idx="340">
                  <c:v>8.266823962437822E-2</c:v>
                </c:pt>
                <c:pt idx="341">
                  <c:v>7.9248540611482746E-2</c:v>
                </c:pt>
                <c:pt idx="342">
                  <c:v>7.5973928178056566E-2</c:v>
                </c:pt>
                <c:pt idx="343">
                  <c:v>7.2835711766060851E-2</c:v>
                </c:pt>
                <c:pt idx="344">
                  <c:v>6.9826240126883057E-2</c:v>
                </c:pt>
                <c:pt idx="345">
                  <c:v>6.6945898660514175E-2</c:v>
                </c:pt>
                <c:pt idx="346">
                  <c:v>6.4182944949206427E-2</c:v>
                </c:pt>
                <c:pt idx="347">
                  <c:v>6.1537966833825203E-2</c:v>
                </c:pt>
                <c:pt idx="348">
                  <c:v>5.9005763532074366E-2</c:v>
                </c:pt>
                <c:pt idx="349">
                  <c:v>5.6573578727768269E-2</c:v>
                </c:pt>
                <c:pt idx="350">
                  <c:v>5.4247514446258922E-2</c:v>
                </c:pt>
                <c:pt idx="351">
                  <c:v>5.2018819566651768E-2</c:v>
                </c:pt>
                <c:pt idx="352">
                  <c:v>4.9879222388700406E-2</c:v>
                </c:pt>
                <c:pt idx="353">
                  <c:v>4.7832685756048557E-2</c:v>
                </c:pt>
                <c:pt idx="354">
                  <c:v>4.5869623373315675E-2</c:v>
                </c:pt>
                <c:pt idx="355">
                  <c:v>4.3989820517649623E-2</c:v>
                </c:pt>
                <c:pt idx="356">
                  <c:v>4.2186608498656672E-2</c:v>
                </c:pt>
                <c:pt idx="357">
                  <c:v>4.0459890331064369E-2</c:v>
                </c:pt>
                <c:pt idx="358">
                  <c:v>3.8803566954135997E-2</c:v>
                </c:pt>
                <c:pt idx="359">
                  <c:v>3.721620518812481E-2</c:v>
                </c:pt>
                <c:pt idx="360">
                  <c:v>3.5694475770031625E-2</c:v>
                </c:pt>
                <c:pt idx="361">
                  <c:v>3.4236656681874665E-2</c:v>
                </c:pt>
                <c:pt idx="362">
                  <c:v>3.2839616866364413E-2</c:v>
                </c:pt>
                <c:pt idx="363">
                  <c:v>3.14990584783265E-2</c:v>
                </c:pt>
                <c:pt idx="364">
                  <c:v>3.0214657951175075E-2</c:v>
                </c:pt>
                <c:pt idx="365">
                  <c:v>2.8988072928387912E-2</c:v>
                </c:pt>
                <c:pt idx="366">
                  <c:v>2.7806152376425943E-2</c:v>
                </c:pt>
                <c:pt idx="367">
                  <c:v>2.6674501112301147E-2</c:v>
                </c:pt>
                <c:pt idx="368">
                  <c:v>2.5591018494304334E-2</c:v>
                </c:pt>
                <c:pt idx="369">
                  <c:v>2.4554029091265837E-2</c:v>
                </c:pt>
                <c:pt idx="370">
                  <c:v>2.3558806459339977E-2</c:v>
                </c:pt>
                <c:pt idx="371">
                  <c:v>2.2601067788187195E-2</c:v>
                </c:pt>
                <c:pt idx="372">
                  <c:v>2.1687579176990164E-2</c:v>
                </c:pt>
                <c:pt idx="373">
                  <c:v>2.080895655948449E-2</c:v>
                </c:pt>
                <c:pt idx="374">
                  <c:v>1.9963772685154046E-2</c:v>
                </c:pt>
                <c:pt idx="375">
                  <c:v>1.9158216823744419E-2</c:v>
                </c:pt>
                <c:pt idx="376">
                  <c:v>1.8386850388459532E-2</c:v>
                </c:pt>
                <c:pt idx="377">
                  <c:v>1.7645109989296043E-2</c:v>
                </c:pt>
                <c:pt idx="378">
                  <c:v>1.6931993586277359E-2</c:v>
                </c:pt>
                <c:pt idx="379">
                  <c:v>1.6247898649613974E-2</c:v>
                </c:pt>
                <c:pt idx="380">
                  <c:v>1.5593783808843945E-2</c:v>
                </c:pt>
                <c:pt idx="381">
                  <c:v>1.4966084749325226E-2</c:v>
                </c:pt>
                <c:pt idx="382">
                  <c:v>1.4365349713132925E-2</c:v>
                </c:pt>
                <c:pt idx="383">
                  <c:v>1.3787274925862047E-2</c:v>
                </c:pt>
                <c:pt idx="384">
                  <c:v>1.3234636961513687E-2</c:v>
                </c:pt>
                <c:pt idx="385">
                  <c:v>1.2703640265451203E-2</c:v>
                </c:pt>
                <c:pt idx="386">
                  <c:v>1.2193880167684041E-2</c:v>
                </c:pt>
                <c:pt idx="387">
                  <c:v>1.1706317838849099E-2</c:v>
                </c:pt>
                <c:pt idx="388">
                  <c:v>1.1234109676249035E-2</c:v>
                </c:pt>
                <c:pt idx="389">
                  <c:v>1.0786303897584656E-2</c:v>
                </c:pt>
                <c:pt idx="390">
                  <c:v>1.0354810067660265E-2</c:v>
                </c:pt>
                <c:pt idx="391">
                  <c:v>9.9410311906738685E-3</c:v>
                </c:pt>
                <c:pt idx="392">
                  <c:v>9.5462440629143358E-3</c:v>
                </c:pt>
                <c:pt idx="393">
                  <c:v>9.1629777479077627E-3</c:v>
                </c:pt>
                <c:pt idx="394">
                  <c:v>8.7983412873013367E-3</c:v>
                </c:pt>
                <c:pt idx="395">
                  <c:v>8.4476534476329405E-3</c:v>
                </c:pt>
                <c:pt idx="396">
                  <c:v>8.1124151712851072E-3</c:v>
                </c:pt>
                <c:pt idx="397">
                  <c:v>7.7923303143636533E-3</c:v>
                </c:pt>
                <c:pt idx="398">
                  <c:v>7.4795800216115923E-3</c:v>
                </c:pt>
                <c:pt idx="399">
                  <c:v>7.186320698129682E-3</c:v>
                </c:pt>
                <c:pt idx="400">
                  <c:v>6.8983316136455881E-3</c:v>
                </c:pt>
                <c:pt idx="401">
                  <c:v>6.6261534579131797E-3</c:v>
                </c:pt>
                <c:pt idx="402">
                  <c:v>6.3624266792911199E-3</c:v>
                </c:pt>
                <c:pt idx="403">
                  <c:v>6.1110341826887396E-3</c:v>
                </c:pt>
                <c:pt idx="404">
                  <c:v>5.8706901720921084E-3</c:v>
                </c:pt>
                <c:pt idx="405">
                  <c:v>5.6404601584021663E-3</c:v>
                </c:pt>
                <c:pt idx="406">
                  <c:v>5.4167147113190484E-3</c:v>
                </c:pt>
                <c:pt idx="407">
                  <c:v>5.20327336709972E-3</c:v>
                </c:pt>
                <c:pt idx="408">
                  <c:v>4.9966378796720201E-3</c:v>
                </c:pt>
                <c:pt idx="409">
                  <c:v>4.7999742464345501E-3</c:v>
                </c:pt>
                <c:pt idx="410">
                  <c:v>4.6122585633727549E-3</c:v>
                </c:pt>
                <c:pt idx="411">
                  <c:v>4.4279769636373662E-3</c:v>
                </c:pt>
                <c:pt idx="412">
                  <c:v>4.2557083557368527E-3</c:v>
                </c:pt>
                <c:pt idx="413">
                  <c:v>4.0886476240334134E-3</c:v>
                </c:pt>
                <c:pt idx="414">
                  <c:v>3.925699025530657E-3</c:v>
                </c:pt>
                <c:pt idx="415">
                  <c:v>3.7737221506728034E-3</c:v>
                </c:pt>
                <c:pt idx="416">
                  <c:v>3.6284645234877229E-3</c:v>
                </c:pt>
                <c:pt idx="417">
                  <c:v>3.4866384914697653E-3</c:v>
                </c:pt>
                <c:pt idx="418">
                  <c:v>3.3471973336543612E-3</c:v>
                </c:pt>
                <c:pt idx="419">
                  <c:v>3.2184631487482845E-3</c:v>
                </c:pt>
                <c:pt idx="420">
                  <c:v>3.0960309948488982E-3</c:v>
                </c:pt>
                <c:pt idx="421">
                  <c:v>2.9710010967794014E-3</c:v>
                </c:pt>
                <c:pt idx="422">
                  <c:v>2.8545198257905096E-3</c:v>
                </c:pt>
                <c:pt idx="423">
                  <c:v>2.7465928464150569E-3</c:v>
                </c:pt>
                <c:pt idx="424">
                  <c:v>2.6386699963252226E-3</c:v>
                </c:pt>
                <c:pt idx="425">
                  <c:v>2.5371832202059812E-3</c:v>
                </c:pt>
                <c:pt idx="426">
                  <c:v>2.4405853329698348E-3</c:v>
                </c:pt>
                <c:pt idx="427">
                  <c:v>2.3452723682448932E-3</c:v>
                </c:pt>
                <c:pt idx="428">
                  <c:v>2.2503074811217141E-3</c:v>
                </c:pt>
                <c:pt idx="429">
                  <c:v>2.1638763185932242E-3</c:v>
                </c:pt>
                <c:pt idx="430">
                  <c:v>2.0813869032941211E-3</c:v>
                </c:pt>
                <c:pt idx="431">
                  <c:v>1.9989200667170177E-3</c:v>
                </c:pt>
                <c:pt idx="432">
                  <c:v>1.9231480197363351E-3</c:v>
                </c:pt>
                <c:pt idx="433">
                  <c:v>1.8469764114325648E-3</c:v>
                </c:pt>
                <c:pt idx="434">
                  <c:v>1.7798636352112222E-3</c:v>
                </c:pt>
                <c:pt idx="435">
                  <c:v>1.7099336803468707E-3</c:v>
                </c:pt>
                <c:pt idx="436">
                  <c:v>1.6430065631596544E-3</c:v>
                </c:pt>
                <c:pt idx="437">
                  <c:v>1.5790159239121113E-3</c:v>
                </c:pt>
                <c:pt idx="438">
                  <c:v>1.5168161770128599E-3</c:v>
                </c:pt>
                <c:pt idx="439">
                  <c:v>1.4624479643950237E-3</c:v>
                </c:pt>
                <c:pt idx="440">
                  <c:v>1.4045181899922201E-3</c:v>
                </c:pt>
                <c:pt idx="441">
                  <c:v>1.3544403580709045E-3</c:v>
                </c:pt>
                <c:pt idx="442">
                  <c:v>1.3004312609529245E-3</c:v>
                </c:pt>
                <c:pt idx="443">
                  <c:v>1.2501386003003618E-3</c:v>
                </c:pt>
                <c:pt idx="444">
                  <c:v>1.2020574367939613E-3</c:v>
                </c:pt>
                <c:pt idx="445">
                  <c:v>1.1574371440309238E-3</c:v>
                </c:pt>
                <c:pt idx="446">
                  <c:v>1.1098508198192872E-3</c:v>
                </c:pt>
                <c:pt idx="447">
                  <c:v>1.0688313170545869E-3</c:v>
                </c:pt>
                <c:pt idx="448">
                  <c:v>1.0312829553077345E-3</c:v>
                </c:pt>
                <c:pt idx="449">
                  <c:v>9.8913636932759395E-4</c:v>
                </c:pt>
                <c:pt idx="450">
                  <c:v>9.5202448101148378E-4</c:v>
                </c:pt>
                <c:pt idx="451">
                  <c:v>9.1688407511499785E-4</c:v>
                </c:pt>
                <c:pt idx="452">
                  <c:v>8.8007979210763911E-4</c:v>
                </c:pt>
                <c:pt idx="453">
                  <c:v>8.4802847566512016E-4</c:v>
                </c:pt>
                <c:pt idx="454">
                  <c:v>8.1376210189108226E-4</c:v>
                </c:pt>
                <c:pt idx="455">
                  <c:v>7.8823587728795732E-4</c:v>
                </c:pt>
                <c:pt idx="456">
                  <c:v>7.5380987750803133E-4</c:v>
                </c:pt>
                <c:pt idx="457">
                  <c:v>7.2598843184586365E-4</c:v>
                </c:pt>
                <c:pt idx="458">
                  <c:v>7.0176081462999785E-4</c:v>
                </c:pt>
                <c:pt idx="459">
                  <c:v>6.7189194475052866E-4</c:v>
                </c:pt>
                <c:pt idx="460">
                  <c:v>6.5028707241160724E-4</c:v>
                </c:pt>
                <c:pt idx="461">
                  <c:v>6.2377102363516659E-4</c:v>
                </c:pt>
                <c:pt idx="462">
                  <c:v>5.9717952275197136E-4</c:v>
                </c:pt>
                <c:pt idx="463">
                  <c:v>5.7559022787834549E-4</c:v>
                </c:pt>
                <c:pt idx="464">
                  <c:v>5.5648985991088769E-4</c:v>
                </c:pt>
                <c:pt idx="465">
                  <c:v>5.3232728556094813E-4</c:v>
                </c:pt>
                <c:pt idx="466">
                  <c:v>5.1722597851315956E-4</c:v>
                </c:pt>
                <c:pt idx="467">
                  <c:v>4.9329846904097292E-4</c:v>
                </c:pt>
                <c:pt idx="468">
                  <c:v>4.7879783408424079E-4</c:v>
                </c:pt>
                <c:pt idx="469">
                  <c:v>4.574569051526177E-4</c:v>
                </c:pt>
                <c:pt idx="470">
                  <c:v>4.4129954654294998E-4</c:v>
                </c:pt>
                <c:pt idx="471">
                  <c:v>4.2554826743959682E-4</c:v>
                </c:pt>
                <c:pt idx="472">
                  <c:v>4.0661608183428327E-4</c:v>
                </c:pt>
                <c:pt idx="473">
                  <c:v>3.9139808276312057E-4</c:v>
                </c:pt>
                <c:pt idx="474">
                  <c:v>3.7799874283905171E-4</c:v>
                </c:pt>
                <c:pt idx="475">
                  <c:v>3.6699998693173009E-4</c:v>
                </c:pt>
                <c:pt idx="476">
                  <c:v>3.5121405888687831E-4</c:v>
                </c:pt>
                <c:pt idx="477">
                  <c:v>3.381653178110788E-4</c:v>
                </c:pt>
                <c:pt idx="478">
                  <c:v>3.2261225765227295E-4</c:v>
                </c:pt>
                <c:pt idx="479">
                  <c:v>3.1730613225076172E-4</c:v>
                </c:pt>
                <c:pt idx="480">
                  <c:v>3.0089364467040305E-4</c:v>
                </c:pt>
                <c:pt idx="481">
                  <c:v>2.8995383696225446E-4</c:v>
                </c:pt>
                <c:pt idx="482">
                  <c:v>2.8019471377323951E-4</c:v>
                </c:pt>
                <c:pt idx="483">
                  <c:v>2.6931317266743913E-4</c:v>
                </c:pt>
                <c:pt idx="484">
                  <c:v>2.5944822991702152E-4</c:v>
                </c:pt>
                <c:pt idx="485">
                  <c:v>2.5126905809392982E-4</c:v>
                </c:pt>
                <c:pt idx="486">
                  <c:v>2.4415814040111366E-4</c:v>
                </c:pt>
                <c:pt idx="487">
                  <c:v>2.3133184142691944E-4</c:v>
                </c:pt>
                <c:pt idx="488">
                  <c:v>2.2483715343812053E-4</c:v>
                </c:pt>
                <c:pt idx="489">
                  <c:v>2.143453169712286E-4</c:v>
                </c:pt>
                <c:pt idx="490">
                  <c:v>2.0764750981993362E-4</c:v>
                </c:pt>
                <c:pt idx="491">
                  <c:v>1.9869711780708935E-4</c:v>
                </c:pt>
                <c:pt idx="492">
                  <c:v>1.8987495202408059E-4</c:v>
                </c:pt>
                <c:pt idx="493">
                  <c:v>1.8604390472171063E-4</c:v>
                </c:pt>
                <c:pt idx="494">
                  <c:v>1.8034396193928532E-4</c:v>
                </c:pt>
                <c:pt idx="495">
                  <c:v>1.6856932054355636E-4</c:v>
                </c:pt>
                <c:pt idx="496">
                  <c:v>1.6715406083759243E-4</c:v>
                </c:pt>
                <c:pt idx="497">
                  <c:v>1.6259571332727401E-4</c:v>
                </c:pt>
                <c:pt idx="498">
                  <c:v>1.5178447264737328E-4</c:v>
                </c:pt>
                <c:pt idx="499">
                  <c:v>1.4709849778598284E-4</c:v>
                </c:pt>
                <c:pt idx="500">
                  <c:v>1.4409712587289337E-4</c:v>
                </c:pt>
                <c:pt idx="501">
                  <c:v>1.4024398623072335E-4</c:v>
                </c:pt>
                <c:pt idx="502">
                  <c:v>1.2991735758449295E-4</c:v>
                </c:pt>
                <c:pt idx="503">
                  <c:v>1.2701334152077855E-4</c:v>
                </c:pt>
                <c:pt idx="504">
                  <c:v>1.2061562556955045E-4</c:v>
                </c:pt>
                <c:pt idx="505">
                  <c:v>1.1823770299286466E-4</c:v>
                </c:pt>
                <c:pt idx="506">
                  <c:v>1.1202838404359043E-4</c:v>
                </c:pt>
                <c:pt idx="507">
                  <c:v>1.1034611870770051E-4</c:v>
                </c:pt>
                <c:pt idx="508">
                  <c:v>1.0642864426620857E-4</c:v>
                </c:pt>
                <c:pt idx="509">
                  <c:v>1.0222400745762396E-4</c:v>
                </c:pt>
                <c:pt idx="510">
                  <c:v>1.0281125771606107E-4</c:v>
                </c:pt>
                <c:pt idx="511">
                  <c:v>9.450723456003308E-5</c:v>
                </c:pt>
                <c:pt idx="512">
                  <c:v>9.2395258822089221E-5</c:v>
                </c:pt>
                <c:pt idx="513">
                  <c:v>8.5868090759357805E-5</c:v>
                </c:pt>
                <c:pt idx="514">
                  <c:v>8.6079647164101917E-5</c:v>
                </c:pt>
                <c:pt idx="515">
                  <c:v>8.3284048008913601E-5</c:v>
                </c:pt>
                <c:pt idx="516">
                  <c:v>7.7994108877628781E-5</c:v>
                </c:pt>
                <c:pt idx="517">
                  <c:v>7.7390262067381403E-5</c:v>
                </c:pt>
                <c:pt idx="518">
                  <c:v>7.2576889811129202E-5</c:v>
                </c:pt>
                <c:pt idx="519">
                  <c:v>7.0385086180990293E-5</c:v>
                </c:pt>
                <c:pt idx="520">
                  <c:v>7.080730563541696E-5</c:v>
                </c:pt>
                <c:pt idx="521">
                  <c:v>6.7496955293759345E-5</c:v>
                </c:pt>
                <c:pt idx="522">
                  <c:v>6.2478801241979849E-5</c:v>
                </c:pt>
                <c:pt idx="523">
                  <c:v>6.5271735221234526E-5</c:v>
                </c:pt>
                <c:pt idx="524">
                  <c:v>5.8449912189421921E-5</c:v>
                </c:pt>
                <c:pt idx="525">
                  <c:v>5.5679570167057299E-5</c:v>
                </c:pt>
                <c:pt idx="526">
                  <c:v>5.6971373993778303E-5</c:v>
                </c:pt>
                <c:pt idx="527">
                  <c:v>5.2299775531434023E-5</c:v>
                </c:pt>
                <c:pt idx="528">
                  <c:v>5.4876492770373457E-5</c:v>
                </c:pt>
                <c:pt idx="529">
                  <c:v>4.9769189328076055E-5</c:v>
                </c:pt>
                <c:pt idx="530">
                  <c:v>4.5471570801195574E-5</c:v>
                </c:pt>
                <c:pt idx="531">
                  <c:v>4.4199199101424673E-5</c:v>
                </c:pt>
                <c:pt idx="532">
                  <c:v>4.1506298555187875E-5</c:v>
                </c:pt>
                <c:pt idx="533">
                  <c:v>4.1274205737375912E-5</c:v>
                </c:pt>
                <c:pt idx="534">
                  <c:v>3.970157574705438E-5</c:v>
                </c:pt>
                <c:pt idx="535">
                  <c:v>4.0014879503045581E-5</c:v>
                </c:pt>
                <c:pt idx="536">
                  <c:v>3.9989679445684149E-5</c:v>
                </c:pt>
                <c:pt idx="537">
                  <c:v>3.5880520786484076E-5</c:v>
                </c:pt>
                <c:pt idx="538">
                  <c:v>3.522221488624804E-5</c:v>
                </c:pt>
                <c:pt idx="539">
                  <c:v>3.6978530257754315E-5</c:v>
                </c:pt>
                <c:pt idx="540">
                  <c:v>3.0210279578313714E-5</c:v>
                </c:pt>
                <c:pt idx="541">
                  <c:v>3.3943402758227794E-5</c:v>
                </c:pt>
                <c:pt idx="542">
                  <c:v>2.9167557204825293E-5</c:v>
                </c:pt>
                <c:pt idx="543">
                  <c:v>2.8386459651378207E-5</c:v>
                </c:pt>
                <c:pt idx="544">
                  <c:v>2.9393210421568534E-5</c:v>
                </c:pt>
                <c:pt idx="545">
                  <c:v>2.7288893548916296E-5</c:v>
                </c:pt>
                <c:pt idx="546">
                  <c:v>2.7521983946547001E-5</c:v>
                </c:pt>
                <c:pt idx="547">
                  <c:v>2.2939927371921282E-5</c:v>
                </c:pt>
                <c:pt idx="548">
                  <c:v>2.8994417135679677E-5</c:v>
                </c:pt>
                <c:pt idx="549">
                  <c:v>2.522726539972639E-5</c:v>
                </c:pt>
                <c:pt idx="550">
                  <c:v>2.3243351696266451E-5</c:v>
                </c:pt>
                <c:pt idx="551">
                  <c:v>1.803895917034156E-5</c:v>
                </c:pt>
                <c:pt idx="552">
                  <c:v>2.0175583236178282E-5</c:v>
                </c:pt>
                <c:pt idx="553">
                  <c:v>2.1879554204931897E-5</c:v>
                </c:pt>
                <c:pt idx="554">
                  <c:v>1.977368347349898E-5</c:v>
                </c:pt>
                <c:pt idx="555">
                  <c:v>1.7209067059740584E-5</c:v>
                </c:pt>
                <c:pt idx="556">
                  <c:v>1.5849044407131415E-5</c:v>
                </c:pt>
                <c:pt idx="557">
                  <c:v>1.9655333366587035E-5</c:v>
                </c:pt>
                <c:pt idx="558">
                  <c:v>1.8489709738456406E-5</c:v>
                </c:pt>
                <c:pt idx="559">
                  <c:v>1.5142886935639795E-5</c:v>
                </c:pt>
                <c:pt idx="560">
                  <c:v>1.5813683263125385E-5</c:v>
                </c:pt>
                <c:pt idx="561">
                  <c:v>1.3733847627882267E-5</c:v>
                </c:pt>
                <c:pt idx="562">
                  <c:v>1.6301404668718289E-5</c:v>
                </c:pt>
                <c:pt idx="563">
                  <c:v>1.7780777076009672E-5</c:v>
                </c:pt>
                <c:pt idx="564">
                  <c:v>1.6488310264027708E-5</c:v>
                </c:pt>
                <c:pt idx="565">
                  <c:v>1.2406243424249971E-5</c:v>
                </c:pt>
                <c:pt idx="566">
                  <c:v>1.2355561240938235E-5</c:v>
                </c:pt>
                <c:pt idx="567">
                  <c:v>1.4686252218237553E-5</c:v>
                </c:pt>
                <c:pt idx="568">
                  <c:v>1.1342482952652183E-5</c:v>
                </c:pt>
                <c:pt idx="569">
                  <c:v>1.1487976784569902E-5</c:v>
                </c:pt>
                <c:pt idx="570">
                  <c:v>1.2806867054039258E-5</c:v>
                </c:pt>
                <c:pt idx="571">
                  <c:v>7.2933325245800752E-6</c:v>
                </c:pt>
                <c:pt idx="572">
                  <c:v>8.7241326795071903E-6</c:v>
                </c:pt>
                <c:pt idx="573">
                  <c:v>1.0770107262785144E-5</c:v>
                </c:pt>
                <c:pt idx="574">
                  <c:v>7.0576875864226532E-6</c:v>
                </c:pt>
                <c:pt idx="575">
                  <c:v>8.0995767822390795E-6</c:v>
                </c:pt>
                <c:pt idx="576">
                  <c:v>8.4992568057445953E-6</c:v>
                </c:pt>
                <c:pt idx="577">
                  <c:v>9.6492818754740069E-6</c:v>
                </c:pt>
                <c:pt idx="578">
                  <c:v>1.2520151778067659E-5</c:v>
                </c:pt>
                <c:pt idx="579">
                  <c:v>6.6361915014416638E-6</c:v>
                </c:pt>
                <c:pt idx="580">
                  <c:v>7.2122861953427421E-6</c:v>
                </c:pt>
                <c:pt idx="581">
                  <c:v>7.8304585330286272E-6</c:v>
                </c:pt>
                <c:pt idx="582">
                  <c:v>5.5370152919174182E-6</c:v>
                </c:pt>
                <c:pt idx="583">
                  <c:v>6.2319036683339213E-6</c:v>
                </c:pt>
                <c:pt idx="584">
                  <c:v>1.0486334268252396E-5</c:v>
                </c:pt>
                <c:pt idx="585">
                  <c:v>4.7715719247677451E-6</c:v>
                </c:pt>
                <c:pt idx="586">
                  <c:v>7.2447052647050735E-6</c:v>
                </c:pt>
                <c:pt idx="587">
                  <c:v>8.0908055658187212E-6</c:v>
                </c:pt>
                <c:pt idx="588">
                  <c:v>6.5432101967361093E-6</c:v>
                </c:pt>
                <c:pt idx="589">
                  <c:v>3.1398220952961331E-6</c:v>
                </c:pt>
                <c:pt idx="590">
                  <c:v>4.6358474060770088E-6</c:v>
                </c:pt>
                <c:pt idx="591">
                  <c:v>6.7230666622629288E-6</c:v>
                </c:pt>
                <c:pt idx="592">
                  <c:v>5.8372750300341137E-6</c:v>
                </c:pt>
                <c:pt idx="593">
                  <c:v>6.0856876043438686E-6</c:v>
                </c:pt>
                <c:pt idx="594">
                  <c:v>8.2672758641104778E-6</c:v>
                </c:pt>
                <c:pt idx="595">
                  <c:v>4.9875660501006281E-6</c:v>
                </c:pt>
                <c:pt idx="596">
                  <c:v>1.7194023332735233E-6</c:v>
                </c:pt>
                <c:pt idx="597">
                  <c:v>6.4616644572039474E-6</c:v>
                </c:pt>
                <c:pt idx="598">
                  <c:v>7.452925236448453E-7</c:v>
                </c:pt>
                <c:pt idx="599">
                  <c:v>4.170996924035737E-6</c:v>
                </c:pt>
                <c:pt idx="600">
                  <c:v>4.5758395885393494E-6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9E-489A-9257-5310D956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23296"/>
        <c:axId val="194825216"/>
      </c:scatterChart>
      <c:valAx>
        <c:axId val="194823296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Swap Rate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825216"/>
        <c:crosses val="autoZero"/>
        <c:crossBetween val="midCat"/>
      </c:valAx>
      <c:valAx>
        <c:axId val="194825216"/>
        <c:scaling>
          <c:orientation val="minMax"/>
          <c:max val="200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Density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8232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91776027996496E-2"/>
          <c:y val="5.4518431221528059E-2"/>
          <c:w val="0.85238123359580054"/>
          <c:h val="0.7821760510501801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Densities!$V$4</c:f>
              <c:strCache>
                <c:ptCount val="1"/>
                <c:pt idx="0">
                  <c:v>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Densities!$V$5:$V$605</c:f>
              <c:numCache>
                <c:formatCode>0.00%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7.8627435887097222E-4</c:v>
                </c:pt>
                <c:pt idx="102">
                  <c:v>9.3563493563069474E-4</c:v>
                </c:pt>
                <c:pt idx="103">
                  <c:v>1.0479011714574083E-3</c:v>
                </c:pt>
                <c:pt idx="104">
                  <c:v>1.142224420374526E-3</c:v>
                </c:pt>
                <c:pt idx="105">
                  <c:v>1.2255256010862796E-3</c:v>
                </c:pt>
                <c:pt idx="106">
                  <c:v>1.3012068409753686E-3</c:v>
                </c:pt>
                <c:pt idx="107">
                  <c:v>1.3712289951778203E-3</c:v>
                </c:pt>
                <c:pt idx="108">
                  <c:v>1.4368403971713362E-3</c:v>
                </c:pt>
                <c:pt idx="109">
                  <c:v>1.4988921801127281E-3</c:v>
                </c:pt>
                <c:pt idx="110">
                  <c:v>1.5579946087515783E-3</c:v>
                </c:pt>
                <c:pt idx="111">
                  <c:v>1.6146024493949751E-3</c:v>
                </c:pt>
                <c:pt idx="112">
                  <c:v>1.6690650976270416E-3</c:v>
                </c:pt>
                <c:pt idx="113">
                  <c:v>1.7216577289726408E-3</c:v>
                </c:pt>
                <c:pt idx="114">
                  <c:v>1.7726015595696347E-3</c:v>
                </c:pt>
                <c:pt idx="115">
                  <c:v>1.8220775274859651E-3</c:v>
                </c:pt>
                <c:pt idx="116">
                  <c:v>1.8702358261531856E-3</c:v>
                </c:pt>
                <c:pt idx="117">
                  <c:v>1.9172027274254203E-3</c:v>
                </c:pt>
                <c:pt idx="118">
                  <c:v>1.9630855785584566E-3</c:v>
                </c:pt>
                <c:pt idx="119">
                  <c:v>2.0079765359166512E-3</c:v>
                </c:pt>
                <c:pt idx="120">
                  <c:v>2.051955404331016E-3</c:v>
                </c:pt>
                <c:pt idx="121">
                  <c:v>2.0950918302718694E-3</c:v>
                </c:pt>
                <c:pt idx="122">
                  <c:v>2.1374470196245617E-3</c:v>
                </c:pt>
                <c:pt idx="123">
                  <c:v>2.1790751000203561E-3</c:v>
                </c:pt>
                <c:pt idx="124">
                  <c:v>2.2200242135183199E-3</c:v>
                </c:pt>
                <c:pt idx="125">
                  <c:v>2.2603374020187263E-3</c:v>
                </c:pt>
                <c:pt idx="126">
                  <c:v>2.3000533314425759E-3</c:v>
                </c:pt>
                <c:pt idx="127">
                  <c:v>2.3392068891118691E-3</c:v>
                </c:pt>
                <c:pt idx="128">
                  <c:v>2.3778296804087768E-3</c:v>
                </c:pt>
                <c:pt idx="129">
                  <c:v>2.4159504446891866E-3</c:v>
                </c:pt>
                <c:pt idx="130">
                  <c:v>2.4535954059123981E-3</c:v>
                </c:pt>
                <c:pt idx="131">
                  <c:v>2.4907885700714686E-3</c:v>
                </c:pt>
                <c:pt idx="132">
                  <c:v>2.5275519789542083E-3</c:v>
                </c:pt>
                <c:pt idx="133">
                  <c:v>2.5639059278131445E-3</c:v>
                </c:pt>
                <c:pt idx="134">
                  <c:v>2.5998691530177693E-3</c:v>
                </c:pt>
                <c:pt idx="135">
                  <c:v>2.6354589945917274E-3</c:v>
                </c:pt>
                <c:pt idx="136">
                  <c:v>2.670691537619506E-3</c:v>
                </c:pt>
                <c:pt idx="137">
                  <c:v>2.7055817357818355E-3</c:v>
                </c:pt>
                <c:pt idx="138">
                  <c:v>2.7401435197016346E-3</c:v>
                </c:pt>
                <c:pt idx="139">
                  <c:v>2.7743898923199102E-3</c:v>
                </c:pt>
                <c:pt idx="140">
                  <c:v>2.8083330131479893E-3</c:v>
                </c:pt>
                <c:pt idx="141">
                  <c:v>2.8419842729400032E-3</c:v>
                </c:pt>
                <c:pt idx="142">
                  <c:v>2.8753543600827805E-3</c:v>
                </c:pt>
                <c:pt idx="143">
                  <c:v>2.9084533197978493E-3</c:v>
                </c:pt>
                <c:pt idx="144">
                  <c:v>2.9412906070834708E-3</c:v>
                </c:pt>
                <c:pt idx="145">
                  <c:v>2.973875134186408E-3</c:v>
                </c:pt>
                <c:pt idx="146">
                  <c:v>3.0062153132780892E-3</c:v>
                </c:pt>
                <c:pt idx="147">
                  <c:v>3.0383190949138292E-3</c:v>
                </c:pt>
                <c:pt idx="148">
                  <c:v>3.0701940027729668E-3</c:v>
                </c:pt>
                <c:pt idx="149">
                  <c:v>3.1018471651099431E-3</c:v>
                </c:pt>
                <c:pt idx="150">
                  <c:v>3.1332853432887464E-3</c:v>
                </c:pt>
                <c:pt idx="151">
                  <c:v>3.1645149577244022E-3</c:v>
                </c:pt>
                <c:pt idx="152">
                  <c:v>3.1955421115136317E-3</c:v>
                </c:pt>
                <c:pt idx="153">
                  <c:v>3.2263726120011532E-3</c:v>
                </c:pt>
                <c:pt idx="154">
                  <c:v>3.257011990497776E-3</c:v>
                </c:pt>
                <c:pt idx="155">
                  <c:v>3.2874655203400764E-3</c:v>
                </c:pt>
                <c:pt idx="156">
                  <c:v>3.3177382334589663E-3</c:v>
                </c:pt>
                <c:pt idx="157">
                  <c:v>3.3478349356047968E-3</c:v>
                </c:pt>
                <c:pt idx="158">
                  <c:v>3.3777602203597435E-3</c:v>
                </c:pt>
                <c:pt idx="159">
                  <c:v>3.4075184820533929E-3</c:v>
                </c:pt>
                <c:pt idx="160">
                  <c:v>3.4371139276846647E-3</c:v>
                </c:pt>
                <c:pt idx="161">
                  <c:v>3.4665505879418355E-3</c:v>
                </c:pt>
                <c:pt idx="162">
                  <c:v>3.4958323274027199E-3</c:v>
                </c:pt>
                <c:pt idx="163">
                  <c:v>3.5249628539882477E-3</c:v>
                </c:pt>
                <c:pt idx="164">
                  <c:v>3.5539457277351792E-3</c:v>
                </c:pt>
                <c:pt idx="165">
                  <c:v>3.5827843689469193E-3</c:v>
                </c:pt>
                <c:pt idx="166">
                  <c:v>3.6114820657754377E-3</c:v>
                </c:pt>
                <c:pt idx="167">
                  <c:v>3.6400419812821537E-3</c:v>
                </c:pt>
                <c:pt idx="168">
                  <c:v>3.6684671600207509E-3</c:v>
                </c:pt>
                <c:pt idx="169">
                  <c:v>3.6967605341810192E-3</c:v>
                </c:pt>
                <c:pt idx="170">
                  <c:v>3.7249249293288774E-3</c:v>
                </c:pt>
                <c:pt idx="171">
                  <c:v>3.7529630697746242E-3</c:v>
                </c:pt>
                <c:pt idx="172">
                  <c:v>3.7808775835983257E-3</c:v>
                </c:pt>
                <c:pt idx="173">
                  <c:v>3.808671007358857E-3</c:v>
                </c:pt>
                <c:pt idx="174">
                  <c:v>3.8363457905104849E-3</c:v>
                </c:pt>
                <c:pt idx="175">
                  <c:v>3.8639042995489464E-3</c:v>
                </c:pt>
                <c:pt idx="176">
                  <c:v>3.8913488219069849E-3</c:v>
                </c:pt>
                <c:pt idx="177">
                  <c:v>3.9186815696176233E-3</c:v>
                </c:pt>
                <c:pt idx="178">
                  <c:v>3.9459046827618315E-3</c:v>
                </c:pt>
                <c:pt idx="179">
                  <c:v>3.9730202327159722E-3</c:v>
                </c:pt>
                <c:pt idx="180">
                  <c:v>4.0000302252129766E-3</c:v>
                </c:pt>
                <c:pt idx="181">
                  <c:v>4.0269366032301933E-3</c:v>
                </c:pt>
                <c:pt idx="182">
                  <c:v>4.0537412497157694E-3</c:v>
                </c:pt>
                <c:pt idx="183">
                  <c:v>4.0804459901644082E-3</c:v>
                </c:pt>
                <c:pt idx="184">
                  <c:v>4.1070525950526139E-3</c:v>
                </c:pt>
                <c:pt idx="185">
                  <c:v>4.1335627821426539E-3</c:v>
                </c:pt>
                <c:pt idx="186">
                  <c:v>4.1599782186637468E-3</c:v>
                </c:pt>
                <c:pt idx="187">
                  <c:v>4.1863005233784964E-3</c:v>
                </c:pt>
                <c:pt idx="188">
                  <c:v>4.2125312685417282E-3</c:v>
                </c:pt>
                <c:pt idx="189">
                  <c:v>4.2386719817586096E-3</c:v>
                </c:pt>
                <c:pt idx="190">
                  <c:v>4.2647241477482261E-3</c:v>
                </c:pt>
                <c:pt idx="191">
                  <c:v>4.290689210018515E-3</c:v>
                </c:pt>
                <c:pt idx="192">
                  <c:v>4.3165685724578795E-3</c:v>
                </c:pt>
                <c:pt idx="193">
                  <c:v>4.342363600848529E-3</c:v>
                </c:pt>
                <c:pt idx="194">
                  <c:v>4.3680756243061579E-3</c:v>
                </c:pt>
                <c:pt idx="195">
                  <c:v>4.3937059366503757E-3</c:v>
                </c:pt>
                <c:pt idx="196">
                  <c:v>4.419255797709863E-3</c:v>
                </c:pt>
                <c:pt idx="197">
                  <c:v>4.4447264345659869E-3</c:v>
                </c:pt>
                <c:pt idx="198">
                  <c:v>4.4701190427385061E-3</c:v>
                </c:pt>
                <c:pt idx="199">
                  <c:v>4.4954347873164555E-3</c:v>
                </c:pt>
                <c:pt idx="200">
                  <c:v>4.5206748040374526E-3</c:v>
                </c:pt>
                <c:pt idx="201">
                  <c:v>4.5458402003181707E-3</c:v>
                </c:pt>
                <c:pt idx="202">
                  <c:v>4.570932056238642E-3</c:v>
                </c:pt>
                <c:pt idx="203">
                  <c:v>4.5959514254829952E-3</c:v>
                </c:pt>
                <c:pt idx="204">
                  <c:v>4.6208993362388375E-3</c:v>
                </c:pt>
                <c:pt idx="205">
                  <c:v>4.6457767920575887E-3</c:v>
                </c:pt>
                <c:pt idx="206">
                  <c:v>4.6705847726777518E-3</c:v>
                </c:pt>
                <c:pt idx="207">
                  <c:v>4.6953242348130872E-3</c:v>
                </c:pt>
                <c:pt idx="208">
                  <c:v>4.7199961129075069E-3</c:v>
                </c:pt>
                <c:pt idx="209">
                  <c:v>4.744601319858344E-3</c:v>
                </c:pt>
                <c:pt idx="210">
                  <c:v>4.7691407477096865E-3</c:v>
                </c:pt>
                <c:pt idx="211">
                  <c:v>4.7936152683171925E-3</c:v>
                </c:pt>
                <c:pt idx="212">
                  <c:v>4.8180257339858444E-3</c:v>
                </c:pt>
                <c:pt idx="213">
                  <c:v>4.8423729780820305E-3</c:v>
                </c:pt>
                <c:pt idx="214">
                  <c:v>4.8666578156210567E-3</c:v>
                </c:pt>
                <c:pt idx="215">
                  <c:v>4.890881043831498E-3</c:v>
                </c:pt>
                <c:pt idx="216">
                  <c:v>4.9150434426972929E-3</c:v>
                </c:pt>
                <c:pt idx="217">
                  <c:v>4.9391457754787566E-3</c:v>
                </c:pt>
                <c:pt idx="218">
                  <c:v>4.9631887892134944E-3</c:v>
                </c:pt>
                <c:pt idx="219">
                  <c:v>4.9871732151981658E-3</c:v>
                </c:pt>
                <c:pt idx="220">
                  <c:v>5.0110997694518961E-3</c:v>
                </c:pt>
                <c:pt idx="221">
                  <c:v>5.0349691531623242E-3</c:v>
                </c:pt>
                <c:pt idx="222">
                  <c:v>5.0587820531149815E-3</c:v>
                </c:pt>
                <c:pt idx="223">
                  <c:v>5.0825391421067583E-3</c:v>
                </c:pt>
                <c:pt idx="224">
                  <c:v>5.1062410793442543E-3</c:v>
                </c:pt>
                <c:pt idx="225">
                  <c:v>5.1298885108275356E-3</c:v>
                </c:pt>
                <c:pt idx="226">
                  <c:v>5.1534820697201594E-3</c:v>
                </c:pt>
                <c:pt idx="227">
                  <c:v>5.1770223767057914E-3</c:v>
                </c:pt>
                <c:pt idx="228">
                  <c:v>5.2005100403323271E-3</c:v>
                </c:pt>
                <c:pt idx="229">
                  <c:v>5.2239456573437123E-3</c:v>
                </c:pt>
                <c:pt idx="230">
                  <c:v>5.2473298130002793E-3</c:v>
                </c:pt>
                <c:pt idx="231">
                  <c:v>5.2706630813878809E-3</c:v>
                </c:pt>
                <c:pt idx="232">
                  <c:v>5.2939460257164636E-3</c:v>
                </c:pt>
                <c:pt idx="233">
                  <c:v>5.3171791986083433E-3</c:v>
                </c:pt>
                <c:pt idx="234">
                  <c:v>5.3403631423767778E-3</c:v>
                </c:pt>
                <c:pt idx="235">
                  <c:v>5.3634983892951122E-3</c:v>
                </c:pt>
                <c:pt idx="236">
                  <c:v>5.3865854618569643E-3</c:v>
                </c:pt>
                <c:pt idx="237">
                  <c:v>5.4096248730277604E-3</c:v>
                </c:pt>
                <c:pt idx="238">
                  <c:v>5.4326171264880221E-3</c:v>
                </c:pt>
                <c:pt idx="239">
                  <c:v>5.4555627168686414E-3</c:v>
                </c:pt>
                <c:pt idx="240">
                  <c:v>5.4784621299786016E-3</c:v>
                </c:pt>
                <c:pt idx="241">
                  <c:v>5.5013158430252994E-3</c:v>
                </c:pt>
                <c:pt idx="242">
                  <c:v>5.5241243248278626E-3</c:v>
                </c:pt>
                <c:pt idx="243">
                  <c:v>5.5468880360236552E-3</c:v>
                </c:pt>
                <c:pt idx="244">
                  <c:v>5.5696074292683438E-3</c:v>
                </c:pt>
                <c:pt idx="245">
                  <c:v>5.592282949429578E-3</c:v>
                </c:pt>
                <c:pt idx="246">
                  <c:v>5.6149150337748335E-3</c:v>
                </c:pt>
                <c:pt idx="247">
                  <c:v>5.637504112153224E-3</c:v>
                </c:pt>
                <c:pt idx="248">
                  <c:v>5.6600506071719774E-3</c:v>
                </c:pt>
                <c:pt idx="249">
                  <c:v>5.682554934367345E-3</c:v>
                </c:pt>
                <c:pt idx="250">
                  <c:v>5.7050175023704523E-3</c:v>
                </c:pt>
                <c:pt idx="251">
                  <c:v>5.727438713068145E-3</c:v>
                </c:pt>
                <c:pt idx="252">
                  <c:v>5.7498189617589887E-3</c:v>
                </c:pt>
                <c:pt idx="253">
                  <c:v>5.772158637304751E-3</c:v>
                </c:pt>
                <c:pt idx="254">
                  <c:v>5.7944581222772523E-3</c:v>
                </c:pt>
                <c:pt idx="255">
                  <c:v>5.8167177931011211E-3</c:v>
                </c:pt>
                <c:pt idx="256">
                  <c:v>5.8389380201922395E-3</c:v>
                </c:pt>
                <c:pt idx="257">
                  <c:v>5.8611191680922959E-3</c:v>
                </c:pt>
                <c:pt idx="258">
                  <c:v>5.8832615955993744E-3</c:v>
                </c:pt>
                <c:pt idx="259">
                  <c:v>5.905365655894966E-3</c:v>
                </c:pt>
                <c:pt idx="260">
                  <c:v>5.9274316966671991E-3</c:v>
                </c:pt>
                <c:pt idx="261">
                  <c:v>5.949460060230778E-3</c:v>
                </c:pt>
                <c:pt idx="262">
                  <c:v>5.9714510836434611E-3</c:v>
                </c:pt>
                <c:pt idx="263">
                  <c:v>5.9934050988193471E-3</c:v>
                </c:pt>
                <c:pt idx="264">
                  <c:v>6.0153224326389429E-3</c:v>
                </c:pt>
                <c:pt idx="265">
                  <c:v>6.0372034070563883E-3</c:v>
                </c:pt>
                <c:pt idx="266">
                  <c:v>6.059048339203568E-3</c:v>
                </c:pt>
                <c:pt idx="267">
                  <c:v>6.080857541491509E-3</c:v>
                </c:pt>
                <c:pt idx="268">
                  <c:v>6.1026313217089909E-3</c:v>
                </c:pt>
                <c:pt idx="269">
                  <c:v>6.1243699831185668E-3</c:v>
                </c:pt>
                <c:pt idx="270">
                  <c:v>6.1460738245500066E-3</c:v>
                </c:pt>
                <c:pt idx="271">
                  <c:v>6.1677431404912149E-3</c:v>
                </c:pt>
                <c:pt idx="272">
                  <c:v>6.1893782211768231E-3</c:v>
                </c:pt>
                <c:pt idx="273">
                  <c:v>6.2109793526744193E-3</c:v>
                </c:pt>
                <c:pt idx="274">
                  <c:v>6.2325468169686067E-3</c:v>
                </c:pt>
                <c:pt idx="275">
                  <c:v>6.2540808920427925E-3</c:v>
                </c:pt>
                <c:pt idx="276">
                  <c:v>6.2755818519589076E-3</c:v>
                </c:pt>
                <c:pt idx="277">
                  <c:v>6.2970499669351308E-3</c:v>
                </c:pt>
                <c:pt idx="278">
                  <c:v>6.318485503421567E-3</c:v>
                </c:pt>
                <c:pt idx="279">
                  <c:v>6.339888724174121E-3</c:v>
                </c:pt>
                <c:pt idx="280">
                  <c:v>6.3612598883263033E-3</c:v>
                </c:pt>
                <c:pt idx="281">
                  <c:v>6.382599251459572E-3</c:v>
                </c:pt>
                <c:pt idx="282">
                  <c:v>6.4039070656716031E-3</c:v>
                </c:pt>
                <c:pt idx="283">
                  <c:v>6.4251835796430186E-3</c:v>
                </c:pt>
                <c:pt idx="284">
                  <c:v>6.4464290387024554E-3</c:v>
                </c:pt>
                <c:pt idx="285">
                  <c:v>6.4676436848901762E-3</c:v>
                </c:pt>
                <c:pt idx="286">
                  <c:v>6.4888277570197845E-3</c:v>
                </c:pt>
                <c:pt idx="287">
                  <c:v>6.5099814907389492E-3</c:v>
                </c:pt>
                <c:pt idx="288">
                  <c:v>6.5311051185881269E-3</c:v>
                </c:pt>
                <c:pt idx="289">
                  <c:v>6.5521988700582333E-3</c:v>
                </c:pt>
                <c:pt idx="290">
                  <c:v>6.5732629716469945E-3</c:v>
                </c:pt>
                <c:pt idx="291">
                  <c:v>6.5942976469136032E-3</c:v>
                </c:pt>
                <c:pt idx="292">
                  <c:v>6.6153031165324836E-3</c:v>
                </c:pt>
                <c:pt idx="293">
                  <c:v>6.6362795983454558E-3</c:v>
                </c:pt>
                <c:pt idx="294">
                  <c:v>6.6572273074130325E-3</c:v>
                </c:pt>
                <c:pt idx="295">
                  <c:v>6.678146456064211E-3</c:v>
                </c:pt>
                <c:pt idx="296">
                  <c:v>6.699037253945367E-3</c:v>
                </c:pt>
                <c:pt idx="297">
                  <c:v>6.7198999080677248E-3</c:v>
                </c:pt>
                <c:pt idx="298">
                  <c:v>6.7407346228541866E-3</c:v>
                </c:pt>
                <c:pt idx="299">
                  <c:v>6.7615416001846245E-3</c:v>
                </c:pt>
                <c:pt idx="300">
                  <c:v>6.7823210394404284E-3</c:v>
                </c:pt>
                <c:pt idx="301">
                  <c:v>6.8030731375481957E-3</c:v>
                </c:pt>
                <c:pt idx="302">
                  <c:v>6.823798089021821E-3</c:v>
                </c:pt>
                <c:pt idx="303">
                  <c:v>6.8444960860045397E-3</c:v>
                </c:pt>
                <c:pt idx="304">
                  <c:v>6.8651673183092185E-3</c:v>
                </c:pt>
                <c:pt idx="305">
                  <c:v>6.8858119734582475E-3</c:v>
                </c:pt>
                <c:pt idx="306">
                  <c:v>6.9064302367225338E-3</c:v>
                </c:pt>
                <c:pt idx="307">
                  <c:v>6.9270222911593324E-3</c:v>
                </c:pt>
                <c:pt idx="308">
                  <c:v>6.947588317649551E-3</c:v>
                </c:pt>
                <c:pt idx="309">
                  <c:v>6.968128494934168E-3</c:v>
                </c:pt>
                <c:pt idx="310">
                  <c:v>6.9886429996499008E-3</c:v>
                </c:pt>
                <c:pt idx="311">
                  <c:v>7.0091320063638395E-3</c:v>
                </c:pt>
                <c:pt idx="312">
                  <c:v>7.0295956876079363E-3</c:v>
                </c:pt>
                <c:pt idx="313">
                  <c:v>7.0500342139119335E-3</c:v>
                </c:pt>
                <c:pt idx="314">
                  <c:v>7.0704477538366612E-3</c:v>
                </c:pt>
                <c:pt idx="315">
                  <c:v>7.0908364740054821E-3</c:v>
                </c:pt>
                <c:pt idx="316">
                  <c:v>7.1112005391358781E-3</c:v>
                </c:pt>
                <c:pt idx="317">
                  <c:v>7.1315401120701062E-3</c:v>
                </c:pt>
                <c:pt idx="318">
                  <c:v>7.1518553538052598E-3</c:v>
                </c:pt>
                <c:pt idx="319">
                  <c:v>7.1721464235227133E-3</c:v>
                </c:pt>
                <c:pt idx="320">
                  <c:v>7.1924134786170131E-3</c:v>
                </c:pt>
                <c:pt idx="321">
                  <c:v>7.2126566747237495E-3</c:v>
                </c:pt>
                <c:pt idx="322">
                  <c:v>7.2328761657478166E-3</c:v>
                </c:pt>
                <c:pt idx="323">
                  <c:v>7.2530721038900712E-3</c:v>
                </c:pt>
                <c:pt idx="324">
                  <c:v>7.2732446396740445E-3</c:v>
                </c:pt>
                <c:pt idx="325">
                  <c:v>7.2933939219720018E-3</c:v>
                </c:pt>
                <c:pt idx="326">
                  <c:v>7.3135200980303447E-3</c:v>
                </c:pt>
                <c:pt idx="327">
                  <c:v>7.3336233134947172E-3</c:v>
                </c:pt>
                <c:pt idx="328">
                  <c:v>7.3537037124345693E-3</c:v>
                </c:pt>
                <c:pt idx="329">
                  <c:v>7.3737614373667942E-3</c:v>
                </c:pt>
                <c:pt idx="330">
                  <c:v>7.3937966292800779E-3</c:v>
                </c:pt>
                <c:pt idx="331">
                  <c:v>7.4138094276569493E-3</c:v>
                </c:pt>
                <c:pt idx="332">
                  <c:v>7.4337999704973444E-3</c:v>
                </c:pt>
                <c:pt idx="333">
                  <c:v>7.4537683943403923E-3</c:v>
                </c:pt>
                <c:pt idx="334">
                  <c:v>7.4737148342861265E-3</c:v>
                </c:pt>
                <c:pt idx="335">
                  <c:v>7.4936394240171893E-3</c:v>
                </c:pt>
                <c:pt idx="336">
                  <c:v>7.5135422958192959E-3</c:v>
                </c:pt>
                <c:pt idx="337">
                  <c:v>7.5334235806022807E-3</c:v>
                </c:pt>
                <c:pt idx="338">
                  <c:v>7.5532834079199244E-3</c:v>
                </c:pt>
                <c:pt idx="339">
                  <c:v>7.5731219059900576E-3</c:v>
                </c:pt>
                <c:pt idx="340">
                  <c:v>7.5929392017135156E-3</c:v>
                </c:pt>
                <c:pt idx="341">
                  <c:v>7.6127354206936473E-3</c:v>
                </c:pt>
                <c:pt idx="342">
                  <c:v>7.6325106872550128E-3</c:v>
                </c:pt>
                <c:pt idx="343">
                  <c:v>7.6522651244611967E-3</c:v>
                </c:pt>
                <c:pt idx="344">
                  <c:v>7.6719988541334829E-3</c:v>
                </c:pt>
                <c:pt idx="345">
                  <c:v>7.6917119968678456E-3</c:v>
                </c:pt>
                <c:pt idx="346">
                  <c:v>7.7114046720530918E-3</c:v>
                </c:pt>
                <c:pt idx="347">
                  <c:v>7.7310769978874341E-3</c:v>
                </c:pt>
                <c:pt idx="348">
                  <c:v>7.7507290913952226E-3</c:v>
                </c:pt>
                <c:pt idx="349">
                  <c:v>7.7703610684433698E-3</c:v>
                </c:pt>
                <c:pt idx="350">
                  <c:v>7.7899730437579195E-3</c:v>
                </c:pt>
                <c:pt idx="351">
                  <c:v>7.8095651309390973E-3</c:v>
                </c:pt>
                <c:pt idx="352">
                  <c:v>7.8291374424776933E-3</c:v>
                </c:pt>
                <c:pt idx="353">
                  <c:v>7.8486900897695305E-3</c:v>
                </c:pt>
                <c:pt idx="354">
                  <c:v>7.8682231831316216E-3</c:v>
                </c:pt>
                <c:pt idx="355">
                  <c:v>7.8877368318154093E-3</c:v>
                </c:pt>
                <c:pt idx="356">
                  <c:v>7.9072311440228117E-3</c:v>
                </c:pt>
                <c:pt idx="357">
                  <c:v>7.926706226918984E-3</c:v>
                </c:pt>
                <c:pt idx="358">
                  <c:v>7.9461621866474732E-3</c:v>
                </c:pt>
                <c:pt idx="359">
                  <c:v>7.9655991283436346E-3</c:v>
                </c:pt>
                <c:pt idx="360">
                  <c:v>7.9850171561477688E-3</c:v>
                </c:pt>
                <c:pt idx="361">
                  <c:v>8.0044163732186924E-3</c:v>
                </c:pt>
                <c:pt idx="362">
                  <c:v>8.0237968817468506E-3</c:v>
                </c:pt>
                <c:pt idx="363">
                  <c:v>8.0431587829671494E-3</c:v>
                </c:pt>
                <c:pt idx="364">
                  <c:v>8.0625021771708397E-3</c:v>
                </c:pt>
                <c:pt idx="365">
                  <c:v>8.0818271637191127E-3</c:v>
                </c:pt>
                <c:pt idx="366">
                  <c:v>8.1011338410547536E-3</c:v>
                </c:pt>
                <c:pt idx="367">
                  <c:v>8.1204223067135265E-3</c:v>
                </c:pt>
                <c:pt idx="368">
                  <c:v>8.1396926573370377E-3</c:v>
                </c:pt>
                <c:pt idx="369">
                  <c:v>8.1589449886829927E-3</c:v>
                </c:pt>
                <c:pt idx="370">
                  <c:v>8.1781793956384602E-3</c:v>
                </c:pt>
                <c:pt idx="371">
                  <c:v>8.1973959722286445E-3</c:v>
                </c:pt>
                <c:pt idx="372">
                  <c:v>8.2165948116303643E-3</c:v>
                </c:pt>
                <c:pt idx="373">
                  <c:v>8.2357760061808668E-3</c:v>
                </c:pt>
                <c:pt idx="374">
                  <c:v>8.2549396473895562E-3</c:v>
                </c:pt>
                <c:pt idx="375">
                  <c:v>8.2740858259486953E-3</c:v>
                </c:pt>
                <c:pt idx="376">
                  <c:v>8.2932146317427052E-3</c:v>
                </c:pt>
                <c:pt idx="377">
                  <c:v>8.3123261538590853E-3</c:v>
                </c:pt>
                <c:pt idx="378">
                  <c:v>8.3314204805977985E-3</c:v>
                </c:pt>
                <c:pt idx="379">
                  <c:v>8.350497699481943E-3</c:v>
                </c:pt>
                <c:pt idx="380">
                  <c:v>8.3695578972671578E-3</c:v>
                </c:pt>
                <c:pt idx="381">
                  <c:v>8.3886011599498909E-3</c:v>
                </c:pt>
                <c:pt idx="382">
                  <c:v>8.4076275727783829E-3</c:v>
                </c:pt>
                <c:pt idx="383">
                  <c:v>8.4266372202614782E-3</c:v>
                </c:pt>
                <c:pt idx="384">
                  <c:v>8.4456301861770521E-3</c:v>
                </c:pt>
                <c:pt idx="385">
                  <c:v>8.4646065535807294E-3</c:v>
                </c:pt>
                <c:pt idx="386">
                  <c:v>8.4835664048168152E-3</c:v>
                </c:pt>
                <c:pt idx="387">
                  <c:v>8.5025098215240451E-3</c:v>
                </c:pt>
                <c:pt idx="388">
                  <c:v>8.521436884645496E-3</c:v>
                </c:pt>
                <c:pt idx="389">
                  <c:v>8.5403476744371973E-3</c:v>
                </c:pt>
                <c:pt idx="390">
                  <c:v>8.5592422704762333E-3</c:v>
                </c:pt>
                <c:pt idx="391">
                  <c:v>8.5781207516681772E-3</c:v>
                </c:pt>
                <c:pt idx="392">
                  <c:v>8.5969831962558994E-3</c:v>
                </c:pt>
                <c:pt idx="393">
                  <c:v>8.6158296818265659E-3</c:v>
                </c:pt>
                <c:pt idx="394">
                  <c:v>8.6346602853207381E-3</c:v>
                </c:pt>
                <c:pt idx="395">
                  <c:v>8.6534750830384016E-3</c:v>
                </c:pt>
                <c:pt idx="396">
                  <c:v>8.672274150647568E-3</c:v>
                </c:pt>
                <c:pt idx="397">
                  <c:v>8.6910575631913203E-3</c:v>
                </c:pt>
                <c:pt idx="398">
                  <c:v>8.7098253950953497E-3</c:v>
                </c:pt>
                <c:pt idx="399">
                  <c:v>8.72857772017426E-3</c:v>
                </c:pt>
                <c:pt idx="400">
                  <c:v>8.7473146116402358E-3</c:v>
                </c:pt>
                <c:pt idx="401">
                  <c:v>8.7660361421085069E-3</c:v>
                </c:pt>
                <c:pt idx="402">
                  <c:v>8.7847423836041726E-3</c:v>
                </c:pt>
                <c:pt idx="403">
                  <c:v>8.8034334075710857E-3</c:v>
                </c:pt>
                <c:pt idx="404">
                  <c:v>8.8221092848754287E-3</c:v>
                </c:pt>
                <c:pt idx="405">
                  <c:v>8.8407700858148183E-3</c:v>
                </c:pt>
                <c:pt idx="406">
                  <c:v>8.8594158801232215E-3</c:v>
                </c:pt>
                <c:pt idx="407">
                  <c:v>8.8780467369780711E-3</c:v>
                </c:pt>
                <c:pt idx="408">
                  <c:v>8.8966627250067487E-3</c:v>
                </c:pt>
                <c:pt idx="409">
                  <c:v>8.9152639122916412E-3</c:v>
                </c:pt>
                <c:pt idx="410">
                  <c:v>8.9338503663772863E-3</c:v>
                </c:pt>
                <c:pt idx="411">
                  <c:v>8.9524221542764786E-3</c:v>
                </c:pt>
                <c:pt idx="412">
                  <c:v>8.9709793424749083E-3</c:v>
                </c:pt>
                <c:pt idx="413">
                  <c:v>8.9895219969387454E-3</c:v>
                </c:pt>
                <c:pt idx="414">
                  <c:v>9.0080501831193548E-3</c:v>
                </c:pt>
                <c:pt idx="415">
                  <c:v>9.0265639659581308E-3</c:v>
                </c:pt>
                <c:pt idx="416">
                  <c:v>9.0450634098944421E-3</c:v>
                </c:pt>
                <c:pt idx="417">
                  <c:v>9.0635485788693928E-3</c:v>
                </c:pt>
                <c:pt idx="418">
                  <c:v>9.0820195363312938E-3</c:v>
                </c:pt>
                <c:pt idx="419">
                  <c:v>9.1004763452416943E-3</c:v>
                </c:pt>
                <c:pt idx="420">
                  <c:v>9.1189190680794566E-3</c:v>
                </c:pt>
                <c:pt idx="421">
                  <c:v>9.1373477668491195E-3</c:v>
                </c:pt>
                <c:pt idx="422">
                  <c:v>9.1557625030811839E-3</c:v>
                </c:pt>
                <c:pt idx="423">
                  <c:v>9.1741633378410337E-3</c:v>
                </c:pt>
                <c:pt idx="424">
                  <c:v>9.1925503317325397E-3</c:v>
                </c:pt>
                <c:pt idx="425">
                  <c:v>9.2109235449036823E-3</c:v>
                </c:pt>
                <c:pt idx="426">
                  <c:v>9.2292830370491723E-3</c:v>
                </c:pt>
                <c:pt idx="427">
                  <c:v>9.2476288674193559E-3</c:v>
                </c:pt>
                <c:pt idx="428">
                  <c:v>9.2659610948197715E-3</c:v>
                </c:pt>
                <c:pt idx="429">
                  <c:v>9.2842797776212151E-3</c:v>
                </c:pt>
                <c:pt idx="430">
                  <c:v>9.3025849737592217E-3</c:v>
                </c:pt>
                <c:pt idx="431">
                  <c:v>9.3208767407425789E-3</c:v>
                </c:pt>
                <c:pt idx="432">
                  <c:v>9.3391551356559275E-3</c:v>
                </c:pt>
                <c:pt idx="433">
                  <c:v>9.3574202151644973E-3</c:v>
                </c:pt>
                <c:pt idx="434">
                  <c:v>9.3756720355181594E-3</c:v>
                </c:pt>
                <c:pt idx="435">
                  <c:v>9.3939106525568056E-3</c:v>
                </c:pt>
                <c:pt idx="436">
                  <c:v>9.4121361217128149E-3</c:v>
                </c:pt>
                <c:pt idx="437">
                  <c:v>9.430348498016548E-3</c:v>
                </c:pt>
                <c:pt idx="438">
                  <c:v>9.4485478361008828E-3</c:v>
                </c:pt>
                <c:pt idx="439">
                  <c:v>9.4667341902031996E-3</c:v>
                </c:pt>
                <c:pt idx="440">
                  <c:v>9.4849076141733171E-3</c:v>
                </c:pt>
                <c:pt idx="441">
                  <c:v>9.5030681614716138E-3</c:v>
                </c:pt>
                <c:pt idx="442">
                  <c:v>9.5212158851781803E-3</c:v>
                </c:pt>
                <c:pt idx="443">
                  <c:v>9.5393508379946652E-3</c:v>
                </c:pt>
                <c:pt idx="444">
                  <c:v>9.5574730722481297E-3</c:v>
                </c:pt>
                <c:pt idx="445">
                  <c:v>9.5755826398941889E-3</c:v>
                </c:pt>
                <c:pt idx="446">
                  <c:v>9.5936795925221138E-3</c:v>
                </c:pt>
                <c:pt idx="447">
                  <c:v>9.6117639813572339E-3</c:v>
                </c:pt>
                <c:pt idx="448">
                  <c:v>9.6298358572658848E-3</c:v>
                </c:pt>
                <c:pt idx="449">
                  <c:v>9.6478952707574218E-3</c:v>
                </c:pt>
                <c:pt idx="450">
                  <c:v>9.6659422719878301E-3</c:v>
                </c:pt>
                <c:pt idx="451">
                  <c:v>9.6839769107668287E-3</c:v>
                </c:pt>
                <c:pt idx="452">
                  <c:v>9.7019992365539147E-3</c:v>
                </c:pt>
                <c:pt idx="453">
                  <c:v>9.7200092984711974E-3</c:v>
                </c:pt>
                <c:pt idx="454">
                  <c:v>9.7380071452972429E-3</c:v>
                </c:pt>
                <c:pt idx="455">
                  <c:v>9.7559928254785516E-3</c:v>
                </c:pt>
                <c:pt idx="456">
                  <c:v>9.7739663871260554E-3</c:v>
                </c:pt>
                <c:pt idx="457">
                  <c:v>9.7919278780243205E-3</c:v>
                </c:pt>
                <c:pt idx="458">
                  <c:v>9.8098773456289576E-3</c:v>
                </c:pt>
                <c:pt idx="459">
                  <c:v>9.8278148370756595E-3</c:v>
                </c:pt>
                <c:pt idx="460">
                  <c:v>9.8457403991793237E-3</c:v>
                </c:pt>
                <c:pt idx="461">
                  <c:v>9.8636540784364599E-3</c:v>
                </c:pt>
                <c:pt idx="462">
                  <c:v>9.8815559210306755E-3</c:v>
                </c:pt>
                <c:pt idx="463">
                  <c:v>9.8994459728376887E-3</c:v>
                </c:pt>
                <c:pt idx="464">
                  <c:v>9.9173242794210262E-3</c:v>
                </c:pt>
                <c:pt idx="465">
                  <c:v>9.9351908860430566E-3</c:v>
                </c:pt>
                <c:pt idx="466">
                  <c:v>9.9530458376616004E-3</c:v>
                </c:pt>
                <c:pt idx="467">
                  <c:v>9.9708891789381283E-3</c:v>
                </c:pt>
                <c:pt idx="468">
                  <c:v>9.9887209542352442E-3</c:v>
                </c:pt>
                <c:pt idx="469">
                  <c:v>1.0006541207623528E-2</c:v>
                </c:pt>
                <c:pt idx="470">
                  <c:v>1.0024349982881431E-2</c:v>
                </c:pt>
                <c:pt idx="471">
                  <c:v>1.0042147323501085E-2</c:v>
                </c:pt>
                <c:pt idx="472">
                  <c:v>1.0059933272688736E-2</c:v>
                </c:pt>
                <c:pt idx="473">
                  <c:v>1.007770787336839E-2</c:v>
                </c:pt>
                <c:pt idx="474">
                  <c:v>1.0095471168181901E-2</c:v>
                </c:pt>
                <c:pt idx="475">
                  <c:v>1.0113223199496986E-2</c:v>
                </c:pt>
                <c:pt idx="476">
                  <c:v>1.0130964009401945E-2</c:v>
                </c:pt>
                <c:pt idx="477">
                  <c:v>1.0148693639718123E-2</c:v>
                </c:pt>
                <c:pt idx="478">
                  <c:v>1.0166412131990809E-2</c:v>
                </c:pt>
                <c:pt idx="479">
                  <c:v>1.0184119527505765E-2</c:v>
                </c:pt>
                <c:pt idx="480">
                  <c:v>1.0201815867274137E-2</c:v>
                </c:pt>
                <c:pt idx="481">
                  <c:v>1.0219501192052536E-2</c:v>
                </c:pt>
                <c:pt idx="482">
                  <c:v>1.0237175542332897E-2</c:v>
                </c:pt>
                <c:pt idx="483">
                  <c:v>1.0254838958352344E-2</c:v>
                </c:pt>
                <c:pt idx="484">
                  <c:v>1.0272491480087317E-2</c:v>
                </c:pt>
                <c:pt idx="485">
                  <c:v>1.0290133147268775E-2</c:v>
                </c:pt>
                <c:pt idx="486">
                  <c:v>1.0307763999369144E-2</c:v>
                </c:pt>
                <c:pt idx="487">
                  <c:v>1.0325384075615762E-2</c:v>
                </c:pt>
                <c:pt idx="488">
                  <c:v>1.0342993414989128E-2</c:v>
                </c:pt>
                <c:pt idx="489">
                  <c:v>1.0360592056226206E-2</c:v>
                </c:pt>
                <c:pt idx="490">
                  <c:v>1.0378180037819264E-2</c:v>
                </c:pt>
                <c:pt idx="491">
                  <c:v>1.0395757398024381E-2</c:v>
                </c:pt>
                <c:pt idx="492">
                  <c:v>1.0413324174855262E-2</c:v>
                </c:pt>
                <c:pt idx="493">
                  <c:v>1.0430880406093867E-2</c:v>
                </c:pt>
                <c:pt idx="494">
                  <c:v>1.0448426129284776E-2</c:v>
                </c:pt>
                <c:pt idx="495">
                  <c:v>1.0465961381743232E-2</c:v>
                </c:pt>
                <c:pt idx="496">
                  <c:v>1.0483486200555678E-2</c:v>
                </c:pt>
                <c:pt idx="497">
                  <c:v>1.0501000622577351E-2</c:v>
                </c:pt>
                <c:pt idx="498">
                  <c:v>1.0518504684442216E-2</c:v>
                </c:pt>
                <c:pt idx="499">
                  <c:v>1.0535998422554663E-2</c:v>
                </c:pt>
                <c:pt idx="500">
                  <c:v>1.0553481873103045E-2</c:v>
                </c:pt>
                <c:pt idx="501">
                  <c:v>1.0570955072055997E-2</c:v>
                </c:pt>
                <c:pt idx="502">
                  <c:v>1.0588418055157124E-2</c:v>
                </c:pt>
                <c:pt idx="503">
                  <c:v>1.0605870857941067E-2</c:v>
                </c:pt>
                <c:pt idx="504">
                  <c:v>1.0623313515724238E-2</c:v>
                </c:pt>
                <c:pt idx="505">
                  <c:v>1.0640746063616773E-2</c:v>
                </c:pt>
                <c:pt idx="506">
                  <c:v>1.0658168536506182E-2</c:v>
                </c:pt>
                <c:pt idx="507">
                  <c:v>1.0675580969084213E-2</c:v>
                </c:pt>
                <c:pt idx="508">
                  <c:v>1.0692983395827627E-2</c:v>
                </c:pt>
                <c:pt idx="509">
                  <c:v>1.0710375851007455E-2</c:v>
                </c:pt>
                <c:pt idx="510">
                  <c:v>1.072775836869958E-2</c:v>
                </c:pt>
                <c:pt idx="511">
                  <c:v>1.0745130982764249E-2</c:v>
                </c:pt>
                <c:pt idx="512">
                  <c:v>1.0762493726876137E-2</c:v>
                </c:pt>
                <c:pt idx="513">
                  <c:v>1.0779846634501086E-2</c:v>
                </c:pt>
                <c:pt idx="514">
                  <c:v>1.0797189738911502E-2</c:v>
                </c:pt>
                <c:pt idx="515">
                  <c:v>1.0814523073188987E-2</c:v>
                </c:pt>
                <c:pt idx="516">
                  <c:v>1.0831846670212678E-2</c:v>
                </c:pt>
                <c:pt idx="517">
                  <c:v>1.0849160562672112E-2</c:v>
                </c:pt>
                <c:pt idx="518">
                  <c:v>1.0866464783077198E-2</c:v>
                </c:pt>
                <c:pt idx="519">
                  <c:v>1.0883759363730872E-2</c:v>
                </c:pt>
                <c:pt idx="520">
                  <c:v>1.090104433676641E-2</c:v>
                </c:pt>
                <c:pt idx="521">
                  <c:v>1.0918319734116808E-2</c:v>
                </c:pt>
                <c:pt idx="522">
                  <c:v>1.0935585587538191E-2</c:v>
                </c:pt>
                <c:pt idx="523">
                  <c:v>1.0952841928610723E-2</c:v>
                </c:pt>
                <c:pt idx="524">
                  <c:v>1.0970088788717611E-2</c:v>
                </c:pt>
                <c:pt idx="525">
                  <c:v>1.0987326199069856E-2</c:v>
                </c:pt>
                <c:pt idx="526">
                  <c:v>1.100455419070257E-2</c:v>
                </c:pt>
                <c:pt idx="527">
                  <c:v>1.1021772794473715E-2</c:v>
                </c:pt>
                <c:pt idx="528">
                  <c:v>1.1038982041064887E-2</c:v>
                </c:pt>
                <c:pt idx="529">
                  <c:v>1.1056181960981909E-2</c:v>
                </c:pt>
                <c:pt idx="530">
                  <c:v>1.1073372584556528E-2</c:v>
                </c:pt>
                <c:pt idx="531">
                  <c:v>1.1090553941954307E-2</c:v>
                </c:pt>
                <c:pt idx="532">
                  <c:v>1.1107726063171027E-2</c:v>
                </c:pt>
                <c:pt idx="533">
                  <c:v>1.1124888978023415E-2</c:v>
                </c:pt>
                <c:pt idx="534">
                  <c:v>1.1142042716175428E-2</c:v>
                </c:pt>
                <c:pt idx="535">
                  <c:v>1.1159187307120667E-2</c:v>
                </c:pt>
                <c:pt idx="536">
                  <c:v>1.1176322780179935E-2</c:v>
                </c:pt>
                <c:pt idx="537">
                  <c:v>1.1193449164523191E-2</c:v>
                </c:pt>
                <c:pt idx="538">
                  <c:v>1.1210566489148515E-2</c:v>
                </c:pt>
                <c:pt idx="539">
                  <c:v>1.1227674782897625E-2</c:v>
                </c:pt>
                <c:pt idx="540">
                  <c:v>1.1244774074450872E-2</c:v>
                </c:pt>
                <c:pt idx="541">
                  <c:v>1.1261864392338847E-2</c:v>
                </c:pt>
                <c:pt idx="542">
                  <c:v>1.1278945764918537E-2</c:v>
                </c:pt>
                <c:pt idx="543">
                  <c:v>1.1296018220413479E-2</c:v>
                </c:pt>
                <c:pt idx="544">
                  <c:v>1.1313081786865527E-2</c:v>
                </c:pt>
                <c:pt idx="545">
                  <c:v>1.1330136492193131E-2</c:v>
                </c:pt>
                <c:pt idx="546">
                  <c:v>1.1347182364135421E-2</c:v>
                </c:pt>
                <c:pt idx="547">
                  <c:v>1.1364219430297641E-2</c:v>
                </c:pt>
                <c:pt idx="548">
                  <c:v>1.1381247718132167E-2</c:v>
                </c:pt>
                <c:pt idx="549">
                  <c:v>1.1398267254935429E-2</c:v>
                </c:pt>
                <c:pt idx="550">
                  <c:v>1.1415278067871281E-2</c:v>
                </c:pt>
                <c:pt idx="551">
                  <c:v>1.1432280183940748E-2</c:v>
                </c:pt>
                <c:pt idx="552">
                  <c:v>1.1449273630004924E-2</c:v>
                </c:pt>
                <c:pt idx="553">
                  <c:v>1.1466258432789611E-2</c:v>
                </c:pt>
                <c:pt idx="554">
                  <c:v>1.1483234618867643E-2</c:v>
                </c:pt>
                <c:pt idx="555">
                  <c:v>1.1500202214667604E-2</c:v>
                </c:pt>
                <c:pt idx="556">
                  <c:v>1.1517161246492991E-2</c:v>
                </c:pt>
                <c:pt idx="557">
                  <c:v>1.1534111740484904E-2</c:v>
                </c:pt>
                <c:pt idx="558">
                  <c:v>1.1551053722665627E-2</c:v>
                </c:pt>
                <c:pt idx="559">
                  <c:v>1.1567987218916297E-2</c:v>
                </c:pt>
                <c:pt idx="560">
                  <c:v>1.1584912254966221E-2</c:v>
                </c:pt>
                <c:pt idx="561">
                  <c:v>1.160182885642333E-2</c:v>
                </c:pt>
                <c:pt idx="562">
                  <c:v>1.161873704876158E-2</c:v>
                </c:pt>
                <c:pt idx="563">
                  <c:v>1.1635636857311546E-2</c:v>
                </c:pt>
                <c:pt idx="564">
                  <c:v>1.1652528307280847E-2</c:v>
                </c:pt>
                <c:pt idx="565">
                  <c:v>1.1669411423740613E-2</c:v>
                </c:pt>
                <c:pt idx="566">
                  <c:v>1.1686286231630913E-2</c:v>
                </c:pt>
                <c:pt idx="567">
                  <c:v>1.1703152755764548E-2</c:v>
                </c:pt>
                <c:pt idx="568">
                  <c:v>1.1720011020823241E-2</c:v>
                </c:pt>
                <c:pt idx="569">
                  <c:v>1.1736861051352916E-2</c:v>
                </c:pt>
                <c:pt idx="570">
                  <c:v>1.1753702871796931E-2</c:v>
                </c:pt>
                <c:pt idx="571">
                  <c:v>1.1770536506459364E-2</c:v>
                </c:pt>
                <c:pt idx="572">
                  <c:v>1.1787361979502501E-2</c:v>
                </c:pt>
                <c:pt idx="573">
                  <c:v>1.1804179314982743E-2</c:v>
                </c:pt>
                <c:pt idx="574">
                  <c:v>1.1820988536830619E-2</c:v>
                </c:pt>
                <c:pt idx="575">
                  <c:v>1.1837789668859084E-2</c:v>
                </c:pt>
                <c:pt idx="576">
                  <c:v>1.1854582734750912E-2</c:v>
                </c:pt>
                <c:pt idx="577">
                  <c:v>1.1871367758073551E-2</c:v>
                </c:pt>
                <c:pt idx="578">
                  <c:v>1.1888144762270561E-2</c:v>
                </c:pt>
                <c:pt idx="579">
                  <c:v>1.1904913770659425E-2</c:v>
                </c:pt>
                <c:pt idx="580">
                  <c:v>1.1921674806465042E-2</c:v>
                </c:pt>
                <c:pt idx="581">
                  <c:v>1.1938427892779749E-2</c:v>
                </c:pt>
                <c:pt idx="582">
                  <c:v>1.1955173052566227E-2</c:v>
                </c:pt>
                <c:pt idx="583">
                  <c:v>1.1971910308683609E-2</c:v>
                </c:pt>
                <c:pt idx="584">
                  <c:v>1.1988639683888762E-2</c:v>
                </c:pt>
                <c:pt idx="585">
                  <c:v>1.2005361200810964E-2</c:v>
                </c:pt>
                <c:pt idx="586">
                  <c:v>1.2022074881967468E-2</c:v>
                </c:pt>
                <c:pt idx="587">
                  <c:v>1.2038780749763058E-2</c:v>
                </c:pt>
                <c:pt idx="588">
                  <c:v>1.205547882648594E-2</c:v>
                </c:pt>
                <c:pt idx="589">
                  <c:v>1.207216913434114E-2</c:v>
                </c:pt>
                <c:pt idx="590">
                  <c:v>1.2088851695382851E-2</c:v>
                </c:pt>
                <c:pt idx="591">
                  <c:v>1.2105526531583961E-2</c:v>
                </c:pt>
                <c:pt idx="592">
                  <c:v>1.2122193664805953E-2</c:v>
                </c:pt>
                <c:pt idx="593">
                  <c:v>1.2138853116784618E-2</c:v>
                </c:pt>
                <c:pt idx="594">
                  <c:v>1.2155504909187455E-2</c:v>
                </c:pt>
                <c:pt idx="595">
                  <c:v>1.2172149063523111E-2</c:v>
                </c:pt>
                <c:pt idx="596">
                  <c:v>1.2188785601234505E-2</c:v>
                </c:pt>
                <c:pt idx="597">
                  <c:v>1.2205414543659109E-2</c:v>
                </c:pt>
                <c:pt idx="598">
                  <c:v>1.2222035912008423E-2</c:v>
                </c:pt>
                <c:pt idx="599">
                  <c:v>1.2238649727395513E-2</c:v>
                </c:pt>
                <c:pt idx="600">
                  <c:v>1.2255256010852289E-2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64-4912-9B28-224137D7938A}"/>
            </c:ext>
          </c:extLst>
        </c:ser>
        <c:ser>
          <c:idx val="1"/>
          <c:order val="1"/>
          <c:tx>
            <c:strRef>
              <c:f>Densities!$W$4</c:f>
              <c:strCache>
                <c:ptCount val="1"/>
                <c:pt idx="0">
                  <c:v>Shifted Log-normal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Densities!$W$5:$W$605</c:f>
              <c:numCache>
                <c:formatCode>0.00%</c:formatCode>
                <c:ptCount val="6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1.2856873918634685E-3</c:v>
                </c:pt>
                <c:pt idx="52">
                  <c:v>1.2727006505315144E-3</c:v>
                </c:pt>
                <c:pt idx="53">
                  <c:v>1.2597139091995598E-3</c:v>
                </c:pt>
                <c:pt idx="54">
                  <c:v>1.2467271678676057E-3</c:v>
                </c:pt>
                <c:pt idx="55">
                  <c:v>1.2337404265356515E-3</c:v>
                </c:pt>
                <c:pt idx="56">
                  <c:v>1.2207536852036972E-3</c:v>
                </c:pt>
                <c:pt idx="57">
                  <c:v>1.2077669438717428E-3</c:v>
                </c:pt>
                <c:pt idx="58">
                  <c:v>1.1947802025397886E-3</c:v>
                </c:pt>
                <c:pt idx="59">
                  <c:v>1.1817934612078349E-3</c:v>
                </c:pt>
                <c:pt idx="60">
                  <c:v>1.2252037047018479E-3</c:v>
                </c:pt>
                <c:pt idx="61">
                  <c:v>1.2635871821574506E-3</c:v>
                </c:pt>
                <c:pt idx="62">
                  <c:v>1.300643981514043E-3</c:v>
                </c:pt>
                <c:pt idx="63">
                  <c:v>1.3362865840846471E-3</c:v>
                </c:pt>
                <c:pt idx="64">
                  <c:v>1.3707056848649435E-3</c:v>
                </c:pt>
                <c:pt idx="65">
                  <c:v>1.4040248323620541E-3</c:v>
                </c:pt>
                <c:pt idx="66">
                  <c:v>1.4363603452939798E-3</c:v>
                </c:pt>
                <c:pt idx="67">
                  <c:v>1.4678084925301082E-3</c:v>
                </c:pt>
                <c:pt idx="68">
                  <c:v>1.4984509383118858E-3</c:v>
                </c:pt>
                <c:pt idx="69">
                  <c:v>1.5283574445476753E-3</c:v>
                </c:pt>
                <c:pt idx="70">
                  <c:v>1.5575884761857683E-3</c:v>
                </c:pt>
                <c:pt idx="71">
                  <c:v>1.5861966838419961E-3</c:v>
                </c:pt>
                <c:pt idx="72">
                  <c:v>1.61422826350298E-3</c:v>
                </c:pt>
                <c:pt idx="73">
                  <c:v>1.6417240058937813E-3</c:v>
                </c:pt>
                <c:pt idx="74">
                  <c:v>1.6687201388037179E-3</c:v>
                </c:pt>
                <c:pt idx="75">
                  <c:v>1.695249006576072E-3</c:v>
                </c:pt>
                <c:pt idx="76">
                  <c:v>1.7213396261107443E-3</c:v>
                </c:pt>
                <c:pt idx="77">
                  <c:v>1.7470181449511333E-3</c:v>
                </c:pt>
                <c:pt idx="78">
                  <c:v>1.7723082215390824E-3</c:v>
                </c:pt>
                <c:pt idx="79">
                  <c:v>1.7972313430842882E-3</c:v>
                </c:pt>
                <c:pt idx="80">
                  <c:v>1.821807093442891E-3</c:v>
                </c:pt>
                <c:pt idx="81">
                  <c:v>1.8460533799880131E-3</c:v>
                </c:pt>
                <c:pt idx="82">
                  <c:v>1.8699866269939263E-3</c:v>
                </c:pt>
                <c:pt idx="83">
                  <c:v>1.8936219413372203E-3</c:v>
                </c:pt>
                <c:pt idx="84">
                  <c:v>1.9169732552221529E-3</c:v>
                </c:pt>
                <c:pt idx="85">
                  <c:v>1.9400534496821259E-3</c:v>
                </c:pt>
                <c:pt idx="86">
                  <c:v>1.9628744619425921E-3</c:v>
                </c:pt>
                <c:pt idx="87">
                  <c:v>1.9854473791239904E-3</c:v>
                </c:pt>
                <c:pt idx="88">
                  <c:v>2.007782520356053E-3</c:v>
                </c:pt>
                <c:pt idx="89">
                  <c:v>2.0298895089958372E-3</c:v>
                </c:pt>
                <c:pt idx="90">
                  <c:v>2.0517773363675873E-3</c:v>
                </c:pt>
                <c:pt idx="91">
                  <c:v>2.0734544182033307E-3</c:v>
                </c:pt>
                <c:pt idx="92">
                  <c:v>2.0949286447804571E-3</c:v>
                </c:pt>
                <c:pt idx="93">
                  <c:v>2.1162074255923671E-3</c:v>
                </c:pt>
                <c:pt idx="94">
                  <c:v>2.1372977292639958E-3</c:v>
                </c:pt>
                <c:pt idx="95">
                  <c:v>2.1582061193158421E-3</c:v>
                </c:pt>
                <c:pt idx="96">
                  <c:v>2.1789387862914005E-3</c:v>
                </c:pt>
                <c:pt idx="97">
                  <c:v>2.1995015766914975E-3</c:v>
                </c:pt>
                <c:pt idx="98">
                  <c:v>2.2199000190923457E-3</c:v>
                </c:pt>
                <c:pt idx="99">
                  <c:v>2.2401393477765172E-3</c:v>
                </c:pt>
                <c:pt idx="100">
                  <c:v>2.2602245241583252E-3</c:v>
                </c:pt>
                <c:pt idx="101">
                  <c:v>2.2801602562498428E-3</c:v>
                </c:pt>
                <c:pt idx="102">
                  <c:v>2.2999510163813001E-3</c:v>
                </c:pt>
                <c:pt idx="103">
                  <c:v>2.3196010573626013E-3</c:v>
                </c:pt>
                <c:pt idx="104">
                  <c:v>2.339114427250042E-3</c:v>
                </c:pt>
                <c:pt idx="105">
                  <c:v>2.3584949828620821E-3</c:v>
                </c:pt>
                <c:pt idx="106">
                  <c:v>2.3777464021711753E-3</c:v>
                </c:pt>
                <c:pt idx="107">
                  <c:v>2.3968721956837097E-3</c:v>
                </c:pt>
                <c:pt idx="108">
                  <c:v>2.4158757169073092E-3</c:v>
                </c:pt>
                <c:pt idx="109">
                  <c:v>2.4347601719932207E-3</c:v>
                </c:pt>
                <c:pt idx="110">
                  <c:v>2.4535286286321116E-3</c:v>
                </c:pt>
                <c:pt idx="111">
                  <c:v>2.4721840242724722E-3</c:v>
                </c:pt>
                <c:pt idx="112">
                  <c:v>2.4907291737237356E-3</c:v>
                </c:pt>
                <c:pt idx="113">
                  <c:v>2.5091667761991477E-3</c:v>
                </c:pt>
                <c:pt idx="114">
                  <c:v>2.5274994218480893E-3</c:v>
                </c:pt>
                <c:pt idx="115">
                  <c:v>2.5457295978220254E-3</c:v>
                </c:pt>
                <c:pt idx="116">
                  <c:v>2.5638596939142125E-3</c:v>
                </c:pt>
                <c:pt idx="117">
                  <c:v>2.581892007808929E-3</c:v>
                </c:pt>
                <c:pt idx="118">
                  <c:v>2.5998287499728193E-3</c:v>
                </c:pt>
                <c:pt idx="119">
                  <c:v>2.6176720482176969E-3</c:v>
                </c:pt>
                <c:pt idx="120">
                  <c:v>2.6354239519613474E-3</c:v>
                </c:pt>
                <c:pt idx="121">
                  <c:v>2.6530864362104179E-3</c:v>
                </c:pt>
                <c:pt idx="122">
                  <c:v>2.6706614052872707E-3</c:v>
                </c:pt>
                <c:pt idx="123">
                  <c:v>2.6881506963205687E-3</c:v>
                </c:pt>
                <c:pt idx="124">
                  <c:v>2.7055560825176785E-3</c:v>
                </c:pt>
                <c:pt idx="125">
                  <c:v>2.7228792762352349E-3</c:v>
                </c:pt>
                <c:pt idx="126">
                  <c:v>2.7401219318629239E-3</c:v>
                </c:pt>
                <c:pt idx="127">
                  <c:v>2.7572856485340472E-3</c:v>
                </c:pt>
                <c:pt idx="128">
                  <c:v>2.7743719726754557E-3</c:v>
                </c:pt>
                <c:pt idx="129">
                  <c:v>2.7913824004083079E-3</c:v>
                </c:pt>
                <c:pt idx="130">
                  <c:v>2.8083183798101722E-3</c:v>
                </c:pt>
                <c:pt idx="131">
                  <c:v>2.8251813130480891E-3</c:v>
                </c:pt>
                <c:pt idx="132">
                  <c:v>2.8419725583915781E-3</c:v>
                </c:pt>
                <c:pt idx="133">
                  <c:v>2.8586934321136168E-3</c:v>
                </c:pt>
                <c:pt idx="134">
                  <c:v>2.8753452102872599E-3</c:v>
                </c:pt>
                <c:pt idx="135">
                  <c:v>2.8919291304846557E-3</c:v>
                </c:pt>
                <c:pt idx="136">
                  <c:v>2.9084463933849608E-3</c:v>
                </c:pt>
                <c:pt idx="137">
                  <c:v>2.9248981642970005E-3</c:v>
                </c:pt>
                <c:pt idx="138">
                  <c:v>2.9412855746021316E-3</c:v>
                </c:pt>
                <c:pt idx="139">
                  <c:v>2.9576097231223384E-3</c:v>
                </c:pt>
                <c:pt idx="140">
                  <c:v>2.9738716774182659E-3</c:v>
                </c:pt>
                <c:pt idx="141">
                  <c:v>2.9900724750214951E-3</c:v>
                </c:pt>
                <c:pt idx="142">
                  <c:v>3.0062131246051346E-3</c:v>
                </c:pt>
                <c:pt idx="143">
                  <c:v>3.0222946070963823E-3</c:v>
                </c:pt>
                <c:pt idx="144">
                  <c:v>3.0383178767346302E-3</c:v>
                </c:pt>
                <c:pt idx="145">
                  <c:v>3.0542838620782244E-3</c:v>
                </c:pt>
                <c:pt idx="146">
                  <c:v>3.0701934669629788E-3</c:v>
                </c:pt>
                <c:pt idx="147">
                  <c:v>3.0860475714151988E-3</c:v>
                </c:pt>
                <c:pt idx="148">
                  <c:v>3.1018470325217969E-3</c:v>
                </c:pt>
                <c:pt idx="149">
                  <c:v>3.1175926852599718E-3</c:v>
                </c:pt>
                <c:pt idx="150">
                  <c:v>3.1332853432887477E-3</c:v>
                </c:pt>
                <c:pt idx="151">
                  <c:v>3.1489257997044081E-3</c:v>
                </c:pt>
                <c:pt idx="152">
                  <c:v>3.1645148277619044E-3</c:v>
                </c:pt>
                <c:pt idx="153">
                  <c:v>3.1800531815640511E-3</c:v>
                </c:pt>
                <c:pt idx="154">
                  <c:v>3.1955415967202666E-3</c:v>
                </c:pt>
                <c:pt idx="155">
                  <c:v>3.2109807909764271E-3</c:v>
                </c:pt>
                <c:pt idx="156">
                  <c:v>3.2263714648174697E-3</c:v>
                </c:pt>
                <c:pt idx="157">
                  <c:v>3.2417143020440804E-3</c:v>
                </c:pt>
                <c:pt idx="158">
                  <c:v>3.2570099703248582E-3</c:v>
                </c:pt>
                <c:pt idx="159">
                  <c:v>3.2722591217251807E-3</c:v>
                </c:pt>
                <c:pt idx="160">
                  <c:v>3.2874623932140305E-3</c:v>
                </c:pt>
                <c:pt idx="161">
                  <c:v>3.3026204071498321E-3</c:v>
                </c:pt>
                <c:pt idx="162">
                  <c:v>3.3177337717463385E-3</c:v>
                </c:pt>
                <c:pt idx="163">
                  <c:v>3.332803081519647E-3</c:v>
                </c:pt>
                <c:pt idx="164">
                  <c:v>3.3478289177171993E-3</c:v>
                </c:pt>
                <c:pt idx="165">
                  <c:v>3.3628118487296164E-3</c:v>
                </c:pt>
                <c:pt idx="166">
                  <c:v>3.377752430486308E-3</c:v>
                </c:pt>
                <c:pt idx="167">
                  <c:v>3.3926512068355183E-3</c:v>
                </c:pt>
                <c:pt idx="168">
                  <c:v>3.4075087099096129E-3</c:v>
                </c:pt>
                <c:pt idx="169">
                  <c:v>3.4223254604762829E-3</c:v>
                </c:pt>
                <c:pt idx="170">
                  <c:v>3.4371019682763173E-3</c:v>
                </c:pt>
                <c:pt idx="171">
                  <c:v>3.451838732348592E-3</c:v>
                </c:pt>
                <c:pt idx="172">
                  <c:v>3.4665362413428208E-3</c:v>
                </c:pt>
                <c:pt idx="173">
                  <c:v>3.4811949738206538E-3</c:v>
                </c:pt>
                <c:pt idx="174">
                  <c:v>3.4958153985456711E-3</c:v>
                </c:pt>
                <c:pt idx="175">
                  <c:v>3.5103979747627165E-3</c:v>
                </c:pt>
                <c:pt idx="176">
                  <c:v>3.524943152467075E-3</c:v>
                </c:pt>
                <c:pt idx="177">
                  <c:v>3.5394513726639625E-3</c:v>
                </c:pt>
                <c:pt idx="178">
                  <c:v>3.5539230676187045E-3</c:v>
                </c:pt>
                <c:pt idx="179">
                  <c:v>3.5683586610980411E-3</c:v>
                </c:pt>
                <c:pt idx="180">
                  <c:v>3.5827585686029149E-3</c:v>
                </c:pt>
                <c:pt idx="181">
                  <c:v>3.5971231975931582E-3</c:v>
                </c:pt>
                <c:pt idx="182">
                  <c:v>3.6114529477043276E-3</c:v>
                </c:pt>
                <c:pt idx="183">
                  <c:v>3.6257482109571348E-3</c:v>
                </c:pt>
                <c:pt idx="184">
                  <c:v>3.6400093719596606E-3</c:v>
                </c:pt>
                <c:pt idx="185">
                  <c:v>3.6542368081027648E-3</c:v>
                </c:pt>
                <c:pt idx="186">
                  <c:v>3.6684308897488751E-3</c:v>
                </c:pt>
                <c:pt idx="187">
                  <c:v>3.6825919804144868E-3</c:v>
                </c:pt>
                <c:pt idx="188">
                  <c:v>3.6967204369466248E-3</c:v>
                </c:pt>
                <c:pt idx="189">
                  <c:v>3.7108166096934676E-3</c:v>
                </c:pt>
                <c:pt idx="190">
                  <c:v>3.7248808426694363E-3</c:v>
                </c:pt>
                <c:pt idx="191">
                  <c:v>3.7389134737148737E-3</c:v>
                </c:pt>
                <c:pt idx="192">
                  <c:v>3.752914834650639E-3</c:v>
                </c:pt>
                <c:pt idx="193">
                  <c:v>3.7668852514277117E-3</c:v>
                </c:pt>
                <c:pt idx="194">
                  <c:v>3.7808250442720667E-3</c:v>
                </c:pt>
                <c:pt idx="195">
                  <c:v>3.794734527825013E-3</c:v>
                </c:pt>
                <c:pt idx="196">
                  <c:v>3.8086140112790585E-3</c:v>
                </c:pt>
                <c:pt idx="197">
                  <c:v>3.8224637985096303E-3</c:v>
                </c:pt>
                <c:pt idx="198">
                  <c:v>3.8362841882027036E-3</c:v>
                </c:pt>
                <c:pt idx="199">
                  <c:v>3.8500754739784759E-3</c:v>
                </c:pt>
                <c:pt idx="200">
                  <c:v>3.8638379445113278E-3</c:v>
                </c:pt>
                <c:pt idx="201">
                  <c:v>3.877571883646114E-3</c:v>
                </c:pt>
                <c:pt idx="202">
                  <c:v>3.8912775705109994E-3</c:v>
                </c:pt>
                <c:pt idx="203">
                  <c:v>3.904955279626878E-3</c:v>
                </c:pt>
                <c:pt idx="204">
                  <c:v>3.9186052810135487E-3</c:v>
                </c:pt>
                <c:pt idx="205">
                  <c:v>3.9322278402928379E-3</c:v>
                </c:pt>
                <c:pt idx="206">
                  <c:v>3.9458232187885795E-3</c:v>
                </c:pt>
                <c:pt idx="207">
                  <c:v>3.9593916736237944E-3</c:v>
                </c:pt>
                <c:pt idx="208">
                  <c:v>3.9729334578149774E-3</c:v>
                </c:pt>
                <c:pt idx="209">
                  <c:v>3.9864488203637605E-3</c:v>
                </c:pt>
                <c:pt idx="210">
                  <c:v>3.9999380063458594E-3</c:v>
                </c:pt>
                <c:pt idx="211">
                  <c:v>4.0134012569976044E-3</c:v>
                </c:pt>
                <c:pt idx="212">
                  <c:v>4.0268388097999437E-3</c:v>
                </c:pt>
                <c:pt idx="213">
                  <c:v>4.0402508985601373E-3</c:v>
                </c:pt>
                <c:pt idx="214">
                  <c:v>4.0536377534912049E-3</c:v>
                </c:pt>
                <c:pt idx="215">
                  <c:v>4.0669996012890662E-3</c:v>
                </c:pt>
                <c:pt idx="216">
                  <c:v>4.0803366652077703E-3</c:v>
                </c:pt>
                <c:pt idx="217">
                  <c:v>4.0936491651323874E-3</c:v>
                </c:pt>
                <c:pt idx="218">
                  <c:v>4.1069373176501776E-3</c:v>
                </c:pt>
                <c:pt idx="219">
                  <c:v>4.1202013361196846E-3</c:v>
                </c:pt>
                <c:pt idx="220">
                  <c:v>4.1334414307380839E-3</c:v>
                </c:pt>
                <c:pt idx="221">
                  <c:v>4.1466578086066007E-3</c:v>
                </c:pt>
                <c:pt idx="222">
                  <c:v>4.1598506737943524E-3</c:v>
                </c:pt>
                <c:pt idx="223">
                  <c:v>4.1730202274003507E-3</c:v>
                </c:pt>
                <c:pt idx="224">
                  <c:v>4.1861666676139952E-3</c:v>
                </c:pt>
                <c:pt idx="225">
                  <c:v>4.1992901897739982E-3</c:v>
                </c:pt>
                <c:pt idx="226">
                  <c:v>4.2123909864256511E-3</c:v>
                </c:pt>
                <c:pt idx="227">
                  <c:v>4.2254692473767622E-3</c:v>
                </c:pt>
                <c:pt idx="228">
                  <c:v>4.23852515975209E-3</c:v>
                </c:pt>
                <c:pt idx="229">
                  <c:v>4.2515589080463958E-3</c:v>
                </c:pt>
                <c:pt idx="230">
                  <c:v>4.2645706741761789E-3</c:v>
                </c:pt>
                <c:pt idx="231">
                  <c:v>4.2775606375300666E-3</c:v>
                </c:pt>
                <c:pt idx="232">
                  <c:v>4.2905289750179874E-3</c:v>
                </c:pt>
                <c:pt idx="233">
                  <c:v>4.3034758611191397E-3</c:v>
                </c:pt>
                <c:pt idx="234">
                  <c:v>4.3164014679286083E-3</c:v>
                </c:pt>
                <c:pt idx="235">
                  <c:v>4.3293059652031269E-3</c:v>
                </c:pt>
                <c:pt idx="236">
                  <c:v>4.3421895204053783E-3</c:v>
                </c:pt>
                <c:pt idx="237">
                  <c:v>4.3550522987475361E-3</c:v>
                </c:pt>
                <c:pt idx="238">
                  <c:v>4.3678944632334626E-3</c:v>
                </c:pt>
                <c:pt idx="239">
                  <c:v>4.3807161747002107E-3</c:v>
                </c:pt>
                <c:pt idx="240">
                  <c:v>4.393517591858135E-3</c:v>
                </c:pt>
                <c:pt idx="241">
                  <c:v>4.4062988713303667E-3</c:v>
                </c:pt>
                <c:pt idx="242">
                  <c:v>4.4190601676913077E-3</c:v>
                </c:pt>
                <c:pt idx="243">
                  <c:v>4.4318016335040617E-3</c:v>
                </c:pt>
                <c:pt idx="244">
                  <c:v>4.4445234193570106E-3</c:v>
                </c:pt>
                <c:pt idx="245">
                  <c:v>4.4572256738998218E-3</c:v>
                </c:pt>
                <c:pt idx="246">
                  <c:v>4.4699085438782591E-3</c:v>
                </c:pt>
                <c:pt idx="247">
                  <c:v>4.4825721741682464E-3</c:v>
                </c:pt>
                <c:pt idx="248">
                  <c:v>4.4952167078093656E-3</c:v>
                </c:pt>
                <c:pt idx="249">
                  <c:v>4.5078422860375215E-3</c:v>
                </c:pt>
                <c:pt idx="250">
                  <c:v>4.5204490483166625E-3</c:v>
                </c:pt>
                <c:pt idx="251">
                  <c:v>4.5330371323697664E-3</c:v>
                </c:pt>
                <c:pt idx="252">
                  <c:v>4.5456066742097356E-3</c:v>
                </c:pt>
                <c:pt idx="253">
                  <c:v>4.5581578081687743E-3</c:v>
                </c:pt>
                <c:pt idx="254">
                  <c:v>4.5706906669274747E-3</c:v>
                </c:pt>
                <c:pt idx="255">
                  <c:v>4.5832053815435857E-3</c:v>
                </c:pt>
                <c:pt idx="256">
                  <c:v>4.5957020814793867E-3</c:v>
                </c:pt>
                <c:pt idx="257">
                  <c:v>4.6081808946293289E-3</c:v>
                </c:pt>
                <c:pt idx="258">
                  <c:v>4.6206419473462899E-3</c:v>
                </c:pt>
                <c:pt idx="259">
                  <c:v>4.6330853644677714E-3</c:v>
                </c:pt>
                <c:pt idx="260">
                  <c:v>4.6455112693414725E-3</c:v>
                </c:pt>
                <c:pt idx="261">
                  <c:v>4.6579197838499207E-3</c:v>
                </c:pt>
                <c:pt idx="262">
                  <c:v>4.6703110284351873E-3</c:v>
                </c:pt>
                <c:pt idx="263">
                  <c:v>4.6826851221224569E-3</c:v>
                </c:pt>
                <c:pt idx="264">
                  <c:v>4.6950421825436312E-3</c:v>
                </c:pt>
                <c:pt idx="265">
                  <c:v>4.7073823259600146E-3</c:v>
                </c:pt>
                <c:pt idx="266">
                  <c:v>4.7197056672847208E-3</c:v>
                </c:pt>
                <c:pt idx="267">
                  <c:v>4.7320123201048192E-3</c:v>
                </c:pt>
                <c:pt idx="268">
                  <c:v>4.744302396702451E-3</c:v>
                </c:pt>
                <c:pt idx="269">
                  <c:v>4.7565760080760418E-3</c:v>
                </c:pt>
                <c:pt idx="270">
                  <c:v>4.7688332639609417E-3</c:v>
                </c:pt>
                <c:pt idx="271">
                  <c:v>4.7810742728493557E-3</c:v>
                </c:pt>
                <c:pt idx="272">
                  <c:v>4.7932991420102065E-3</c:v>
                </c:pt>
                <c:pt idx="273">
                  <c:v>4.8055079775087099E-3</c:v>
                </c:pt>
                <c:pt idx="274">
                  <c:v>4.8177008842249201E-3</c:v>
                </c:pt>
                <c:pt idx="275">
                  <c:v>4.8298779658724825E-3</c:v>
                </c:pt>
                <c:pt idx="276">
                  <c:v>4.8420393250169173E-3</c:v>
                </c:pt>
                <c:pt idx="277">
                  <c:v>4.8541850630933027E-3</c:v>
                </c:pt>
                <c:pt idx="278">
                  <c:v>4.8663152804239492E-3</c:v>
                </c:pt>
                <c:pt idx="279">
                  <c:v>4.8784300762351566E-3</c:v>
                </c:pt>
                <c:pt idx="280">
                  <c:v>4.8905295486743779E-3</c:v>
                </c:pt>
                <c:pt idx="281">
                  <c:v>4.9026137948267635E-3</c:v>
                </c:pt>
                <c:pt idx="282">
                  <c:v>4.9146829107307305E-3</c:v>
                </c:pt>
                <c:pt idx="283">
                  <c:v>4.9267369913942281E-3</c:v>
                </c:pt>
                <c:pt idx="284">
                  <c:v>4.9387761308103389E-3</c:v>
                </c:pt>
                <c:pt idx="285">
                  <c:v>4.9508004219722479E-3</c:v>
                </c:pt>
                <c:pt idx="286">
                  <c:v>4.9628099568880535E-3</c:v>
                </c:pt>
                <c:pt idx="287">
                  <c:v>4.9748048265961034E-3</c:v>
                </c:pt>
                <c:pt idx="288">
                  <c:v>4.986785121178213E-3</c:v>
                </c:pt>
                <c:pt idx="289">
                  <c:v>4.9987509297749096E-3</c:v>
                </c:pt>
                <c:pt idx="290">
                  <c:v>5.0107023405983218E-3</c:v>
                </c:pt>
                <c:pt idx="291">
                  <c:v>5.0226394409467259E-3</c:v>
                </c:pt>
                <c:pt idx="292">
                  <c:v>5.0345623172165892E-3</c:v>
                </c:pt>
                <c:pt idx="293">
                  <c:v>5.0464710549165959E-3</c:v>
                </c:pt>
                <c:pt idx="294">
                  <c:v>5.0583657386806292E-3</c:v>
                </c:pt>
                <c:pt idx="295">
                  <c:v>5.0702464522789162E-3</c:v>
                </c:pt>
                <c:pt idx="296">
                  <c:v>5.0821132786326257E-3</c:v>
                </c:pt>
                <c:pt idx="297">
                  <c:v>5.0939662998236738E-3</c:v>
                </c:pt>
                <c:pt idx="298">
                  <c:v>5.1058055971079496E-3</c:v>
                </c:pt>
                <c:pt idx="299">
                  <c:v>5.1176312509270405E-3</c:v>
                </c:pt>
                <c:pt idx="300">
                  <c:v>5.1294433409189389E-3</c:v>
                </c:pt>
                <c:pt idx="301">
                  <c:v>5.1412419459303865E-3</c:v>
                </c:pt>
                <c:pt idx="302">
                  <c:v>5.1530271440258712E-3</c:v>
                </c:pt>
                <c:pt idx="303">
                  <c:v>5.1647990125017976E-3</c:v>
                </c:pt>
                <c:pt idx="304">
                  <c:v>5.1765576278938455E-3</c:v>
                </c:pt>
                <c:pt idx="305">
                  <c:v>5.1883030659894717E-3</c:v>
                </c:pt>
                <c:pt idx="306">
                  <c:v>5.2000354018373251E-3</c:v>
                </c:pt>
                <c:pt idx="307">
                  <c:v>5.2117547097569857E-3</c:v>
                </c:pt>
                <c:pt idx="308">
                  <c:v>5.2234610633513714E-3</c:v>
                </c:pt>
                <c:pt idx="309">
                  <c:v>5.2351545355125845E-3</c:v>
                </c:pt>
                <c:pt idx="310">
                  <c:v>5.2468351984346177E-3</c:v>
                </c:pt>
                <c:pt idx="311">
                  <c:v>5.2585031236212464E-3</c:v>
                </c:pt>
                <c:pt idx="312">
                  <c:v>5.2701583818972209E-3</c:v>
                </c:pt>
                <c:pt idx="313">
                  <c:v>5.2818010434132782E-3</c:v>
                </c:pt>
                <c:pt idx="314">
                  <c:v>5.2934311776599739E-3</c:v>
                </c:pt>
                <c:pt idx="315">
                  <c:v>5.3050488534713437E-3</c:v>
                </c:pt>
                <c:pt idx="316">
                  <c:v>5.3166541390408453E-3</c:v>
                </c:pt>
                <c:pt idx="317">
                  <c:v>5.3282471019222817E-3</c:v>
                </c:pt>
                <c:pt idx="318">
                  <c:v>5.3398278090403123E-3</c:v>
                </c:pt>
                <c:pt idx="319">
                  <c:v>5.3513963267027382E-3</c:v>
                </c:pt>
                <c:pt idx="320">
                  <c:v>5.3629527206023181E-3</c:v>
                </c:pt>
                <c:pt idx="321">
                  <c:v>5.3744970558308536E-3</c:v>
                </c:pt>
                <c:pt idx="322">
                  <c:v>5.386029396881575E-3</c:v>
                </c:pt>
                <c:pt idx="323">
                  <c:v>5.3975498076598415E-3</c:v>
                </c:pt>
                <c:pt idx="324">
                  <c:v>5.4090583514903832E-3</c:v>
                </c:pt>
                <c:pt idx="325">
                  <c:v>5.4205550911237306E-3</c:v>
                </c:pt>
                <c:pt idx="326">
                  <c:v>5.4320400887462985E-3</c:v>
                </c:pt>
                <c:pt idx="327">
                  <c:v>5.443513405981551E-3</c:v>
                </c:pt>
                <c:pt idx="328">
                  <c:v>5.4549751039046626E-3</c:v>
                </c:pt>
                <c:pt idx="329">
                  <c:v>5.4664252430424269E-3</c:v>
                </c:pt>
                <c:pt idx="330">
                  <c:v>5.4778638833884322E-3</c:v>
                </c:pt>
                <c:pt idx="331">
                  <c:v>5.48929108439874E-3</c:v>
                </c:pt>
                <c:pt idx="332">
                  <c:v>5.5007069050073991E-3</c:v>
                </c:pt>
                <c:pt idx="333">
                  <c:v>5.512111403631002E-3</c:v>
                </c:pt>
                <c:pt idx="334">
                  <c:v>5.5235046381734536E-3</c:v>
                </c:pt>
                <c:pt idx="335">
                  <c:v>5.5348866660330032E-3</c:v>
                </c:pt>
                <c:pt idx="336">
                  <c:v>5.5462575441064784E-3</c:v>
                </c:pt>
                <c:pt idx="337">
                  <c:v>5.5576173287992742E-3</c:v>
                </c:pt>
                <c:pt idx="338">
                  <c:v>5.5689660760321075E-3</c:v>
                </c:pt>
                <c:pt idx="339">
                  <c:v>5.5803038412371806E-3</c:v>
                </c:pt>
                <c:pt idx="340">
                  <c:v>5.59163067937774E-3</c:v>
                </c:pt>
                <c:pt idx="341">
                  <c:v>5.6029466449472659E-3</c:v>
                </c:pt>
                <c:pt idx="342">
                  <c:v>5.6142517919676397E-3</c:v>
                </c:pt>
                <c:pt idx="343">
                  <c:v>5.6255461740077591E-3</c:v>
                </c:pt>
                <c:pt idx="344">
                  <c:v>5.6368298441876177E-3</c:v>
                </c:pt>
                <c:pt idx="345">
                  <c:v>5.6481028551691832E-3</c:v>
                </c:pt>
                <c:pt idx="346">
                  <c:v>5.6593652591805342E-3</c:v>
                </c:pt>
                <c:pt idx="347">
                  <c:v>5.6706171080073463E-3</c:v>
                </c:pt>
                <c:pt idx="348">
                  <c:v>5.6818584530054011E-3</c:v>
                </c:pt>
                <c:pt idx="349">
                  <c:v>5.69308934510612E-3</c:v>
                </c:pt>
                <c:pt idx="350">
                  <c:v>5.7043098348107954E-3</c:v>
                </c:pt>
                <c:pt idx="351">
                  <c:v>5.715519972210867E-3</c:v>
                </c:pt>
                <c:pt idx="352">
                  <c:v>5.7267198069863873E-3</c:v>
                </c:pt>
                <c:pt idx="353">
                  <c:v>5.7379093884024233E-3</c:v>
                </c:pt>
                <c:pt idx="354">
                  <c:v>5.7490887653274076E-3</c:v>
                </c:pt>
                <c:pt idx="355">
                  <c:v>5.7602579862323618E-3</c:v>
                </c:pt>
                <c:pt idx="356">
                  <c:v>5.7714170991879947E-3</c:v>
                </c:pt>
                <c:pt idx="357">
                  <c:v>5.7825661518858765E-3</c:v>
                </c:pt>
                <c:pt idx="358">
                  <c:v>5.7937051916187744E-3</c:v>
                </c:pt>
                <c:pt idx="359">
                  <c:v>5.8048342653183871E-3</c:v>
                </c:pt>
                <c:pt idx="360">
                  <c:v>5.8159534195230764E-3</c:v>
                </c:pt>
                <c:pt idx="361">
                  <c:v>5.8270627004055253E-3</c:v>
                </c:pt>
                <c:pt idx="362">
                  <c:v>5.838162153773075E-3</c:v>
                </c:pt>
                <c:pt idx="363">
                  <c:v>5.8492518250689868E-3</c:v>
                </c:pt>
                <c:pt idx="364">
                  <c:v>5.8603317593751295E-3</c:v>
                </c:pt>
                <c:pt idx="365">
                  <c:v>5.8714020014165973E-3</c:v>
                </c:pt>
                <c:pt idx="366">
                  <c:v>5.8824625955766832E-3</c:v>
                </c:pt>
                <c:pt idx="367">
                  <c:v>5.8935135858765092E-3</c:v>
                </c:pt>
                <c:pt idx="368">
                  <c:v>5.9045550160006753E-3</c:v>
                </c:pt>
                <c:pt idx="369">
                  <c:v>5.9155869292954223E-3</c:v>
                </c:pt>
                <c:pt idx="370">
                  <c:v>5.926609368768731E-3</c:v>
                </c:pt>
                <c:pt idx="371">
                  <c:v>5.9376223771067903E-3</c:v>
                </c:pt>
                <c:pt idx="372">
                  <c:v>5.9486259966372275E-3</c:v>
                </c:pt>
                <c:pt idx="373">
                  <c:v>5.9596202693904419E-3</c:v>
                </c:pt>
                <c:pt idx="374">
                  <c:v>5.9706052370748037E-3</c:v>
                </c:pt>
                <c:pt idx="375">
                  <c:v>5.9815809410633386E-3</c:v>
                </c:pt>
                <c:pt idx="376">
                  <c:v>5.9925474224140412E-3</c:v>
                </c:pt>
                <c:pt idx="377">
                  <c:v>6.0035047218997151E-3</c:v>
                </c:pt>
                <c:pt idx="378">
                  <c:v>6.0144528799503912E-3</c:v>
                </c:pt>
                <c:pt idx="379">
                  <c:v>6.0253919367194066E-3</c:v>
                </c:pt>
                <c:pt idx="380">
                  <c:v>6.0363219320427146E-3</c:v>
                </c:pt>
                <c:pt idx="381">
                  <c:v>6.0472429054576641E-3</c:v>
                </c:pt>
                <c:pt idx="382">
                  <c:v>6.0581548962106288E-3</c:v>
                </c:pt>
                <c:pt idx="383">
                  <c:v>6.0690579432625281E-3</c:v>
                </c:pt>
                <c:pt idx="384">
                  <c:v>6.0799520852610218E-3</c:v>
                </c:pt>
                <c:pt idx="385">
                  <c:v>6.0908373606107114E-3</c:v>
                </c:pt>
                <c:pt idx="386">
                  <c:v>6.1017138073820726E-3</c:v>
                </c:pt>
                <c:pt idx="387">
                  <c:v>6.1125814634001184E-3</c:v>
                </c:pt>
                <c:pt idx="388">
                  <c:v>6.1234403662008526E-3</c:v>
                </c:pt>
                <c:pt idx="389">
                  <c:v>6.1342905530374714E-3</c:v>
                </c:pt>
                <c:pt idx="390">
                  <c:v>6.1451320609284283E-3</c:v>
                </c:pt>
                <c:pt idx="391">
                  <c:v>6.1559649265593066E-3</c:v>
                </c:pt>
                <c:pt idx="392">
                  <c:v>6.1667891864072419E-3</c:v>
                </c:pt>
                <c:pt idx="393">
                  <c:v>6.177604876670185E-3</c:v>
                </c:pt>
                <c:pt idx="394">
                  <c:v>6.1884120332697775E-3</c:v>
                </c:pt>
                <c:pt idx="395">
                  <c:v>6.1992106918741198E-3</c:v>
                </c:pt>
                <c:pt idx="396">
                  <c:v>6.2100008879161931E-3</c:v>
                </c:pt>
                <c:pt idx="397">
                  <c:v>6.2207826565466428E-3</c:v>
                </c:pt>
                <c:pt idx="398">
                  <c:v>6.2315560326859053E-3</c:v>
                </c:pt>
                <c:pt idx="399">
                  <c:v>6.2423210510036322E-3</c:v>
                </c:pt>
                <c:pt idx="400">
                  <c:v>6.2530777459316256E-3</c:v>
                </c:pt>
                <c:pt idx="401">
                  <c:v>6.2638261516102618E-3</c:v>
                </c:pt>
                <c:pt idx="402">
                  <c:v>6.274566302025936E-3</c:v>
                </c:pt>
                <c:pt idx="403">
                  <c:v>6.2852982308396503E-3</c:v>
                </c:pt>
                <c:pt idx="404">
                  <c:v>6.2960219715661857E-3</c:v>
                </c:pt>
                <c:pt idx="405">
                  <c:v>6.3067375573750296E-3</c:v>
                </c:pt>
                <c:pt idx="406">
                  <c:v>6.3174450213139676E-3</c:v>
                </c:pt>
                <c:pt idx="407">
                  <c:v>6.3281443960918832E-3</c:v>
                </c:pt>
                <c:pt idx="408">
                  <c:v>6.3388357143605127E-3</c:v>
                </c:pt>
                <c:pt idx="409">
                  <c:v>6.349519008331769E-3</c:v>
                </c:pt>
                <c:pt idx="410">
                  <c:v>6.3601943101385724E-3</c:v>
                </c:pt>
                <c:pt idx="411">
                  <c:v>6.3708616517086942E-3</c:v>
                </c:pt>
                <c:pt idx="412">
                  <c:v>6.381521064624418E-3</c:v>
                </c:pt>
                <c:pt idx="413">
                  <c:v>6.3921725803687823E-3</c:v>
                </c:pt>
                <c:pt idx="414">
                  <c:v>6.4028162301635735E-3</c:v>
                </c:pt>
                <c:pt idx="415">
                  <c:v>6.4134520450287663E-3</c:v>
                </c:pt>
                <c:pt idx="416">
                  <c:v>6.4240800557564971E-3</c:v>
                </c:pt>
                <c:pt idx="417">
                  <c:v>6.4347002929845947E-3</c:v>
                </c:pt>
                <c:pt idx="418">
                  <c:v>6.4453127871030537E-3</c:v>
                </c:pt>
                <c:pt idx="419">
                  <c:v>6.4559175682449496E-3</c:v>
                </c:pt>
                <c:pt idx="420">
                  <c:v>6.4665146664433931E-3</c:v>
                </c:pt>
                <c:pt idx="421">
                  <c:v>6.4771041115255761E-3</c:v>
                </c:pt>
                <c:pt idx="422">
                  <c:v>6.4876859330302182E-3</c:v>
                </c:pt>
                <c:pt idx="423">
                  <c:v>6.4982601603260377E-3</c:v>
                </c:pt>
                <c:pt idx="424">
                  <c:v>6.508826822674136E-3</c:v>
                </c:pt>
                <c:pt idx="425">
                  <c:v>6.5193859490448426E-3</c:v>
                </c:pt>
                <c:pt idx="426">
                  <c:v>6.5299375682492458E-3</c:v>
                </c:pt>
                <c:pt idx="427">
                  <c:v>6.5404817089808496E-3</c:v>
                </c:pt>
                <c:pt idx="428">
                  <c:v>6.5510183996512717E-3</c:v>
                </c:pt>
                <c:pt idx="429">
                  <c:v>6.5615476684535061E-3</c:v>
                </c:pt>
                <c:pt idx="430">
                  <c:v>6.5720695434797289E-3</c:v>
                </c:pt>
                <c:pt idx="431">
                  <c:v>6.5825840526823583E-3</c:v>
                </c:pt>
                <c:pt idx="432">
                  <c:v>6.5930912236855429E-3</c:v>
                </c:pt>
                <c:pt idx="433">
                  <c:v>6.603591084108967E-3</c:v>
                </c:pt>
                <c:pt idx="434">
                  <c:v>6.6140836612059552E-3</c:v>
                </c:pt>
                <c:pt idx="435">
                  <c:v>6.6245689822708974E-3</c:v>
                </c:pt>
                <c:pt idx="436">
                  <c:v>6.6350470741851925E-3</c:v>
                </c:pt>
                <c:pt idx="437">
                  <c:v>6.6455179638515334E-3</c:v>
                </c:pt>
                <c:pt idx="438">
                  <c:v>6.6559816779444845E-3</c:v>
                </c:pt>
                <c:pt idx="439">
                  <c:v>6.6664382428605696E-3</c:v>
                </c:pt>
                <c:pt idx="440">
                  <c:v>6.6768876850009729E-3</c:v>
                </c:pt>
                <c:pt idx="441">
                  <c:v>6.6873300304461361E-3</c:v>
                </c:pt>
                <c:pt idx="442">
                  <c:v>6.6977653053216114E-3</c:v>
                </c:pt>
                <c:pt idx="443">
                  <c:v>6.7081935353619192E-3</c:v>
                </c:pt>
                <c:pt idx="444">
                  <c:v>6.7186147462587088E-3</c:v>
                </c:pt>
                <c:pt idx="445">
                  <c:v>6.7290289634253046E-3</c:v>
                </c:pt>
                <c:pt idx="446">
                  <c:v>6.7394362123246055E-3</c:v>
                </c:pt>
                <c:pt idx="447">
                  <c:v>6.7498365181804616E-3</c:v>
                </c:pt>
                <c:pt idx="448">
                  <c:v>6.7602299058255062E-3</c:v>
                </c:pt>
                <c:pt idx="449">
                  <c:v>6.7706164002708747E-3</c:v>
                </c:pt>
                <c:pt idx="450">
                  <c:v>6.7809960263042765E-3</c:v>
                </c:pt>
                <c:pt idx="451">
                  <c:v>6.7913688083251697E-3</c:v>
                </c:pt>
                <c:pt idx="452">
                  <c:v>6.8017347710033552E-3</c:v>
                </c:pt>
                <c:pt idx="453">
                  <c:v>6.8120939383458203E-3</c:v>
                </c:pt>
                <c:pt idx="454">
                  <c:v>6.82244633462834E-3</c:v>
                </c:pt>
                <c:pt idx="455">
                  <c:v>6.8327919836959706E-3</c:v>
                </c:pt>
                <c:pt idx="456">
                  <c:v>6.8431309095299446E-3</c:v>
                </c:pt>
                <c:pt idx="457">
                  <c:v>6.8534631357326688E-3</c:v>
                </c:pt>
                <c:pt idx="458">
                  <c:v>6.8637886857358943E-3</c:v>
                </c:pt>
                <c:pt idx="459">
                  <c:v>6.8741075833112352E-3</c:v>
                </c:pt>
                <c:pt idx="460">
                  <c:v>6.8844198511560564E-3</c:v>
                </c:pt>
                <c:pt idx="461">
                  <c:v>6.8947255128899891E-3</c:v>
                </c:pt>
                <c:pt idx="462">
                  <c:v>6.9050245912923199E-3</c:v>
                </c:pt>
                <c:pt idx="463">
                  <c:v>6.9153171092467113E-3</c:v>
                </c:pt>
                <c:pt idx="464">
                  <c:v>6.9256030894543404E-3</c:v>
                </c:pt>
                <c:pt idx="465">
                  <c:v>6.9358825543579701E-3</c:v>
                </c:pt>
                <c:pt idx="466">
                  <c:v>6.9461555262993148E-3</c:v>
                </c:pt>
                <c:pt idx="467">
                  <c:v>6.9564220280668625E-3</c:v>
                </c:pt>
                <c:pt idx="468">
                  <c:v>6.9666820815093766E-3</c:v>
                </c:pt>
                <c:pt idx="469">
                  <c:v>6.9769357086824297E-3</c:v>
                </c:pt>
                <c:pt idx="470">
                  <c:v>6.9871829313986767E-3</c:v>
                </c:pt>
                <c:pt idx="471">
                  <c:v>6.9974237717848192E-3</c:v>
                </c:pt>
                <c:pt idx="472">
                  <c:v>7.0076582512915916E-3</c:v>
                </c:pt>
                <c:pt idx="473">
                  <c:v>7.0178863912063903E-3</c:v>
                </c:pt>
                <c:pt idx="474">
                  <c:v>7.0281082131485734E-3</c:v>
                </c:pt>
                <c:pt idx="475">
                  <c:v>7.038323738452504E-3</c:v>
                </c:pt>
                <c:pt idx="476">
                  <c:v>7.0485329884110567E-3</c:v>
                </c:pt>
                <c:pt idx="477">
                  <c:v>7.0587359838425196E-3</c:v>
                </c:pt>
                <c:pt idx="478">
                  <c:v>7.0689327456018042E-3</c:v>
                </c:pt>
                <c:pt idx="479">
                  <c:v>7.0791232943663374E-3</c:v>
                </c:pt>
                <c:pt idx="480">
                  <c:v>7.0893076514294846E-3</c:v>
                </c:pt>
                <c:pt idx="481">
                  <c:v>7.0994858367481673E-3</c:v>
                </c:pt>
                <c:pt idx="482">
                  <c:v>7.1096578708446075E-3</c:v>
                </c:pt>
                <c:pt idx="483">
                  <c:v>7.1198237746973592E-3</c:v>
                </c:pt>
                <c:pt idx="484">
                  <c:v>7.1299835679121491E-3</c:v>
                </c:pt>
                <c:pt idx="485">
                  <c:v>7.1401372701327525E-3</c:v>
                </c:pt>
                <c:pt idx="486">
                  <c:v>7.1502849020253527E-3</c:v>
                </c:pt>
                <c:pt idx="487">
                  <c:v>7.160426483330617E-3</c:v>
                </c:pt>
                <c:pt idx="488">
                  <c:v>7.1705620335320991E-3</c:v>
                </c:pt>
                <c:pt idx="489">
                  <c:v>7.1806915727129416E-3</c:v>
                </c:pt>
                <c:pt idx="490">
                  <c:v>7.1908151203327721E-3</c:v>
                </c:pt>
                <c:pt idx="491">
                  <c:v>7.2009326956355511E-3</c:v>
                </c:pt>
                <c:pt idx="492">
                  <c:v>7.2110443176800938E-3</c:v>
                </c:pt>
                <c:pt idx="493">
                  <c:v>7.2211500057086878E-3</c:v>
                </c:pt>
                <c:pt idx="494">
                  <c:v>7.2312497796206358E-3</c:v>
                </c:pt>
                <c:pt idx="495">
                  <c:v>7.2413436585998152E-3</c:v>
                </c:pt>
                <c:pt idx="496">
                  <c:v>7.2514316591566746E-3</c:v>
                </c:pt>
                <c:pt idx="497">
                  <c:v>7.2615138026386602E-3</c:v>
                </c:pt>
                <c:pt idx="498">
                  <c:v>7.2715901065941559E-3</c:v>
                </c:pt>
                <c:pt idx="499">
                  <c:v>7.2816605900707402E-3</c:v>
                </c:pt>
                <c:pt idx="500">
                  <c:v>7.2917252708658798E-3</c:v>
                </c:pt>
                <c:pt idx="501">
                  <c:v>7.3017841682850929E-3</c:v>
                </c:pt>
                <c:pt idx="502">
                  <c:v>7.3118373008661071E-3</c:v>
                </c:pt>
                <c:pt idx="503">
                  <c:v>7.3218846848476949E-3</c:v>
                </c:pt>
                <c:pt idx="504">
                  <c:v>7.3319263393978474E-3</c:v>
                </c:pt>
                <c:pt idx="505">
                  <c:v>7.3419622833870287E-3</c:v>
                </c:pt>
                <c:pt idx="506">
                  <c:v>7.3519925330146176E-3</c:v>
                </c:pt>
                <c:pt idx="507">
                  <c:v>7.3620171082905599E-3</c:v>
                </c:pt>
                <c:pt idx="508">
                  <c:v>7.3720360251563772E-3</c:v>
                </c:pt>
                <c:pt idx="509">
                  <c:v>7.3820493014410621E-3</c:v>
                </c:pt>
                <c:pt idx="510">
                  <c:v>7.3920569536611485E-3</c:v>
                </c:pt>
                <c:pt idx="511">
                  <c:v>7.4020590027169394E-3</c:v>
                </c:pt>
                <c:pt idx="512">
                  <c:v>7.4120554612564738E-3</c:v>
                </c:pt>
                <c:pt idx="513">
                  <c:v>7.4220463507546465E-3</c:v>
                </c:pt>
                <c:pt idx="514">
                  <c:v>7.4320316860148642E-3</c:v>
                </c:pt>
                <c:pt idx="515">
                  <c:v>7.4420114835968996E-3</c:v>
                </c:pt>
                <c:pt idx="516">
                  <c:v>7.4519857630222074E-3</c:v>
                </c:pt>
                <c:pt idx="517">
                  <c:v>7.4619545368546196E-3</c:v>
                </c:pt>
                <c:pt idx="518">
                  <c:v>7.4719178275461451E-3</c:v>
                </c:pt>
                <c:pt idx="519">
                  <c:v>7.4818756466001257E-3</c:v>
                </c:pt>
                <c:pt idx="520">
                  <c:v>7.4918280144996366E-3</c:v>
                </c:pt>
                <c:pt idx="521">
                  <c:v>7.5017749459883555E-3</c:v>
                </c:pt>
                <c:pt idx="522">
                  <c:v>7.5117164569374817E-3</c:v>
                </c:pt>
                <c:pt idx="523">
                  <c:v>7.5216525625239998E-3</c:v>
                </c:pt>
                <c:pt idx="524">
                  <c:v>7.5315832855200569E-3</c:v>
                </c:pt>
                <c:pt idx="525">
                  <c:v>7.5415086334610654E-3</c:v>
                </c:pt>
                <c:pt idx="526">
                  <c:v>7.5514286250888312E-3</c:v>
                </c:pt>
                <c:pt idx="527">
                  <c:v>7.5613432810605133E-3</c:v>
                </c:pt>
                <c:pt idx="528">
                  <c:v>7.5712526111748075E-3</c:v>
                </c:pt>
                <c:pt idx="529">
                  <c:v>7.5811566370376461E-3</c:v>
                </c:pt>
                <c:pt idx="530">
                  <c:v>7.5910553690653323E-3</c:v>
                </c:pt>
                <c:pt idx="531">
                  <c:v>7.6009488270079723E-3</c:v>
                </c:pt>
                <c:pt idx="532">
                  <c:v>7.6108370247904185E-3</c:v>
                </c:pt>
                <c:pt idx="533">
                  <c:v>7.6207199783462475E-3</c:v>
                </c:pt>
                <c:pt idx="534">
                  <c:v>7.6305976989616926E-3</c:v>
                </c:pt>
                <c:pt idx="535">
                  <c:v>7.6404702084552642E-3</c:v>
                </c:pt>
                <c:pt idx="536">
                  <c:v>7.6503375185921077E-3</c:v>
                </c:pt>
                <c:pt idx="537">
                  <c:v>7.6601996440937674E-3</c:v>
                </c:pt>
                <c:pt idx="538">
                  <c:v>7.6700566039597127E-3</c:v>
                </c:pt>
                <c:pt idx="539">
                  <c:v>7.6799084077934501E-3</c:v>
                </c:pt>
                <c:pt idx="540">
                  <c:v>7.6897550755758194E-3</c:v>
                </c:pt>
                <c:pt idx="541">
                  <c:v>7.6995966175398165E-3</c:v>
                </c:pt>
                <c:pt idx="542">
                  <c:v>7.7094330554870203E-3</c:v>
                </c:pt>
                <c:pt idx="543">
                  <c:v>7.7192643943942672E-3</c:v>
                </c:pt>
                <c:pt idx="544">
                  <c:v>7.7290906564032426E-3</c:v>
                </c:pt>
                <c:pt idx="545">
                  <c:v>7.7389118540839913E-3</c:v>
                </c:pt>
                <c:pt idx="546">
                  <c:v>7.7487280004569772E-3</c:v>
                </c:pt>
                <c:pt idx="547">
                  <c:v>7.7585391149788711E-3</c:v>
                </c:pt>
                <c:pt idx="548">
                  <c:v>7.7683452075757086E-3</c:v>
                </c:pt>
                <c:pt idx="549">
                  <c:v>7.7781462868161686E-3</c:v>
                </c:pt>
                <c:pt idx="550">
                  <c:v>7.7879423809288873E-3</c:v>
                </c:pt>
                <c:pt idx="551">
                  <c:v>7.7977334975784423E-3</c:v>
                </c:pt>
                <c:pt idx="552">
                  <c:v>7.8075196470719106E-3</c:v>
                </c:pt>
                <c:pt idx="553">
                  <c:v>7.8173008434967214E-3</c:v>
                </c:pt>
                <c:pt idx="554">
                  <c:v>7.8270771050502497E-3</c:v>
                </c:pt>
                <c:pt idx="555">
                  <c:v>7.8368484533752232E-3</c:v>
                </c:pt>
                <c:pt idx="556">
                  <c:v>7.8466148785949087E-3</c:v>
                </c:pt>
                <c:pt idx="557">
                  <c:v>7.8563764215119469E-3</c:v>
                </c:pt>
                <c:pt idx="558">
                  <c:v>7.8661330758257823E-3</c:v>
                </c:pt>
                <c:pt idx="559">
                  <c:v>7.8758848676435209E-3</c:v>
                </c:pt>
                <c:pt idx="560">
                  <c:v>7.8856317996665488E-3</c:v>
                </c:pt>
                <c:pt idx="561">
                  <c:v>7.8953739001577129E-3</c:v>
                </c:pt>
                <c:pt idx="562">
                  <c:v>7.9051111593845501E-3</c:v>
                </c:pt>
                <c:pt idx="563">
                  <c:v>7.9148436155080451E-3</c:v>
                </c:pt>
                <c:pt idx="564">
                  <c:v>7.9245712737247721E-3</c:v>
                </c:pt>
                <c:pt idx="565">
                  <c:v>7.9342941473794868E-3</c:v>
                </c:pt>
                <c:pt idx="566">
                  <c:v>7.9440122397605416E-3</c:v>
                </c:pt>
                <c:pt idx="567">
                  <c:v>7.9537255749567506E-3</c:v>
                </c:pt>
                <c:pt idx="568">
                  <c:v>7.9634341618717401E-3</c:v>
                </c:pt>
                <c:pt idx="569">
                  <c:v>7.9731380187669544E-3</c:v>
                </c:pt>
                <c:pt idx="570">
                  <c:v>7.9828371364970632E-3</c:v>
                </c:pt>
                <c:pt idx="571">
                  <c:v>7.9925315693839989E-3</c:v>
                </c:pt>
                <c:pt idx="572">
                  <c:v>8.0022213009040763E-3</c:v>
                </c:pt>
                <c:pt idx="573">
                  <c:v>8.011906331545424E-3</c:v>
                </c:pt>
                <c:pt idx="574">
                  <c:v>8.0215867100217903E-3</c:v>
                </c:pt>
                <c:pt idx="575">
                  <c:v>8.0312624273795475E-3</c:v>
                </c:pt>
                <c:pt idx="576">
                  <c:v>8.0409334934924675E-3</c:v>
                </c:pt>
                <c:pt idx="577">
                  <c:v>8.0505999307088159E-3</c:v>
                </c:pt>
                <c:pt idx="578">
                  <c:v>8.0602617491452345E-3</c:v>
                </c:pt>
                <c:pt idx="579">
                  <c:v>8.069918956599963E-3</c:v>
                </c:pt>
                <c:pt idx="580">
                  <c:v>8.0795715784183052E-3</c:v>
                </c:pt>
                <c:pt idx="581">
                  <c:v>8.0892196019165079E-3</c:v>
                </c:pt>
                <c:pt idx="582">
                  <c:v>8.0988630620982219E-3</c:v>
                </c:pt>
                <c:pt idx="583">
                  <c:v>8.1085019576190905E-3</c:v>
                </c:pt>
                <c:pt idx="584">
                  <c:v>8.1181363221832486E-3</c:v>
                </c:pt>
                <c:pt idx="585">
                  <c:v>8.1277661399861735E-3</c:v>
                </c:pt>
                <c:pt idx="586">
                  <c:v>8.1373914395422488E-3</c:v>
                </c:pt>
                <c:pt idx="587">
                  <c:v>8.1470122243780668E-3</c:v>
                </c:pt>
                <c:pt idx="588">
                  <c:v>8.1566285212035274E-3</c:v>
                </c:pt>
                <c:pt idx="589">
                  <c:v>8.1662403226505104E-3</c:v>
                </c:pt>
                <c:pt idx="590">
                  <c:v>8.1758476360387078E-3</c:v>
                </c:pt>
                <c:pt idx="591">
                  <c:v>8.1854505174936299E-3</c:v>
                </c:pt>
                <c:pt idx="592">
                  <c:v>8.1950489207745312E-3</c:v>
                </c:pt>
                <c:pt idx="593">
                  <c:v>8.2046428957514329E-3</c:v>
                </c:pt>
                <c:pt idx="594">
                  <c:v>8.2142324332922755E-3</c:v>
                </c:pt>
                <c:pt idx="595">
                  <c:v>8.2238175579167124E-3</c:v>
                </c:pt>
                <c:pt idx="596">
                  <c:v>8.2333982792814515E-3</c:v>
                </c:pt>
                <c:pt idx="597">
                  <c:v>8.2429746078280779E-3</c:v>
                </c:pt>
                <c:pt idx="598">
                  <c:v>8.2525465732104907E-3</c:v>
                </c:pt>
                <c:pt idx="599">
                  <c:v>8.262114132574291E-3</c:v>
                </c:pt>
                <c:pt idx="600">
                  <c:v>8.2716773432184986E-3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64-4912-9B28-224137D7938A}"/>
            </c:ext>
          </c:extLst>
        </c:ser>
        <c:ser>
          <c:idx val="2"/>
          <c:order val="2"/>
          <c:tx>
            <c:strRef>
              <c:f>Densities!$X$4</c:f>
              <c:strCache>
                <c:ptCount val="1"/>
                <c:pt idx="0">
                  <c:v>Normal</c:v>
                </c:pt>
              </c:strCache>
            </c:strRef>
          </c:tx>
          <c:marker>
            <c:symbol val="none"/>
          </c:marker>
          <c:xVal>
            <c:numRef>
              <c:f>Densities!$O$5:$O$605</c:f>
              <c:numCache>
                <c:formatCode>0.00%</c:formatCode>
                <c:ptCount val="601"/>
                <c:pt idx="0" formatCode="0.0%">
                  <c:v>-0.01</c:v>
                </c:pt>
                <c:pt idx="1">
                  <c:v>-9.9000000000000008E-3</c:v>
                </c:pt>
                <c:pt idx="2">
                  <c:v>-9.8000000000000014E-3</c:v>
                </c:pt>
                <c:pt idx="3">
                  <c:v>-9.700000000000002E-3</c:v>
                </c:pt>
                <c:pt idx="4">
                  <c:v>-9.6000000000000026E-3</c:v>
                </c:pt>
                <c:pt idx="5">
                  <c:v>-9.5000000000000032E-3</c:v>
                </c:pt>
                <c:pt idx="6">
                  <c:v>-9.4000000000000038E-3</c:v>
                </c:pt>
                <c:pt idx="7">
                  <c:v>-9.3000000000000044E-3</c:v>
                </c:pt>
                <c:pt idx="8">
                  <c:v>-9.200000000000005E-3</c:v>
                </c:pt>
                <c:pt idx="9">
                  <c:v>-9.1000000000000057E-3</c:v>
                </c:pt>
                <c:pt idx="10">
                  <c:v>-9.0000000000000063E-3</c:v>
                </c:pt>
                <c:pt idx="11">
                  <c:v>-8.9000000000000069E-3</c:v>
                </c:pt>
                <c:pt idx="12">
                  <c:v>-8.8000000000000075E-3</c:v>
                </c:pt>
                <c:pt idx="13">
                  <c:v>-8.7000000000000081E-3</c:v>
                </c:pt>
                <c:pt idx="14">
                  <c:v>-8.6000000000000087E-3</c:v>
                </c:pt>
                <c:pt idx="15">
                  <c:v>-8.5000000000000093E-3</c:v>
                </c:pt>
                <c:pt idx="16">
                  <c:v>-8.4000000000000099E-3</c:v>
                </c:pt>
                <c:pt idx="17">
                  <c:v>-8.3000000000000105E-3</c:v>
                </c:pt>
                <c:pt idx="18">
                  <c:v>-8.2000000000000111E-3</c:v>
                </c:pt>
                <c:pt idx="19">
                  <c:v>-8.1000000000000117E-3</c:v>
                </c:pt>
                <c:pt idx="20">
                  <c:v>-8.0000000000000123E-3</c:v>
                </c:pt>
                <c:pt idx="21">
                  <c:v>-7.9000000000000129E-3</c:v>
                </c:pt>
                <c:pt idx="22">
                  <c:v>-7.8000000000000127E-3</c:v>
                </c:pt>
                <c:pt idx="23">
                  <c:v>-7.7000000000000124E-3</c:v>
                </c:pt>
                <c:pt idx="24">
                  <c:v>-7.6000000000000121E-3</c:v>
                </c:pt>
                <c:pt idx="25">
                  <c:v>-7.5000000000000119E-3</c:v>
                </c:pt>
                <c:pt idx="26">
                  <c:v>-7.4000000000000116E-3</c:v>
                </c:pt>
                <c:pt idx="27">
                  <c:v>-7.3000000000000113E-3</c:v>
                </c:pt>
                <c:pt idx="28">
                  <c:v>-7.2000000000000111E-3</c:v>
                </c:pt>
                <c:pt idx="29">
                  <c:v>-7.1000000000000108E-3</c:v>
                </c:pt>
                <c:pt idx="30">
                  <c:v>-7.0000000000000106E-3</c:v>
                </c:pt>
                <c:pt idx="31">
                  <c:v>-6.9000000000000103E-3</c:v>
                </c:pt>
                <c:pt idx="32">
                  <c:v>-6.80000000000001E-3</c:v>
                </c:pt>
                <c:pt idx="33">
                  <c:v>-6.7000000000000098E-3</c:v>
                </c:pt>
                <c:pt idx="34">
                  <c:v>-6.6000000000000095E-3</c:v>
                </c:pt>
                <c:pt idx="35">
                  <c:v>-6.5000000000000092E-3</c:v>
                </c:pt>
                <c:pt idx="36">
                  <c:v>-6.400000000000009E-3</c:v>
                </c:pt>
                <c:pt idx="37">
                  <c:v>-6.3000000000000087E-3</c:v>
                </c:pt>
                <c:pt idx="38">
                  <c:v>-6.2000000000000085E-3</c:v>
                </c:pt>
                <c:pt idx="39">
                  <c:v>-6.1000000000000082E-3</c:v>
                </c:pt>
                <c:pt idx="40">
                  <c:v>-6.0000000000000079E-3</c:v>
                </c:pt>
                <c:pt idx="41">
                  <c:v>-5.9000000000000077E-3</c:v>
                </c:pt>
                <c:pt idx="42">
                  <c:v>-5.8000000000000074E-3</c:v>
                </c:pt>
                <c:pt idx="43">
                  <c:v>-5.7000000000000071E-3</c:v>
                </c:pt>
                <c:pt idx="44">
                  <c:v>-5.6000000000000069E-3</c:v>
                </c:pt>
                <c:pt idx="45">
                  <c:v>-5.5000000000000066E-3</c:v>
                </c:pt>
                <c:pt idx="46">
                  <c:v>-5.4000000000000064E-3</c:v>
                </c:pt>
                <c:pt idx="47">
                  <c:v>-5.3000000000000061E-3</c:v>
                </c:pt>
                <c:pt idx="48">
                  <c:v>-5.2000000000000058E-3</c:v>
                </c:pt>
                <c:pt idx="49">
                  <c:v>-5.1000000000000056E-3</c:v>
                </c:pt>
                <c:pt idx="50">
                  <c:v>-5.0000000000000053E-3</c:v>
                </c:pt>
                <c:pt idx="51">
                  <c:v>-4.900000000000005E-3</c:v>
                </c:pt>
                <c:pt idx="52">
                  <c:v>-4.8000000000000048E-3</c:v>
                </c:pt>
                <c:pt idx="53">
                  <c:v>-4.7000000000000045E-3</c:v>
                </c:pt>
                <c:pt idx="54">
                  <c:v>-4.6000000000000043E-3</c:v>
                </c:pt>
                <c:pt idx="55">
                  <c:v>-4.500000000000004E-3</c:v>
                </c:pt>
                <c:pt idx="56">
                  <c:v>-4.4000000000000037E-3</c:v>
                </c:pt>
                <c:pt idx="57">
                  <c:v>-4.3000000000000035E-3</c:v>
                </c:pt>
                <c:pt idx="58">
                  <c:v>-4.2000000000000032E-3</c:v>
                </c:pt>
                <c:pt idx="59">
                  <c:v>-4.1000000000000029E-3</c:v>
                </c:pt>
                <c:pt idx="60">
                  <c:v>-4.0000000000000027E-3</c:v>
                </c:pt>
                <c:pt idx="61">
                  <c:v>-3.9000000000000029E-3</c:v>
                </c:pt>
                <c:pt idx="62">
                  <c:v>-3.800000000000003E-3</c:v>
                </c:pt>
                <c:pt idx="63">
                  <c:v>-3.7000000000000032E-3</c:v>
                </c:pt>
                <c:pt idx="64">
                  <c:v>-3.6000000000000034E-3</c:v>
                </c:pt>
                <c:pt idx="65">
                  <c:v>-3.5000000000000035E-3</c:v>
                </c:pt>
                <c:pt idx="66">
                  <c:v>-3.4000000000000037E-3</c:v>
                </c:pt>
                <c:pt idx="67">
                  <c:v>-3.3000000000000039E-3</c:v>
                </c:pt>
                <c:pt idx="68">
                  <c:v>-3.2000000000000041E-3</c:v>
                </c:pt>
                <c:pt idx="69">
                  <c:v>-3.1000000000000042E-3</c:v>
                </c:pt>
                <c:pt idx="70">
                  <c:v>-3.0000000000000044E-3</c:v>
                </c:pt>
                <c:pt idx="71">
                  <c:v>-2.9000000000000046E-3</c:v>
                </c:pt>
                <c:pt idx="72">
                  <c:v>-2.8000000000000047E-3</c:v>
                </c:pt>
                <c:pt idx="73">
                  <c:v>-2.7000000000000049E-3</c:v>
                </c:pt>
                <c:pt idx="74">
                  <c:v>-2.6000000000000051E-3</c:v>
                </c:pt>
                <c:pt idx="75">
                  <c:v>-2.5000000000000053E-3</c:v>
                </c:pt>
                <c:pt idx="76">
                  <c:v>-2.4000000000000054E-3</c:v>
                </c:pt>
                <c:pt idx="77">
                  <c:v>-2.3000000000000056E-3</c:v>
                </c:pt>
                <c:pt idx="78">
                  <c:v>-2.2000000000000058E-3</c:v>
                </c:pt>
                <c:pt idx="79">
                  <c:v>-2.1000000000000059E-3</c:v>
                </c:pt>
                <c:pt idx="80">
                  <c:v>-2.0000000000000061E-3</c:v>
                </c:pt>
                <c:pt idx="81">
                  <c:v>-1.9000000000000061E-3</c:v>
                </c:pt>
                <c:pt idx="82">
                  <c:v>-1.800000000000006E-3</c:v>
                </c:pt>
                <c:pt idx="83">
                  <c:v>-1.700000000000006E-3</c:v>
                </c:pt>
                <c:pt idx="84">
                  <c:v>-1.6000000000000059E-3</c:v>
                </c:pt>
                <c:pt idx="85">
                  <c:v>-1.5000000000000059E-3</c:v>
                </c:pt>
                <c:pt idx="86">
                  <c:v>-1.4000000000000058E-3</c:v>
                </c:pt>
                <c:pt idx="87">
                  <c:v>-1.3000000000000058E-3</c:v>
                </c:pt>
                <c:pt idx="88">
                  <c:v>-1.2000000000000057E-3</c:v>
                </c:pt>
                <c:pt idx="89">
                  <c:v>-1.1000000000000057E-3</c:v>
                </c:pt>
                <c:pt idx="90">
                  <c:v>-1.0000000000000057E-3</c:v>
                </c:pt>
                <c:pt idx="91">
                  <c:v>-9.0000000000000561E-4</c:v>
                </c:pt>
                <c:pt idx="92">
                  <c:v>-8.0000000000000557E-4</c:v>
                </c:pt>
                <c:pt idx="93">
                  <c:v>-7.0000000000000552E-4</c:v>
                </c:pt>
                <c:pt idx="94">
                  <c:v>-6.0000000000000548E-4</c:v>
                </c:pt>
                <c:pt idx="95">
                  <c:v>-5.0000000000000543E-4</c:v>
                </c:pt>
                <c:pt idx="96">
                  <c:v>-4.0000000000000544E-4</c:v>
                </c:pt>
                <c:pt idx="97">
                  <c:v>-3.0000000000000545E-4</c:v>
                </c:pt>
                <c:pt idx="98">
                  <c:v>-2.0000000000000546E-4</c:v>
                </c:pt>
                <c:pt idx="99">
                  <c:v>-1.0000000000000545E-4</c:v>
                </c:pt>
                <c:pt idx="100">
                  <c:v>-5.4481159167396598E-18</c:v>
                </c:pt>
                <c:pt idx="101">
                  <c:v>9.9999999999994557E-5</c:v>
                </c:pt>
                <c:pt idx="102">
                  <c:v>1.9999999999999456E-4</c:v>
                </c:pt>
                <c:pt idx="103">
                  <c:v>2.9999999999999455E-4</c:v>
                </c:pt>
                <c:pt idx="104">
                  <c:v>3.9999999999999454E-4</c:v>
                </c:pt>
                <c:pt idx="105">
                  <c:v>4.9999999999999459E-4</c:v>
                </c:pt>
                <c:pt idx="106">
                  <c:v>5.9999999999999463E-4</c:v>
                </c:pt>
                <c:pt idx="107">
                  <c:v>6.9999999999999468E-4</c:v>
                </c:pt>
                <c:pt idx="108">
                  <c:v>7.9999999999999473E-4</c:v>
                </c:pt>
                <c:pt idx="109">
                  <c:v>8.9999999999999477E-4</c:v>
                </c:pt>
                <c:pt idx="110">
                  <c:v>9.9999999999999482E-4</c:v>
                </c:pt>
                <c:pt idx="111">
                  <c:v>1.0999999999999949E-3</c:v>
                </c:pt>
                <c:pt idx="112">
                  <c:v>1.1999999999999949E-3</c:v>
                </c:pt>
                <c:pt idx="113">
                  <c:v>1.299999999999995E-3</c:v>
                </c:pt>
                <c:pt idx="114">
                  <c:v>1.399999999999995E-3</c:v>
                </c:pt>
                <c:pt idx="115">
                  <c:v>1.499999999999995E-3</c:v>
                </c:pt>
                <c:pt idx="116">
                  <c:v>1.5999999999999951E-3</c:v>
                </c:pt>
                <c:pt idx="117">
                  <c:v>1.6999999999999951E-3</c:v>
                </c:pt>
                <c:pt idx="118">
                  <c:v>1.7999999999999952E-3</c:v>
                </c:pt>
                <c:pt idx="119">
                  <c:v>1.8999999999999952E-3</c:v>
                </c:pt>
                <c:pt idx="120">
                  <c:v>1.9999999999999953E-3</c:v>
                </c:pt>
                <c:pt idx="121">
                  <c:v>2.0999999999999951E-3</c:v>
                </c:pt>
                <c:pt idx="122">
                  <c:v>2.1999999999999949E-3</c:v>
                </c:pt>
                <c:pt idx="123">
                  <c:v>2.2999999999999948E-3</c:v>
                </c:pt>
                <c:pt idx="124">
                  <c:v>2.3999999999999946E-3</c:v>
                </c:pt>
                <c:pt idx="125">
                  <c:v>2.4999999999999944E-3</c:v>
                </c:pt>
                <c:pt idx="126">
                  <c:v>2.5999999999999942E-3</c:v>
                </c:pt>
                <c:pt idx="127">
                  <c:v>2.6999999999999941E-3</c:v>
                </c:pt>
                <c:pt idx="128">
                  <c:v>2.7999999999999939E-3</c:v>
                </c:pt>
                <c:pt idx="129">
                  <c:v>2.8999999999999937E-3</c:v>
                </c:pt>
                <c:pt idx="130">
                  <c:v>2.9999999999999936E-3</c:v>
                </c:pt>
                <c:pt idx="131">
                  <c:v>3.0999999999999934E-3</c:v>
                </c:pt>
                <c:pt idx="132">
                  <c:v>3.1999999999999932E-3</c:v>
                </c:pt>
                <c:pt idx="133">
                  <c:v>3.299999999999993E-3</c:v>
                </c:pt>
                <c:pt idx="134">
                  <c:v>3.3999999999999929E-3</c:v>
                </c:pt>
                <c:pt idx="135">
                  <c:v>3.4999999999999927E-3</c:v>
                </c:pt>
                <c:pt idx="136">
                  <c:v>3.5999999999999925E-3</c:v>
                </c:pt>
                <c:pt idx="137">
                  <c:v>3.6999999999999924E-3</c:v>
                </c:pt>
                <c:pt idx="138">
                  <c:v>3.7999999999999922E-3</c:v>
                </c:pt>
                <c:pt idx="139">
                  <c:v>3.899999999999992E-3</c:v>
                </c:pt>
                <c:pt idx="140">
                  <c:v>3.9999999999999923E-3</c:v>
                </c:pt>
                <c:pt idx="141">
                  <c:v>4.0999999999999925E-3</c:v>
                </c:pt>
                <c:pt idx="142">
                  <c:v>4.1999999999999928E-3</c:v>
                </c:pt>
                <c:pt idx="143">
                  <c:v>4.2999999999999931E-3</c:v>
                </c:pt>
                <c:pt idx="144">
                  <c:v>4.3999999999999933E-3</c:v>
                </c:pt>
                <c:pt idx="145">
                  <c:v>4.4999999999999936E-3</c:v>
                </c:pt>
                <c:pt idx="146">
                  <c:v>4.5999999999999939E-3</c:v>
                </c:pt>
                <c:pt idx="147">
                  <c:v>4.6999999999999941E-3</c:v>
                </c:pt>
                <c:pt idx="148">
                  <c:v>4.7999999999999944E-3</c:v>
                </c:pt>
                <c:pt idx="149">
                  <c:v>4.8999999999999946E-3</c:v>
                </c:pt>
                <c:pt idx="150">
                  <c:v>4.9999999999999949E-3</c:v>
                </c:pt>
                <c:pt idx="151">
                  <c:v>5.0999999999999952E-3</c:v>
                </c:pt>
                <c:pt idx="152">
                  <c:v>5.1999999999999954E-3</c:v>
                </c:pt>
                <c:pt idx="153">
                  <c:v>5.2999999999999957E-3</c:v>
                </c:pt>
                <c:pt idx="154">
                  <c:v>5.3999999999999959E-3</c:v>
                </c:pt>
                <c:pt idx="155">
                  <c:v>5.4999999999999962E-3</c:v>
                </c:pt>
                <c:pt idx="156">
                  <c:v>5.5999999999999965E-3</c:v>
                </c:pt>
                <c:pt idx="157">
                  <c:v>5.6999999999999967E-3</c:v>
                </c:pt>
                <c:pt idx="158">
                  <c:v>5.799999999999997E-3</c:v>
                </c:pt>
                <c:pt idx="159">
                  <c:v>5.8999999999999973E-3</c:v>
                </c:pt>
                <c:pt idx="160">
                  <c:v>5.9999999999999975E-3</c:v>
                </c:pt>
                <c:pt idx="161">
                  <c:v>6.0999999999999978E-3</c:v>
                </c:pt>
                <c:pt idx="162">
                  <c:v>6.199999999999998E-3</c:v>
                </c:pt>
                <c:pt idx="163">
                  <c:v>6.2999999999999983E-3</c:v>
                </c:pt>
                <c:pt idx="164">
                  <c:v>6.3999999999999986E-3</c:v>
                </c:pt>
                <c:pt idx="165">
                  <c:v>6.4999999999999988E-3</c:v>
                </c:pt>
                <c:pt idx="166">
                  <c:v>6.5999999999999991E-3</c:v>
                </c:pt>
                <c:pt idx="167">
                  <c:v>6.6999999999999994E-3</c:v>
                </c:pt>
                <c:pt idx="168">
                  <c:v>6.7999999999999996E-3</c:v>
                </c:pt>
                <c:pt idx="169">
                  <c:v>6.8999999999999999E-3</c:v>
                </c:pt>
                <c:pt idx="170">
                  <c:v>7.0000000000000001E-3</c:v>
                </c:pt>
                <c:pt idx="171">
                  <c:v>7.1000000000000004E-3</c:v>
                </c:pt>
                <c:pt idx="172">
                  <c:v>7.2000000000000007E-3</c:v>
                </c:pt>
                <c:pt idx="173">
                  <c:v>7.3000000000000009E-3</c:v>
                </c:pt>
                <c:pt idx="174">
                  <c:v>7.4000000000000012E-3</c:v>
                </c:pt>
                <c:pt idx="175">
                  <c:v>7.5000000000000015E-3</c:v>
                </c:pt>
                <c:pt idx="176">
                  <c:v>7.6000000000000017E-3</c:v>
                </c:pt>
                <c:pt idx="177">
                  <c:v>7.700000000000002E-3</c:v>
                </c:pt>
                <c:pt idx="178">
                  <c:v>7.8000000000000022E-3</c:v>
                </c:pt>
                <c:pt idx="179">
                  <c:v>7.9000000000000025E-3</c:v>
                </c:pt>
                <c:pt idx="180">
                  <c:v>8.0000000000000019E-3</c:v>
                </c:pt>
                <c:pt idx="181">
                  <c:v>8.1000000000000013E-3</c:v>
                </c:pt>
                <c:pt idx="182">
                  <c:v>8.2000000000000007E-3</c:v>
                </c:pt>
                <c:pt idx="183">
                  <c:v>8.3000000000000001E-3</c:v>
                </c:pt>
                <c:pt idx="184">
                  <c:v>8.3999999999999995E-3</c:v>
                </c:pt>
                <c:pt idx="185">
                  <c:v>8.4999999999999989E-3</c:v>
                </c:pt>
                <c:pt idx="186">
                  <c:v>8.5999999999999983E-3</c:v>
                </c:pt>
                <c:pt idx="187">
                  <c:v>8.6999999999999977E-3</c:v>
                </c:pt>
                <c:pt idx="188">
                  <c:v>8.7999999999999971E-3</c:v>
                </c:pt>
                <c:pt idx="189">
                  <c:v>8.8999999999999965E-3</c:v>
                </c:pt>
                <c:pt idx="190">
                  <c:v>8.9999999999999959E-3</c:v>
                </c:pt>
                <c:pt idx="191">
                  <c:v>9.0999999999999952E-3</c:v>
                </c:pt>
                <c:pt idx="192">
                  <c:v>9.1999999999999946E-3</c:v>
                </c:pt>
                <c:pt idx="193">
                  <c:v>9.299999999999994E-3</c:v>
                </c:pt>
                <c:pt idx="194">
                  <c:v>9.3999999999999934E-3</c:v>
                </c:pt>
                <c:pt idx="195">
                  <c:v>9.4999999999999928E-3</c:v>
                </c:pt>
                <c:pt idx="196">
                  <c:v>9.5999999999999922E-3</c:v>
                </c:pt>
                <c:pt idx="197">
                  <c:v>9.6999999999999916E-3</c:v>
                </c:pt>
                <c:pt idx="198">
                  <c:v>9.799999999999991E-3</c:v>
                </c:pt>
                <c:pt idx="199">
                  <c:v>9.8999999999999904E-3</c:v>
                </c:pt>
                <c:pt idx="200">
                  <c:v>9.9999999999999898E-3</c:v>
                </c:pt>
                <c:pt idx="201">
                  <c:v>1.0099999999999989E-2</c:v>
                </c:pt>
                <c:pt idx="202">
                  <c:v>1.0199999999999989E-2</c:v>
                </c:pt>
                <c:pt idx="203">
                  <c:v>1.0299999999999988E-2</c:v>
                </c:pt>
                <c:pt idx="204">
                  <c:v>1.0399999999999987E-2</c:v>
                </c:pt>
                <c:pt idx="205">
                  <c:v>1.0499999999999987E-2</c:v>
                </c:pt>
                <c:pt idx="206">
                  <c:v>1.0599999999999986E-2</c:v>
                </c:pt>
                <c:pt idx="207">
                  <c:v>1.0699999999999986E-2</c:v>
                </c:pt>
                <c:pt idx="208">
                  <c:v>1.0799999999999985E-2</c:v>
                </c:pt>
                <c:pt idx="209">
                  <c:v>1.0899999999999984E-2</c:v>
                </c:pt>
                <c:pt idx="210">
                  <c:v>1.0999999999999984E-2</c:v>
                </c:pt>
                <c:pt idx="211">
                  <c:v>1.1099999999999983E-2</c:v>
                </c:pt>
                <c:pt idx="212">
                  <c:v>1.1199999999999983E-2</c:v>
                </c:pt>
                <c:pt idx="213">
                  <c:v>1.1299999999999982E-2</c:v>
                </c:pt>
                <c:pt idx="214">
                  <c:v>1.1399999999999981E-2</c:v>
                </c:pt>
                <c:pt idx="215">
                  <c:v>1.1499999999999981E-2</c:v>
                </c:pt>
                <c:pt idx="216">
                  <c:v>1.159999999999998E-2</c:v>
                </c:pt>
                <c:pt idx="217">
                  <c:v>1.169999999999998E-2</c:v>
                </c:pt>
                <c:pt idx="218">
                  <c:v>1.1799999999999979E-2</c:v>
                </c:pt>
                <c:pt idx="219">
                  <c:v>1.1899999999999978E-2</c:v>
                </c:pt>
                <c:pt idx="220">
                  <c:v>1.1999999999999978E-2</c:v>
                </c:pt>
                <c:pt idx="221">
                  <c:v>1.2099999999999977E-2</c:v>
                </c:pt>
                <c:pt idx="222">
                  <c:v>1.2199999999999976E-2</c:v>
                </c:pt>
                <c:pt idx="223">
                  <c:v>1.2299999999999976E-2</c:v>
                </c:pt>
                <c:pt idx="224">
                  <c:v>1.2399999999999975E-2</c:v>
                </c:pt>
                <c:pt idx="225">
                  <c:v>1.2499999999999975E-2</c:v>
                </c:pt>
                <c:pt idx="226">
                  <c:v>1.2599999999999974E-2</c:v>
                </c:pt>
                <c:pt idx="227">
                  <c:v>1.2699999999999973E-2</c:v>
                </c:pt>
                <c:pt idx="228">
                  <c:v>1.2799999999999973E-2</c:v>
                </c:pt>
                <c:pt idx="229">
                  <c:v>1.2899999999999972E-2</c:v>
                </c:pt>
                <c:pt idx="230">
                  <c:v>1.2999999999999972E-2</c:v>
                </c:pt>
                <c:pt idx="231">
                  <c:v>1.3099999999999971E-2</c:v>
                </c:pt>
                <c:pt idx="232">
                  <c:v>1.319999999999997E-2</c:v>
                </c:pt>
                <c:pt idx="233">
                  <c:v>1.329999999999997E-2</c:v>
                </c:pt>
                <c:pt idx="234">
                  <c:v>1.3399999999999969E-2</c:v>
                </c:pt>
                <c:pt idx="235">
                  <c:v>1.3499999999999969E-2</c:v>
                </c:pt>
                <c:pt idx="236">
                  <c:v>1.3599999999999968E-2</c:v>
                </c:pt>
                <c:pt idx="237">
                  <c:v>1.3699999999999967E-2</c:v>
                </c:pt>
                <c:pt idx="238">
                  <c:v>1.3799999999999967E-2</c:v>
                </c:pt>
                <c:pt idx="239">
                  <c:v>1.3899999999999966E-2</c:v>
                </c:pt>
                <c:pt idx="240">
                  <c:v>1.3999999999999966E-2</c:v>
                </c:pt>
                <c:pt idx="241">
                  <c:v>1.4099999999999965E-2</c:v>
                </c:pt>
                <c:pt idx="242">
                  <c:v>1.4199999999999964E-2</c:v>
                </c:pt>
                <c:pt idx="243">
                  <c:v>1.4299999999999964E-2</c:v>
                </c:pt>
                <c:pt idx="244">
                  <c:v>1.4399999999999963E-2</c:v>
                </c:pt>
                <c:pt idx="245">
                  <c:v>1.4499999999999963E-2</c:v>
                </c:pt>
                <c:pt idx="246">
                  <c:v>1.4599999999999962E-2</c:v>
                </c:pt>
                <c:pt idx="247">
                  <c:v>1.4699999999999961E-2</c:v>
                </c:pt>
                <c:pt idx="248">
                  <c:v>1.4799999999999961E-2</c:v>
                </c:pt>
                <c:pt idx="249">
                  <c:v>1.489999999999996E-2</c:v>
                </c:pt>
                <c:pt idx="250">
                  <c:v>1.499999999999996E-2</c:v>
                </c:pt>
                <c:pt idx="251">
                  <c:v>1.5099999999999959E-2</c:v>
                </c:pt>
                <c:pt idx="252">
                  <c:v>1.5199999999999958E-2</c:v>
                </c:pt>
                <c:pt idx="253">
                  <c:v>1.5299999999999958E-2</c:v>
                </c:pt>
                <c:pt idx="254">
                  <c:v>1.5399999999999957E-2</c:v>
                </c:pt>
                <c:pt idx="255">
                  <c:v>1.5499999999999957E-2</c:v>
                </c:pt>
                <c:pt idx="256">
                  <c:v>1.5599999999999956E-2</c:v>
                </c:pt>
                <c:pt idx="257">
                  <c:v>1.5699999999999957E-2</c:v>
                </c:pt>
                <c:pt idx="258">
                  <c:v>1.5799999999999956E-2</c:v>
                </c:pt>
                <c:pt idx="259">
                  <c:v>1.5899999999999956E-2</c:v>
                </c:pt>
                <c:pt idx="260">
                  <c:v>1.5999999999999955E-2</c:v>
                </c:pt>
                <c:pt idx="261">
                  <c:v>1.6099999999999955E-2</c:v>
                </c:pt>
                <c:pt idx="262">
                  <c:v>1.6199999999999954E-2</c:v>
                </c:pt>
                <c:pt idx="263">
                  <c:v>1.6299999999999953E-2</c:v>
                </c:pt>
                <c:pt idx="264">
                  <c:v>1.6399999999999953E-2</c:v>
                </c:pt>
                <c:pt idx="265">
                  <c:v>1.6499999999999952E-2</c:v>
                </c:pt>
                <c:pt idx="266">
                  <c:v>1.6599999999999952E-2</c:v>
                </c:pt>
                <c:pt idx="267">
                  <c:v>1.6699999999999951E-2</c:v>
                </c:pt>
                <c:pt idx="268">
                  <c:v>1.679999999999995E-2</c:v>
                </c:pt>
                <c:pt idx="269">
                  <c:v>1.689999999999995E-2</c:v>
                </c:pt>
                <c:pt idx="270">
                  <c:v>1.6999999999999949E-2</c:v>
                </c:pt>
                <c:pt idx="271">
                  <c:v>1.7099999999999949E-2</c:v>
                </c:pt>
                <c:pt idx="272">
                  <c:v>1.7199999999999948E-2</c:v>
                </c:pt>
                <c:pt idx="273">
                  <c:v>1.7299999999999947E-2</c:v>
                </c:pt>
                <c:pt idx="274">
                  <c:v>1.7399999999999947E-2</c:v>
                </c:pt>
                <c:pt idx="275">
                  <c:v>1.7499999999999946E-2</c:v>
                </c:pt>
                <c:pt idx="276">
                  <c:v>1.7599999999999946E-2</c:v>
                </c:pt>
                <c:pt idx="277">
                  <c:v>1.7699999999999945E-2</c:v>
                </c:pt>
                <c:pt idx="278">
                  <c:v>1.7799999999999944E-2</c:v>
                </c:pt>
                <c:pt idx="279">
                  <c:v>1.7899999999999944E-2</c:v>
                </c:pt>
                <c:pt idx="280">
                  <c:v>1.7999999999999943E-2</c:v>
                </c:pt>
                <c:pt idx="281">
                  <c:v>1.8099999999999943E-2</c:v>
                </c:pt>
                <c:pt idx="282">
                  <c:v>1.8199999999999942E-2</c:v>
                </c:pt>
                <c:pt idx="283">
                  <c:v>1.8299999999999941E-2</c:v>
                </c:pt>
                <c:pt idx="284">
                  <c:v>1.8399999999999941E-2</c:v>
                </c:pt>
                <c:pt idx="285">
                  <c:v>1.849999999999994E-2</c:v>
                </c:pt>
                <c:pt idx="286">
                  <c:v>1.8599999999999939E-2</c:v>
                </c:pt>
                <c:pt idx="287">
                  <c:v>1.8699999999999939E-2</c:v>
                </c:pt>
                <c:pt idx="288">
                  <c:v>1.8799999999999938E-2</c:v>
                </c:pt>
                <c:pt idx="289">
                  <c:v>1.8899999999999938E-2</c:v>
                </c:pt>
                <c:pt idx="290">
                  <c:v>1.8999999999999937E-2</c:v>
                </c:pt>
                <c:pt idx="291">
                  <c:v>1.9099999999999936E-2</c:v>
                </c:pt>
                <c:pt idx="292">
                  <c:v>1.9199999999999936E-2</c:v>
                </c:pt>
                <c:pt idx="293">
                  <c:v>1.9299999999999935E-2</c:v>
                </c:pt>
                <c:pt idx="294">
                  <c:v>1.9399999999999935E-2</c:v>
                </c:pt>
                <c:pt idx="295">
                  <c:v>1.9499999999999934E-2</c:v>
                </c:pt>
                <c:pt idx="296">
                  <c:v>1.9599999999999933E-2</c:v>
                </c:pt>
                <c:pt idx="297">
                  <c:v>1.9699999999999933E-2</c:v>
                </c:pt>
                <c:pt idx="298">
                  <c:v>1.9799999999999932E-2</c:v>
                </c:pt>
                <c:pt idx="299">
                  <c:v>1.9899999999999932E-2</c:v>
                </c:pt>
                <c:pt idx="300">
                  <c:v>1.9999999999999931E-2</c:v>
                </c:pt>
                <c:pt idx="301">
                  <c:v>2.009999999999993E-2</c:v>
                </c:pt>
                <c:pt idx="302">
                  <c:v>2.019999999999993E-2</c:v>
                </c:pt>
                <c:pt idx="303">
                  <c:v>2.0299999999999929E-2</c:v>
                </c:pt>
                <c:pt idx="304">
                  <c:v>2.0399999999999929E-2</c:v>
                </c:pt>
                <c:pt idx="305">
                  <c:v>2.0499999999999928E-2</c:v>
                </c:pt>
                <c:pt idx="306">
                  <c:v>2.0599999999999927E-2</c:v>
                </c:pt>
                <c:pt idx="307">
                  <c:v>2.0699999999999927E-2</c:v>
                </c:pt>
                <c:pt idx="308">
                  <c:v>2.0799999999999926E-2</c:v>
                </c:pt>
                <c:pt idx="309">
                  <c:v>2.0899999999999926E-2</c:v>
                </c:pt>
                <c:pt idx="310">
                  <c:v>2.0999999999999925E-2</c:v>
                </c:pt>
                <c:pt idx="311">
                  <c:v>2.1099999999999924E-2</c:v>
                </c:pt>
                <c:pt idx="312">
                  <c:v>2.1199999999999924E-2</c:v>
                </c:pt>
                <c:pt idx="313">
                  <c:v>2.1299999999999923E-2</c:v>
                </c:pt>
                <c:pt idx="314">
                  <c:v>2.1399999999999923E-2</c:v>
                </c:pt>
                <c:pt idx="315">
                  <c:v>2.1499999999999922E-2</c:v>
                </c:pt>
                <c:pt idx="316">
                  <c:v>2.1599999999999921E-2</c:v>
                </c:pt>
                <c:pt idx="317">
                  <c:v>2.1699999999999921E-2</c:v>
                </c:pt>
                <c:pt idx="318">
                  <c:v>2.179999999999992E-2</c:v>
                </c:pt>
                <c:pt idx="319">
                  <c:v>2.189999999999992E-2</c:v>
                </c:pt>
                <c:pt idx="320">
                  <c:v>2.1999999999999919E-2</c:v>
                </c:pt>
                <c:pt idx="321">
                  <c:v>2.2099999999999918E-2</c:v>
                </c:pt>
                <c:pt idx="322">
                  <c:v>2.2199999999999918E-2</c:v>
                </c:pt>
                <c:pt idx="323">
                  <c:v>2.2299999999999917E-2</c:v>
                </c:pt>
                <c:pt idx="324">
                  <c:v>2.2399999999999917E-2</c:v>
                </c:pt>
                <c:pt idx="325">
                  <c:v>2.2499999999999916E-2</c:v>
                </c:pt>
                <c:pt idx="326">
                  <c:v>2.2599999999999915E-2</c:v>
                </c:pt>
                <c:pt idx="327">
                  <c:v>2.2699999999999915E-2</c:v>
                </c:pt>
                <c:pt idx="328">
                  <c:v>2.2799999999999914E-2</c:v>
                </c:pt>
                <c:pt idx="329">
                  <c:v>2.2899999999999913E-2</c:v>
                </c:pt>
                <c:pt idx="330">
                  <c:v>2.2999999999999913E-2</c:v>
                </c:pt>
                <c:pt idx="331">
                  <c:v>2.3099999999999912E-2</c:v>
                </c:pt>
                <c:pt idx="332">
                  <c:v>2.3199999999999912E-2</c:v>
                </c:pt>
                <c:pt idx="333">
                  <c:v>2.3299999999999911E-2</c:v>
                </c:pt>
                <c:pt idx="334">
                  <c:v>2.339999999999991E-2</c:v>
                </c:pt>
                <c:pt idx="335">
                  <c:v>2.349999999999991E-2</c:v>
                </c:pt>
                <c:pt idx="336">
                  <c:v>2.3599999999999909E-2</c:v>
                </c:pt>
                <c:pt idx="337">
                  <c:v>2.3699999999999909E-2</c:v>
                </c:pt>
                <c:pt idx="338">
                  <c:v>2.3799999999999908E-2</c:v>
                </c:pt>
                <c:pt idx="339">
                  <c:v>2.3899999999999907E-2</c:v>
                </c:pt>
                <c:pt idx="340">
                  <c:v>2.3999999999999907E-2</c:v>
                </c:pt>
                <c:pt idx="341">
                  <c:v>2.4099999999999906E-2</c:v>
                </c:pt>
                <c:pt idx="342">
                  <c:v>2.4199999999999906E-2</c:v>
                </c:pt>
                <c:pt idx="343">
                  <c:v>2.4299999999999905E-2</c:v>
                </c:pt>
                <c:pt idx="344">
                  <c:v>2.4399999999999904E-2</c:v>
                </c:pt>
                <c:pt idx="345">
                  <c:v>2.4499999999999904E-2</c:v>
                </c:pt>
                <c:pt idx="346">
                  <c:v>2.4599999999999903E-2</c:v>
                </c:pt>
                <c:pt idx="347">
                  <c:v>2.4699999999999903E-2</c:v>
                </c:pt>
                <c:pt idx="348">
                  <c:v>2.4799999999999902E-2</c:v>
                </c:pt>
                <c:pt idx="349">
                  <c:v>2.4899999999999901E-2</c:v>
                </c:pt>
                <c:pt idx="350">
                  <c:v>2.4999999999999901E-2</c:v>
                </c:pt>
                <c:pt idx="351">
                  <c:v>2.50999999999999E-2</c:v>
                </c:pt>
                <c:pt idx="352">
                  <c:v>2.51999999999999E-2</c:v>
                </c:pt>
                <c:pt idx="353">
                  <c:v>2.5299999999999899E-2</c:v>
                </c:pt>
                <c:pt idx="354">
                  <c:v>2.5399999999999898E-2</c:v>
                </c:pt>
                <c:pt idx="355">
                  <c:v>2.5499999999999898E-2</c:v>
                </c:pt>
                <c:pt idx="356">
                  <c:v>2.5599999999999897E-2</c:v>
                </c:pt>
                <c:pt idx="357">
                  <c:v>2.5699999999999897E-2</c:v>
                </c:pt>
                <c:pt idx="358">
                  <c:v>2.5799999999999896E-2</c:v>
                </c:pt>
                <c:pt idx="359">
                  <c:v>2.5899999999999895E-2</c:v>
                </c:pt>
                <c:pt idx="360">
                  <c:v>2.5999999999999895E-2</c:v>
                </c:pt>
                <c:pt idx="361">
                  <c:v>2.6099999999999894E-2</c:v>
                </c:pt>
                <c:pt idx="362">
                  <c:v>2.6199999999999894E-2</c:v>
                </c:pt>
                <c:pt idx="363">
                  <c:v>2.6299999999999893E-2</c:v>
                </c:pt>
                <c:pt idx="364">
                  <c:v>2.6399999999999892E-2</c:v>
                </c:pt>
                <c:pt idx="365">
                  <c:v>2.6499999999999892E-2</c:v>
                </c:pt>
                <c:pt idx="366">
                  <c:v>2.6599999999999891E-2</c:v>
                </c:pt>
                <c:pt idx="367">
                  <c:v>2.669999999999989E-2</c:v>
                </c:pt>
                <c:pt idx="368">
                  <c:v>2.679999999999989E-2</c:v>
                </c:pt>
                <c:pt idx="369">
                  <c:v>2.6899999999999889E-2</c:v>
                </c:pt>
                <c:pt idx="370">
                  <c:v>2.6999999999999889E-2</c:v>
                </c:pt>
                <c:pt idx="371">
                  <c:v>2.7099999999999888E-2</c:v>
                </c:pt>
                <c:pt idx="372">
                  <c:v>2.7199999999999887E-2</c:v>
                </c:pt>
                <c:pt idx="373">
                  <c:v>2.7299999999999887E-2</c:v>
                </c:pt>
                <c:pt idx="374">
                  <c:v>2.7399999999999886E-2</c:v>
                </c:pt>
                <c:pt idx="375">
                  <c:v>2.7499999999999886E-2</c:v>
                </c:pt>
                <c:pt idx="376">
                  <c:v>2.7599999999999885E-2</c:v>
                </c:pt>
                <c:pt idx="377">
                  <c:v>2.7699999999999884E-2</c:v>
                </c:pt>
                <c:pt idx="378">
                  <c:v>2.7799999999999884E-2</c:v>
                </c:pt>
                <c:pt idx="379">
                  <c:v>2.7899999999999883E-2</c:v>
                </c:pt>
                <c:pt idx="380">
                  <c:v>2.7999999999999883E-2</c:v>
                </c:pt>
                <c:pt idx="381">
                  <c:v>2.8099999999999882E-2</c:v>
                </c:pt>
                <c:pt idx="382">
                  <c:v>2.8199999999999881E-2</c:v>
                </c:pt>
                <c:pt idx="383">
                  <c:v>2.8299999999999881E-2</c:v>
                </c:pt>
                <c:pt idx="384">
                  <c:v>2.839999999999988E-2</c:v>
                </c:pt>
                <c:pt idx="385">
                  <c:v>2.849999999999988E-2</c:v>
                </c:pt>
                <c:pt idx="386">
                  <c:v>2.8599999999999879E-2</c:v>
                </c:pt>
                <c:pt idx="387">
                  <c:v>2.8699999999999878E-2</c:v>
                </c:pt>
                <c:pt idx="388">
                  <c:v>2.8799999999999878E-2</c:v>
                </c:pt>
                <c:pt idx="389">
                  <c:v>2.8899999999999877E-2</c:v>
                </c:pt>
                <c:pt idx="390">
                  <c:v>2.8999999999999877E-2</c:v>
                </c:pt>
                <c:pt idx="391">
                  <c:v>2.9099999999999876E-2</c:v>
                </c:pt>
                <c:pt idx="392">
                  <c:v>2.9199999999999875E-2</c:v>
                </c:pt>
                <c:pt idx="393">
                  <c:v>2.9299999999999875E-2</c:v>
                </c:pt>
                <c:pt idx="394">
                  <c:v>2.9399999999999874E-2</c:v>
                </c:pt>
                <c:pt idx="395">
                  <c:v>2.9499999999999874E-2</c:v>
                </c:pt>
                <c:pt idx="396">
                  <c:v>2.9599999999999873E-2</c:v>
                </c:pt>
                <c:pt idx="397">
                  <c:v>2.9699999999999872E-2</c:v>
                </c:pt>
                <c:pt idx="398">
                  <c:v>2.9799999999999872E-2</c:v>
                </c:pt>
                <c:pt idx="399">
                  <c:v>2.9899999999999871E-2</c:v>
                </c:pt>
                <c:pt idx="400">
                  <c:v>2.9999999999999871E-2</c:v>
                </c:pt>
                <c:pt idx="401">
                  <c:v>3.009999999999987E-2</c:v>
                </c:pt>
                <c:pt idx="402">
                  <c:v>3.0199999999999869E-2</c:v>
                </c:pt>
                <c:pt idx="403">
                  <c:v>3.0299999999999869E-2</c:v>
                </c:pt>
                <c:pt idx="404">
                  <c:v>3.0399999999999868E-2</c:v>
                </c:pt>
                <c:pt idx="405">
                  <c:v>3.0499999999999867E-2</c:v>
                </c:pt>
                <c:pt idx="406">
                  <c:v>3.0599999999999867E-2</c:v>
                </c:pt>
                <c:pt idx="407">
                  <c:v>3.0699999999999866E-2</c:v>
                </c:pt>
                <c:pt idx="408">
                  <c:v>3.0799999999999866E-2</c:v>
                </c:pt>
                <c:pt idx="409">
                  <c:v>3.0899999999999865E-2</c:v>
                </c:pt>
                <c:pt idx="410">
                  <c:v>3.0999999999999864E-2</c:v>
                </c:pt>
                <c:pt idx="411">
                  <c:v>3.1099999999999864E-2</c:v>
                </c:pt>
                <c:pt idx="412">
                  <c:v>3.1199999999999863E-2</c:v>
                </c:pt>
                <c:pt idx="413">
                  <c:v>3.1299999999999863E-2</c:v>
                </c:pt>
                <c:pt idx="414">
                  <c:v>3.1399999999999866E-2</c:v>
                </c:pt>
                <c:pt idx="415">
                  <c:v>3.1499999999999868E-2</c:v>
                </c:pt>
                <c:pt idx="416">
                  <c:v>3.1599999999999871E-2</c:v>
                </c:pt>
                <c:pt idx="417">
                  <c:v>3.1699999999999874E-2</c:v>
                </c:pt>
                <c:pt idx="418">
                  <c:v>3.1799999999999877E-2</c:v>
                </c:pt>
                <c:pt idx="419">
                  <c:v>3.189999999999988E-2</c:v>
                </c:pt>
                <c:pt idx="420">
                  <c:v>3.1999999999999883E-2</c:v>
                </c:pt>
                <c:pt idx="421">
                  <c:v>3.2099999999999886E-2</c:v>
                </c:pt>
                <c:pt idx="422">
                  <c:v>3.2199999999999888E-2</c:v>
                </c:pt>
                <c:pt idx="423">
                  <c:v>3.2299999999999891E-2</c:v>
                </c:pt>
                <c:pt idx="424">
                  <c:v>3.2399999999999894E-2</c:v>
                </c:pt>
                <c:pt idx="425">
                  <c:v>3.2499999999999897E-2</c:v>
                </c:pt>
                <c:pt idx="426">
                  <c:v>3.25999999999999E-2</c:v>
                </c:pt>
                <c:pt idx="427">
                  <c:v>3.2699999999999903E-2</c:v>
                </c:pt>
                <c:pt idx="428">
                  <c:v>3.2799999999999906E-2</c:v>
                </c:pt>
                <c:pt idx="429">
                  <c:v>3.2899999999999908E-2</c:v>
                </c:pt>
                <c:pt idx="430">
                  <c:v>3.2999999999999911E-2</c:v>
                </c:pt>
                <c:pt idx="431">
                  <c:v>3.3099999999999914E-2</c:v>
                </c:pt>
                <c:pt idx="432">
                  <c:v>3.3199999999999917E-2</c:v>
                </c:pt>
                <c:pt idx="433">
                  <c:v>3.329999999999992E-2</c:v>
                </c:pt>
                <c:pt idx="434">
                  <c:v>3.3399999999999923E-2</c:v>
                </c:pt>
                <c:pt idx="435">
                  <c:v>3.3499999999999926E-2</c:v>
                </c:pt>
                <c:pt idx="436">
                  <c:v>3.3599999999999929E-2</c:v>
                </c:pt>
                <c:pt idx="437">
                  <c:v>3.3699999999999931E-2</c:v>
                </c:pt>
                <c:pt idx="438">
                  <c:v>3.3799999999999934E-2</c:v>
                </c:pt>
                <c:pt idx="439">
                  <c:v>3.3899999999999937E-2</c:v>
                </c:pt>
                <c:pt idx="440">
                  <c:v>3.399999999999994E-2</c:v>
                </c:pt>
                <c:pt idx="441">
                  <c:v>3.4099999999999943E-2</c:v>
                </c:pt>
                <c:pt idx="442">
                  <c:v>3.4199999999999946E-2</c:v>
                </c:pt>
                <c:pt idx="443">
                  <c:v>3.4299999999999949E-2</c:v>
                </c:pt>
                <c:pt idx="444">
                  <c:v>3.4399999999999951E-2</c:v>
                </c:pt>
                <c:pt idx="445">
                  <c:v>3.4499999999999954E-2</c:v>
                </c:pt>
                <c:pt idx="446">
                  <c:v>3.4599999999999957E-2</c:v>
                </c:pt>
                <c:pt idx="447">
                  <c:v>3.469999999999996E-2</c:v>
                </c:pt>
                <c:pt idx="448">
                  <c:v>3.4799999999999963E-2</c:v>
                </c:pt>
                <c:pt idx="449">
                  <c:v>3.4899999999999966E-2</c:v>
                </c:pt>
                <c:pt idx="450">
                  <c:v>3.4999999999999969E-2</c:v>
                </c:pt>
                <c:pt idx="451">
                  <c:v>3.5099999999999972E-2</c:v>
                </c:pt>
                <c:pt idx="452">
                  <c:v>3.5199999999999974E-2</c:v>
                </c:pt>
                <c:pt idx="453">
                  <c:v>3.5299999999999977E-2</c:v>
                </c:pt>
                <c:pt idx="454">
                  <c:v>3.539999999999998E-2</c:v>
                </c:pt>
                <c:pt idx="455">
                  <c:v>3.5499999999999983E-2</c:v>
                </c:pt>
                <c:pt idx="456">
                  <c:v>3.5599999999999986E-2</c:v>
                </c:pt>
                <c:pt idx="457">
                  <c:v>3.5699999999999989E-2</c:v>
                </c:pt>
                <c:pt idx="458">
                  <c:v>3.5799999999999992E-2</c:v>
                </c:pt>
                <c:pt idx="459">
                  <c:v>3.5899999999999994E-2</c:v>
                </c:pt>
                <c:pt idx="460">
                  <c:v>3.5999999999999997E-2</c:v>
                </c:pt>
                <c:pt idx="461">
                  <c:v>3.61E-2</c:v>
                </c:pt>
                <c:pt idx="462">
                  <c:v>3.6200000000000003E-2</c:v>
                </c:pt>
                <c:pt idx="463">
                  <c:v>3.6300000000000006E-2</c:v>
                </c:pt>
                <c:pt idx="464">
                  <c:v>3.6400000000000009E-2</c:v>
                </c:pt>
                <c:pt idx="465">
                  <c:v>3.6500000000000012E-2</c:v>
                </c:pt>
                <c:pt idx="466">
                  <c:v>3.6600000000000014E-2</c:v>
                </c:pt>
                <c:pt idx="467">
                  <c:v>3.6700000000000017E-2</c:v>
                </c:pt>
                <c:pt idx="468">
                  <c:v>3.680000000000002E-2</c:v>
                </c:pt>
                <c:pt idx="469">
                  <c:v>3.6900000000000023E-2</c:v>
                </c:pt>
                <c:pt idx="470">
                  <c:v>3.7000000000000026E-2</c:v>
                </c:pt>
                <c:pt idx="471">
                  <c:v>3.7100000000000029E-2</c:v>
                </c:pt>
                <c:pt idx="472">
                  <c:v>3.7200000000000032E-2</c:v>
                </c:pt>
                <c:pt idx="473">
                  <c:v>3.7300000000000035E-2</c:v>
                </c:pt>
                <c:pt idx="474">
                  <c:v>3.7400000000000037E-2</c:v>
                </c:pt>
                <c:pt idx="475">
                  <c:v>3.750000000000004E-2</c:v>
                </c:pt>
                <c:pt idx="476">
                  <c:v>3.7600000000000043E-2</c:v>
                </c:pt>
                <c:pt idx="477">
                  <c:v>3.7700000000000046E-2</c:v>
                </c:pt>
                <c:pt idx="478">
                  <c:v>3.7800000000000049E-2</c:v>
                </c:pt>
                <c:pt idx="479">
                  <c:v>3.7900000000000052E-2</c:v>
                </c:pt>
                <c:pt idx="480">
                  <c:v>3.8000000000000055E-2</c:v>
                </c:pt>
                <c:pt idx="481">
                  <c:v>3.8100000000000057E-2</c:v>
                </c:pt>
                <c:pt idx="482">
                  <c:v>3.820000000000006E-2</c:v>
                </c:pt>
                <c:pt idx="483">
                  <c:v>3.8300000000000063E-2</c:v>
                </c:pt>
                <c:pt idx="484">
                  <c:v>3.8400000000000066E-2</c:v>
                </c:pt>
                <c:pt idx="485">
                  <c:v>3.8500000000000069E-2</c:v>
                </c:pt>
                <c:pt idx="486">
                  <c:v>3.8600000000000072E-2</c:v>
                </c:pt>
                <c:pt idx="487">
                  <c:v>3.8700000000000075E-2</c:v>
                </c:pt>
                <c:pt idx="488">
                  <c:v>3.8800000000000077E-2</c:v>
                </c:pt>
                <c:pt idx="489">
                  <c:v>3.890000000000008E-2</c:v>
                </c:pt>
                <c:pt idx="490">
                  <c:v>3.9000000000000083E-2</c:v>
                </c:pt>
                <c:pt idx="491">
                  <c:v>3.9100000000000086E-2</c:v>
                </c:pt>
                <c:pt idx="492">
                  <c:v>3.9200000000000089E-2</c:v>
                </c:pt>
                <c:pt idx="493">
                  <c:v>3.9300000000000092E-2</c:v>
                </c:pt>
                <c:pt idx="494">
                  <c:v>3.9400000000000095E-2</c:v>
                </c:pt>
                <c:pt idx="495">
                  <c:v>3.9500000000000098E-2</c:v>
                </c:pt>
                <c:pt idx="496">
                  <c:v>3.96000000000001E-2</c:v>
                </c:pt>
                <c:pt idx="497">
                  <c:v>3.9700000000000103E-2</c:v>
                </c:pt>
                <c:pt idx="498">
                  <c:v>3.9800000000000106E-2</c:v>
                </c:pt>
                <c:pt idx="499">
                  <c:v>3.9900000000000109E-2</c:v>
                </c:pt>
                <c:pt idx="500">
                  <c:v>4.0000000000000112E-2</c:v>
                </c:pt>
                <c:pt idx="501">
                  <c:v>4.0100000000000115E-2</c:v>
                </c:pt>
                <c:pt idx="502">
                  <c:v>4.0200000000000118E-2</c:v>
                </c:pt>
                <c:pt idx="503">
                  <c:v>4.030000000000012E-2</c:v>
                </c:pt>
                <c:pt idx="504">
                  <c:v>4.0400000000000123E-2</c:v>
                </c:pt>
                <c:pt idx="505">
                  <c:v>4.0500000000000126E-2</c:v>
                </c:pt>
                <c:pt idx="506">
                  <c:v>4.0600000000000129E-2</c:v>
                </c:pt>
                <c:pt idx="507">
                  <c:v>4.0700000000000132E-2</c:v>
                </c:pt>
                <c:pt idx="508">
                  <c:v>4.0800000000000135E-2</c:v>
                </c:pt>
                <c:pt idx="509">
                  <c:v>4.0900000000000138E-2</c:v>
                </c:pt>
                <c:pt idx="510">
                  <c:v>4.100000000000014E-2</c:v>
                </c:pt>
                <c:pt idx="511">
                  <c:v>4.1100000000000143E-2</c:v>
                </c:pt>
                <c:pt idx="512">
                  <c:v>4.1200000000000146E-2</c:v>
                </c:pt>
                <c:pt idx="513">
                  <c:v>4.1300000000000149E-2</c:v>
                </c:pt>
                <c:pt idx="514">
                  <c:v>4.1400000000000152E-2</c:v>
                </c:pt>
                <c:pt idx="515">
                  <c:v>4.1500000000000155E-2</c:v>
                </c:pt>
                <c:pt idx="516">
                  <c:v>4.1600000000000158E-2</c:v>
                </c:pt>
                <c:pt idx="517">
                  <c:v>4.1700000000000161E-2</c:v>
                </c:pt>
                <c:pt idx="518">
                  <c:v>4.1800000000000163E-2</c:v>
                </c:pt>
                <c:pt idx="519">
                  <c:v>4.1900000000000166E-2</c:v>
                </c:pt>
                <c:pt idx="520">
                  <c:v>4.2000000000000169E-2</c:v>
                </c:pt>
                <c:pt idx="521">
                  <c:v>4.2100000000000172E-2</c:v>
                </c:pt>
                <c:pt idx="522">
                  <c:v>4.2200000000000175E-2</c:v>
                </c:pt>
                <c:pt idx="523">
                  <c:v>4.2300000000000178E-2</c:v>
                </c:pt>
                <c:pt idx="524">
                  <c:v>4.2400000000000181E-2</c:v>
                </c:pt>
                <c:pt idx="525">
                  <c:v>4.2500000000000183E-2</c:v>
                </c:pt>
                <c:pt idx="526">
                  <c:v>4.2600000000000186E-2</c:v>
                </c:pt>
                <c:pt idx="527">
                  <c:v>4.2700000000000189E-2</c:v>
                </c:pt>
                <c:pt idx="528">
                  <c:v>4.2800000000000192E-2</c:v>
                </c:pt>
                <c:pt idx="529">
                  <c:v>4.2900000000000195E-2</c:v>
                </c:pt>
                <c:pt idx="530">
                  <c:v>4.3000000000000198E-2</c:v>
                </c:pt>
                <c:pt idx="531">
                  <c:v>4.3100000000000201E-2</c:v>
                </c:pt>
                <c:pt idx="532">
                  <c:v>4.3200000000000204E-2</c:v>
                </c:pt>
                <c:pt idx="533">
                  <c:v>4.3300000000000206E-2</c:v>
                </c:pt>
                <c:pt idx="534">
                  <c:v>4.3400000000000209E-2</c:v>
                </c:pt>
                <c:pt idx="535">
                  <c:v>4.3500000000000212E-2</c:v>
                </c:pt>
                <c:pt idx="536">
                  <c:v>4.3600000000000215E-2</c:v>
                </c:pt>
                <c:pt idx="537">
                  <c:v>4.3700000000000218E-2</c:v>
                </c:pt>
                <c:pt idx="538">
                  <c:v>4.3800000000000221E-2</c:v>
                </c:pt>
                <c:pt idx="539">
                  <c:v>4.3900000000000224E-2</c:v>
                </c:pt>
                <c:pt idx="540">
                  <c:v>4.4000000000000226E-2</c:v>
                </c:pt>
                <c:pt idx="541">
                  <c:v>4.4100000000000229E-2</c:v>
                </c:pt>
                <c:pt idx="542">
                  <c:v>4.4200000000000232E-2</c:v>
                </c:pt>
                <c:pt idx="543">
                  <c:v>4.4300000000000235E-2</c:v>
                </c:pt>
                <c:pt idx="544">
                  <c:v>4.4400000000000238E-2</c:v>
                </c:pt>
                <c:pt idx="545">
                  <c:v>4.4500000000000241E-2</c:v>
                </c:pt>
                <c:pt idx="546">
                  <c:v>4.4600000000000244E-2</c:v>
                </c:pt>
                <c:pt idx="547">
                  <c:v>4.4700000000000246E-2</c:v>
                </c:pt>
                <c:pt idx="548">
                  <c:v>4.4800000000000249E-2</c:v>
                </c:pt>
                <c:pt idx="549">
                  <c:v>4.4900000000000252E-2</c:v>
                </c:pt>
                <c:pt idx="550">
                  <c:v>4.5000000000000255E-2</c:v>
                </c:pt>
                <c:pt idx="551">
                  <c:v>4.5100000000000258E-2</c:v>
                </c:pt>
                <c:pt idx="552">
                  <c:v>4.5200000000000261E-2</c:v>
                </c:pt>
                <c:pt idx="553">
                  <c:v>4.5300000000000264E-2</c:v>
                </c:pt>
                <c:pt idx="554">
                  <c:v>4.5400000000000267E-2</c:v>
                </c:pt>
                <c:pt idx="555">
                  <c:v>4.5500000000000269E-2</c:v>
                </c:pt>
                <c:pt idx="556">
                  <c:v>4.5600000000000272E-2</c:v>
                </c:pt>
                <c:pt idx="557">
                  <c:v>4.5700000000000275E-2</c:v>
                </c:pt>
                <c:pt idx="558">
                  <c:v>4.5800000000000278E-2</c:v>
                </c:pt>
                <c:pt idx="559">
                  <c:v>4.5900000000000281E-2</c:v>
                </c:pt>
                <c:pt idx="560">
                  <c:v>4.6000000000000284E-2</c:v>
                </c:pt>
                <c:pt idx="561">
                  <c:v>4.6100000000000287E-2</c:v>
                </c:pt>
                <c:pt idx="562">
                  <c:v>4.6200000000000289E-2</c:v>
                </c:pt>
                <c:pt idx="563">
                  <c:v>4.6300000000000292E-2</c:v>
                </c:pt>
                <c:pt idx="564">
                  <c:v>4.6400000000000295E-2</c:v>
                </c:pt>
                <c:pt idx="565">
                  <c:v>4.6500000000000298E-2</c:v>
                </c:pt>
                <c:pt idx="566">
                  <c:v>4.6600000000000301E-2</c:v>
                </c:pt>
                <c:pt idx="567">
                  <c:v>4.6700000000000304E-2</c:v>
                </c:pt>
                <c:pt idx="568">
                  <c:v>4.6800000000000307E-2</c:v>
                </c:pt>
                <c:pt idx="569">
                  <c:v>4.6900000000000309E-2</c:v>
                </c:pt>
                <c:pt idx="570">
                  <c:v>4.7000000000000312E-2</c:v>
                </c:pt>
                <c:pt idx="571">
                  <c:v>4.7100000000000315E-2</c:v>
                </c:pt>
                <c:pt idx="572">
                  <c:v>4.7200000000000318E-2</c:v>
                </c:pt>
                <c:pt idx="573">
                  <c:v>4.7300000000000321E-2</c:v>
                </c:pt>
                <c:pt idx="574">
                  <c:v>4.7400000000000324E-2</c:v>
                </c:pt>
                <c:pt idx="575">
                  <c:v>4.7500000000000327E-2</c:v>
                </c:pt>
                <c:pt idx="576">
                  <c:v>4.760000000000033E-2</c:v>
                </c:pt>
                <c:pt idx="577">
                  <c:v>4.7700000000000332E-2</c:v>
                </c:pt>
                <c:pt idx="578">
                  <c:v>4.7800000000000335E-2</c:v>
                </c:pt>
                <c:pt idx="579">
                  <c:v>4.7900000000000338E-2</c:v>
                </c:pt>
                <c:pt idx="580">
                  <c:v>4.8000000000000341E-2</c:v>
                </c:pt>
                <c:pt idx="581">
                  <c:v>4.8100000000000344E-2</c:v>
                </c:pt>
                <c:pt idx="582">
                  <c:v>4.8200000000000347E-2</c:v>
                </c:pt>
                <c:pt idx="583">
                  <c:v>4.830000000000035E-2</c:v>
                </c:pt>
                <c:pt idx="584">
                  <c:v>4.8400000000000352E-2</c:v>
                </c:pt>
                <c:pt idx="585">
                  <c:v>4.8500000000000355E-2</c:v>
                </c:pt>
                <c:pt idx="586">
                  <c:v>4.8600000000000358E-2</c:v>
                </c:pt>
                <c:pt idx="587">
                  <c:v>4.8700000000000361E-2</c:v>
                </c:pt>
                <c:pt idx="588">
                  <c:v>4.8800000000000364E-2</c:v>
                </c:pt>
                <c:pt idx="589">
                  <c:v>4.8900000000000367E-2</c:v>
                </c:pt>
                <c:pt idx="590">
                  <c:v>4.900000000000037E-2</c:v>
                </c:pt>
                <c:pt idx="591">
                  <c:v>4.9100000000000373E-2</c:v>
                </c:pt>
                <c:pt idx="592">
                  <c:v>4.9200000000000375E-2</c:v>
                </c:pt>
                <c:pt idx="593">
                  <c:v>4.9300000000000378E-2</c:v>
                </c:pt>
                <c:pt idx="594">
                  <c:v>4.9400000000000381E-2</c:v>
                </c:pt>
                <c:pt idx="595">
                  <c:v>4.9500000000000384E-2</c:v>
                </c:pt>
                <c:pt idx="596">
                  <c:v>4.9600000000000387E-2</c:v>
                </c:pt>
                <c:pt idx="597">
                  <c:v>4.970000000000039E-2</c:v>
                </c:pt>
                <c:pt idx="598">
                  <c:v>4.9800000000000393E-2</c:v>
                </c:pt>
                <c:pt idx="599">
                  <c:v>4.9900000000000395E-2</c:v>
                </c:pt>
                <c:pt idx="600">
                  <c:v>5.0000000000000398E-2</c:v>
                </c:pt>
              </c:numCache>
            </c:numRef>
          </c:xVal>
          <c:yVal>
            <c:numRef>
              <c:f>Densities!$X$5:$X$605</c:f>
              <c:numCache>
                <c:formatCode>0.00%</c:formatCode>
                <c:ptCount val="601"/>
                <c:pt idx="0">
                  <c:v>3.133285339745326E-3</c:v>
                </c:pt>
                <c:pt idx="1">
                  <c:v>3.133285339908122E-3</c:v>
                </c:pt>
                <c:pt idx="2">
                  <c:v>3.1332853403434578E-3</c:v>
                </c:pt>
                <c:pt idx="3">
                  <c:v>3.1332853406280869E-3</c:v>
                </c:pt>
                <c:pt idx="4">
                  <c:v>3.1332853409781159E-3</c:v>
                </c:pt>
                <c:pt idx="5">
                  <c:v>3.1332853413900469E-3</c:v>
                </c:pt>
                <c:pt idx="6">
                  <c:v>3.1332853416530838E-3</c:v>
                </c:pt>
                <c:pt idx="7">
                  <c:v>3.133285342035122E-3</c:v>
                </c:pt>
                <c:pt idx="8">
                  <c:v>3.1332853424513368E-3</c:v>
                </c:pt>
                <c:pt idx="9">
                  <c:v>3.1332853428761402E-3</c:v>
                </c:pt>
                <c:pt idx="10">
                  <c:v>3.1332853432330283E-3</c:v>
                </c:pt>
                <c:pt idx="11">
                  <c:v>3.1332853435926842E-3</c:v>
                </c:pt>
                <c:pt idx="12">
                  <c:v>3.1332853439599967E-3</c:v>
                </c:pt>
                <c:pt idx="13">
                  <c:v>3.1332853442561709E-3</c:v>
                </c:pt>
                <c:pt idx="14">
                  <c:v>3.1332853445441328E-3</c:v>
                </c:pt>
                <c:pt idx="15">
                  <c:v>3.1332853447895328E-3</c:v>
                </c:pt>
                <c:pt idx="16">
                  <c:v>3.1332853450243303E-3</c:v>
                </c:pt>
                <c:pt idx="17">
                  <c:v>3.1332853452122342E-3</c:v>
                </c:pt>
                <c:pt idx="18">
                  <c:v>3.133285345332081E-3</c:v>
                </c:pt>
                <c:pt idx="19">
                  <c:v>3.1332853454408768E-3</c:v>
                </c:pt>
                <c:pt idx="20">
                  <c:v>3.1332853455022405E-3</c:v>
                </c:pt>
                <c:pt idx="21">
                  <c:v>3.1332853455277093E-3</c:v>
                </c:pt>
                <c:pt idx="22">
                  <c:v>3.1332853455092189E-3</c:v>
                </c:pt>
                <c:pt idx="23">
                  <c:v>3.1332853454459492E-3</c:v>
                </c:pt>
                <c:pt idx="24">
                  <c:v>3.1332853453591176E-3</c:v>
                </c:pt>
                <c:pt idx="25">
                  <c:v>3.1332853452385881E-3</c:v>
                </c:pt>
                <c:pt idx="26">
                  <c:v>3.1332853450850087E-3</c:v>
                </c:pt>
                <c:pt idx="27">
                  <c:v>3.1332853449034669E-3</c:v>
                </c:pt>
                <c:pt idx="28">
                  <c:v>3.1332853447072445E-3</c:v>
                </c:pt>
                <c:pt idx="29">
                  <c:v>3.1332853444928847E-3</c:v>
                </c:pt>
                <c:pt idx="30">
                  <c:v>3.133285344272914E-3</c:v>
                </c:pt>
                <c:pt idx="31">
                  <c:v>3.1332853440432583E-3</c:v>
                </c:pt>
                <c:pt idx="32">
                  <c:v>3.1332853438111787E-3</c:v>
                </c:pt>
                <c:pt idx="33">
                  <c:v>3.1332853435878855E-3</c:v>
                </c:pt>
                <c:pt idx="34">
                  <c:v>3.13328534336931E-3</c:v>
                </c:pt>
                <c:pt idx="35">
                  <c:v>3.1332853431633163E-3</c:v>
                </c:pt>
                <c:pt idx="36">
                  <c:v>3.1332853429741213E-3</c:v>
                </c:pt>
                <c:pt idx="37">
                  <c:v>3.1332853428075172E-3</c:v>
                </c:pt>
                <c:pt idx="38">
                  <c:v>3.1332853426615658E-3</c:v>
                </c:pt>
                <c:pt idx="39">
                  <c:v>3.1332853425405992E-3</c:v>
                </c:pt>
                <c:pt idx="40">
                  <c:v>3.133285342444649E-3</c:v>
                </c:pt>
                <c:pt idx="41">
                  <c:v>3.1332853423760793E-3</c:v>
                </c:pt>
                <c:pt idx="42">
                  <c:v>3.1332853423349043E-3</c:v>
                </c:pt>
                <c:pt idx="43">
                  <c:v>3.1332853423187671E-3</c:v>
                </c:pt>
                <c:pt idx="44">
                  <c:v>3.1332853423289139E-3</c:v>
                </c:pt>
                <c:pt idx="45">
                  <c:v>3.133285342361858E-3</c:v>
                </c:pt>
                <c:pt idx="46">
                  <c:v>3.1332853424156084E-3</c:v>
                </c:pt>
                <c:pt idx="47">
                  <c:v>3.1332853424887678E-3</c:v>
                </c:pt>
                <c:pt idx="48">
                  <c:v>3.1332853425762052E-3</c:v>
                </c:pt>
                <c:pt idx="49">
                  <c:v>3.1332853426752267E-3</c:v>
                </c:pt>
                <c:pt idx="50">
                  <c:v>3.1332853427826143E-3</c:v>
                </c:pt>
                <c:pt idx="51">
                  <c:v>3.1332853428949863E-3</c:v>
                </c:pt>
                <c:pt idx="52">
                  <c:v>3.133285343007961E-3</c:v>
                </c:pt>
                <c:pt idx="53">
                  <c:v>3.1332853431187187E-3</c:v>
                </c:pt>
                <c:pt idx="54">
                  <c:v>3.133285343224065E-3</c:v>
                </c:pt>
                <c:pt idx="55">
                  <c:v>3.1332853433214589E-3</c:v>
                </c:pt>
                <c:pt idx="56">
                  <c:v>3.1332853434084432E-3</c:v>
                </c:pt>
                <c:pt idx="57">
                  <c:v>3.1332853434827782E-3</c:v>
                </c:pt>
                <c:pt idx="58">
                  <c:v>3.1332853435432164E-3</c:v>
                </c:pt>
                <c:pt idx="59">
                  <c:v>3.1332853435892794E-3</c:v>
                </c:pt>
                <c:pt idx="60">
                  <c:v>3.133285343620311E-3</c:v>
                </c:pt>
                <c:pt idx="61">
                  <c:v>3.1332853436366213E-3</c:v>
                </c:pt>
                <c:pt idx="62">
                  <c:v>3.1332853436390404E-3</c:v>
                </c:pt>
                <c:pt idx="63">
                  <c:v>3.1332853436286238E-3</c:v>
                </c:pt>
                <c:pt idx="64">
                  <c:v>3.1332853436070239E-3</c:v>
                </c:pt>
                <c:pt idx="65">
                  <c:v>3.133285343575916E-3</c:v>
                </c:pt>
                <c:pt idx="66">
                  <c:v>3.1332853435375595E-3</c:v>
                </c:pt>
                <c:pt idx="67">
                  <c:v>3.1332853434939607E-3</c:v>
                </c:pt>
                <c:pt idx="68">
                  <c:v>3.1332853434474887E-3</c:v>
                </c:pt>
                <c:pt idx="69">
                  <c:v>3.1332853434002119E-3</c:v>
                </c:pt>
                <c:pt idx="70">
                  <c:v>3.1332853433542114E-3</c:v>
                </c:pt>
                <c:pt idx="71">
                  <c:v>3.1332853433112926E-3</c:v>
                </c:pt>
                <c:pt idx="72">
                  <c:v>3.1332853432728932E-3</c:v>
                </c:pt>
                <c:pt idx="73">
                  <c:v>3.1332853432403155E-3</c:v>
                </c:pt>
                <c:pt idx="74">
                  <c:v>3.1332853432142712E-3</c:v>
                </c:pt>
                <c:pt idx="75">
                  <c:v>3.1332853431952977E-3</c:v>
                </c:pt>
                <c:pt idx="76">
                  <c:v>3.1332853431834508E-3</c:v>
                </c:pt>
                <c:pt idx="77">
                  <c:v>3.1332853431785017E-3</c:v>
                </c:pt>
                <c:pt idx="78">
                  <c:v>3.1332853431798443E-3</c:v>
                </c:pt>
                <c:pt idx="79">
                  <c:v>3.1332853431866605E-3</c:v>
                </c:pt>
                <c:pt idx="80">
                  <c:v>3.1332853431979323E-3</c:v>
                </c:pt>
                <c:pt idx="81">
                  <c:v>3.1332853432125018E-3</c:v>
                </c:pt>
                <c:pt idx="82">
                  <c:v>3.1332853432291313E-3</c:v>
                </c:pt>
                <c:pt idx="83">
                  <c:v>3.1332853432466624E-3</c:v>
                </c:pt>
                <c:pt idx="84">
                  <c:v>3.1332853432639212E-3</c:v>
                </c:pt>
                <c:pt idx="85">
                  <c:v>3.1332853432799587E-3</c:v>
                </c:pt>
                <c:pt idx="86">
                  <c:v>3.1332853432939466E-3</c:v>
                </c:pt>
                <c:pt idx="87">
                  <c:v>3.1332853433053047E-3</c:v>
                </c:pt>
                <c:pt idx="88">
                  <c:v>3.1332853433136782E-3</c:v>
                </c:pt>
                <c:pt idx="89">
                  <c:v>3.1332853433189371E-3</c:v>
                </c:pt>
                <c:pt idx="90">
                  <c:v>3.1332853433211796E-3</c:v>
                </c:pt>
                <c:pt idx="91">
                  <c:v>3.1332853433206865E-3</c:v>
                </c:pt>
                <c:pt idx="92">
                  <c:v>3.1332853433179088E-3</c:v>
                </c:pt>
                <c:pt idx="93">
                  <c:v>3.133285343313402E-3</c:v>
                </c:pt>
                <c:pt idx="94">
                  <c:v>3.1332853433077698E-3</c:v>
                </c:pt>
                <c:pt idx="95">
                  <c:v>3.1332853433016349E-3</c:v>
                </c:pt>
                <c:pt idx="96">
                  <c:v>3.133285343295576E-3</c:v>
                </c:pt>
                <c:pt idx="97">
                  <c:v>3.1332853432900721E-3</c:v>
                </c:pt>
                <c:pt idx="98">
                  <c:v>3.1332853432855115E-3</c:v>
                </c:pt>
                <c:pt idx="99">
                  <c:v>3.133285343282144E-3</c:v>
                </c:pt>
                <c:pt idx="100">
                  <c:v>3.1332853432800636E-3</c:v>
                </c:pt>
                <c:pt idx="101">
                  <c:v>3.1332853432792522E-3</c:v>
                </c:pt>
                <c:pt idx="102">
                  <c:v>3.1332853432795649E-3</c:v>
                </c:pt>
                <c:pt idx="103">
                  <c:v>3.1332853432807744E-3</c:v>
                </c:pt>
                <c:pt idx="104">
                  <c:v>3.1332853432825942E-3</c:v>
                </c:pt>
                <c:pt idx="105">
                  <c:v>3.133285343284711E-3</c:v>
                </c:pt>
                <c:pt idx="106">
                  <c:v>3.1332853432868473E-3</c:v>
                </c:pt>
                <c:pt idx="107">
                  <c:v>3.1332853432887481E-3</c:v>
                </c:pt>
                <c:pt idx="108">
                  <c:v>3.1332853432902352E-3</c:v>
                </c:pt>
                <c:pt idx="109">
                  <c:v>3.1332853432912071E-3</c:v>
                </c:pt>
                <c:pt idx="110">
                  <c:v>3.1332853432916399E-3</c:v>
                </c:pt>
                <c:pt idx="111">
                  <c:v>3.1332853432915818E-3</c:v>
                </c:pt>
                <c:pt idx="112">
                  <c:v>3.1332853432911394E-3</c:v>
                </c:pt>
                <c:pt idx="113">
                  <c:v>3.1332853432904516E-3</c:v>
                </c:pt>
                <c:pt idx="114">
                  <c:v>3.1332853432896666E-3</c:v>
                </c:pt>
                <c:pt idx="115">
                  <c:v>3.1332853432889194E-3</c:v>
                </c:pt>
                <c:pt idx="116">
                  <c:v>3.1332853432883209E-3</c:v>
                </c:pt>
                <c:pt idx="117">
                  <c:v>3.1332853432879358E-3</c:v>
                </c:pt>
                <c:pt idx="118">
                  <c:v>3.1332853432877823E-3</c:v>
                </c:pt>
                <c:pt idx="119">
                  <c:v>3.1332853432878352E-3</c:v>
                </c:pt>
                <c:pt idx="120">
                  <c:v>3.1332853432880447E-3</c:v>
                </c:pt>
                <c:pt idx="121">
                  <c:v>3.1332853432883374E-3</c:v>
                </c:pt>
                <c:pt idx="122">
                  <c:v>3.1332853432886401E-3</c:v>
                </c:pt>
                <c:pt idx="123">
                  <c:v>3.1332853432888912E-3</c:v>
                </c:pt>
                <c:pt idx="124">
                  <c:v>3.1332853432890495E-3</c:v>
                </c:pt>
                <c:pt idx="125">
                  <c:v>3.133285343289105E-3</c:v>
                </c:pt>
                <c:pt idx="126">
                  <c:v>3.1332853432890643E-3</c:v>
                </c:pt>
                <c:pt idx="127">
                  <c:v>3.1332853432889623E-3</c:v>
                </c:pt>
                <c:pt idx="128">
                  <c:v>3.1332853432888335E-3</c:v>
                </c:pt>
                <c:pt idx="129">
                  <c:v>3.1332853432887125E-3</c:v>
                </c:pt>
                <c:pt idx="130">
                  <c:v>3.1332853432886319E-3</c:v>
                </c:pt>
                <c:pt idx="131">
                  <c:v>3.1332853432886015E-3</c:v>
                </c:pt>
                <c:pt idx="132">
                  <c:v>3.1332853432886171E-3</c:v>
                </c:pt>
                <c:pt idx="133">
                  <c:v>3.133285343288667E-3</c:v>
                </c:pt>
                <c:pt idx="134">
                  <c:v>3.133285343288729E-3</c:v>
                </c:pt>
                <c:pt idx="135">
                  <c:v>3.1332853432887824E-3</c:v>
                </c:pt>
                <c:pt idx="136">
                  <c:v>3.1332853432888158E-3</c:v>
                </c:pt>
                <c:pt idx="137">
                  <c:v>3.1332853432888223E-3</c:v>
                </c:pt>
                <c:pt idx="138">
                  <c:v>3.1332853432888084E-3</c:v>
                </c:pt>
                <c:pt idx="139">
                  <c:v>3.1332853432887798E-3</c:v>
                </c:pt>
                <c:pt idx="140">
                  <c:v>3.1332853432887529E-3</c:v>
                </c:pt>
                <c:pt idx="141">
                  <c:v>3.1332853432887334E-3</c:v>
                </c:pt>
                <c:pt idx="142">
                  <c:v>3.1332853432887277E-3</c:v>
                </c:pt>
                <c:pt idx="143">
                  <c:v>3.1332853432887316E-3</c:v>
                </c:pt>
                <c:pt idx="144">
                  <c:v>3.1332853432887455E-3</c:v>
                </c:pt>
                <c:pt idx="145">
                  <c:v>3.1332853432887563E-3</c:v>
                </c:pt>
                <c:pt idx="146">
                  <c:v>3.1332853432887602E-3</c:v>
                </c:pt>
                <c:pt idx="147">
                  <c:v>3.1332853432887581E-3</c:v>
                </c:pt>
                <c:pt idx="148">
                  <c:v>3.1332853432887537E-3</c:v>
                </c:pt>
                <c:pt idx="149">
                  <c:v>3.1332853432887468E-3</c:v>
                </c:pt>
                <c:pt idx="150">
                  <c:v>3.1332853432887442E-3</c:v>
                </c:pt>
                <c:pt idx="151">
                  <c:v>3.1332853432887464E-3</c:v>
                </c:pt>
                <c:pt idx="152">
                  <c:v>3.1332853432887524E-3</c:v>
                </c:pt>
                <c:pt idx="153">
                  <c:v>3.1332853432887581E-3</c:v>
                </c:pt>
                <c:pt idx="154">
                  <c:v>3.1332853432887594E-3</c:v>
                </c:pt>
                <c:pt idx="155">
                  <c:v>3.1332853432887555E-3</c:v>
                </c:pt>
                <c:pt idx="156">
                  <c:v>3.1332853432887438E-3</c:v>
                </c:pt>
                <c:pt idx="157">
                  <c:v>3.1332853432887329E-3</c:v>
                </c:pt>
                <c:pt idx="158">
                  <c:v>3.1332853432887277E-3</c:v>
                </c:pt>
                <c:pt idx="159">
                  <c:v>3.1332853432887334E-3</c:v>
                </c:pt>
                <c:pt idx="160">
                  <c:v>3.1332853432887524E-3</c:v>
                </c:pt>
                <c:pt idx="161">
                  <c:v>3.1332853432887806E-3</c:v>
                </c:pt>
                <c:pt idx="162">
                  <c:v>3.1332853432888092E-3</c:v>
                </c:pt>
                <c:pt idx="163">
                  <c:v>3.1332853432888223E-3</c:v>
                </c:pt>
                <c:pt idx="164">
                  <c:v>3.1332853432888153E-3</c:v>
                </c:pt>
                <c:pt idx="165">
                  <c:v>3.1332853432887832E-3</c:v>
                </c:pt>
                <c:pt idx="166">
                  <c:v>3.1332853432887286E-3</c:v>
                </c:pt>
                <c:pt idx="167">
                  <c:v>3.1332853432886674E-3</c:v>
                </c:pt>
                <c:pt idx="168">
                  <c:v>3.133285343288618E-3</c:v>
                </c:pt>
                <c:pt idx="169">
                  <c:v>3.1332853432886011E-3</c:v>
                </c:pt>
                <c:pt idx="170">
                  <c:v>3.1332853432886314E-3</c:v>
                </c:pt>
                <c:pt idx="171">
                  <c:v>3.1332853432887134E-3</c:v>
                </c:pt>
                <c:pt idx="172">
                  <c:v>3.1332853432888331E-3</c:v>
                </c:pt>
                <c:pt idx="173">
                  <c:v>3.1332853432889606E-3</c:v>
                </c:pt>
                <c:pt idx="174">
                  <c:v>3.1332853432890643E-3</c:v>
                </c:pt>
                <c:pt idx="175">
                  <c:v>3.1332853432891042E-3</c:v>
                </c:pt>
                <c:pt idx="176">
                  <c:v>3.1332853432890499E-3</c:v>
                </c:pt>
                <c:pt idx="177">
                  <c:v>3.1332853432888903E-3</c:v>
                </c:pt>
                <c:pt idx="178">
                  <c:v>3.1332853432886401E-3</c:v>
                </c:pt>
                <c:pt idx="179">
                  <c:v>3.1332853432883365E-3</c:v>
                </c:pt>
                <c:pt idx="180">
                  <c:v>3.1332853432880442E-3</c:v>
                </c:pt>
                <c:pt idx="181">
                  <c:v>3.1332853432878352E-3</c:v>
                </c:pt>
                <c:pt idx="182">
                  <c:v>3.1332853432877819E-3</c:v>
                </c:pt>
                <c:pt idx="183">
                  <c:v>3.1332853432879358E-3</c:v>
                </c:pt>
                <c:pt idx="184">
                  <c:v>3.1332853432883222E-3</c:v>
                </c:pt>
                <c:pt idx="185">
                  <c:v>3.1332853432889198E-3</c:v>
                </c:pt>
                <c:pt idx="186">
                  <c:v>3.1332853432896679E-3</c:v>
                </c:pt>
                <c:pt idx="187">
                  <c:v>3.1332853432904529E-3</c:v>
                </c:pt>
                <c:pt idx="188">
                  <c:v>3.1332853432911411E-3</c:v>
                </c:pt>
                <c:pt idx="189">
                  <c:v>3.1332853432915809E-3</c:v>
                </c:pt>
                <c:pt idx="190">
                  <c:v>3.1332853432916399E-3</c:v>
                </c:pt>
                <c:pt idx="191">
                  <c:v>3.1332853432912066E-3</c:v>
                </c:pt>
                <c:pt idx="192">
                  <c:v>3.1332853432902339E-3</c:v>
                </c:pt>
                <c:pt idx="193">
                  <c:v>3.1332853432887464E-3</c:v>
                </c:pt>
                <c:pt idx="194">
                  <c:v>3.1332853432868503E-3</c:v>
                </c:pt>
                <c:pt idx="195">
                  <c:v>3.1332853432847149E-3</c:v>
                </c:pt>
                <c:pt idx="196">
                  <c:v>3.1332853432825946E-3</c:v>
                </c:pt>
                <c:pt idx="197">
                  <c:v>3.1332853432807744E-3</c:v>
                </c:pt>
                <c:pt idx="198">
                  <c:v>3.1332853432795697E-3</c:v>
                </c:pt>
                <c:pt idx="199">
                  <c:v>3.1332853432792531E-3</c:v>
                </c:pt>
                <c:pt idx="200">
                  <c:v>3.1332853432800645E-3</c:v>
                </c:pt>
                <c:pt idx="201">
                  <c:v>3.1332853432821457E-3</c:v>
                </c:pt>
                <c:pt idx="202">
                  <c:v>3.1332853432855146E-3</c:v>
                </c:pt>
                <c:pt idx="203">
                  <c:v>3.133285343290073E-3</c:v>
                </c:pt>
                <c:pt idx="204">
                  <c:v>3.1332853432955755E-3</c:v>
                </c:pt>
                <c:pt idx="205">
                  <c:v>3.1332853433016358E-3</c:v>
                </c:pt>
                <c:pt idx="206">
                  <c:v>3.1332853433077698E-3</c:v>
                </c:pt>
                <c:pt idx="207">
                  <c:v>3.1332853433134007E-3</c:v>
                </c:pt>
                <c:pt idx="208">
                  <c:v>3.1332853433179045E-3</c:v>
                </c:pt>
                <c:pt idx="209">
                  <c:v>3.1332853433206805E-3</c:v>
                </c:pt>
                <c:pt idx="210">
                  <c:v>3.1332853433211731E-3</c:v>
                </c:pt>
                <c:pt idx="211">
                  <c:v>3.1332853433189371E-3</c:v>
                </c:pt>
                <c:pt idx="212">
                  <c:v>3.1332853433136782E-3</c:v>
                </c:pt>
                <c:pt idx="213">
                  <c:v>3.133285343305306E-3</c:v>
                </c:pt>
                <c:pt idx="214">
                  <c:v>3.1332853432939419E-3</c:v>
                </c:pt>
                <c:pt idx="215">
                  <c:v>3.1332853432799548E-3</c:v>
                </c:pt>
                <c:pt idx="216">
                  <c:v>3.1332853432639186E-3</c:v>
                </c:pt>
                <c:pt idx="217">
                  <c:v>3.1332853432466498E-3</c:v>
                </c:pt>
                <c:pt idx="218">
                  <c:v>3.1332853432291486E-3</c:v>
                </c:pt>
                <c:pt idx="219">
                  <c:v>3.1332853432125009E-3</c:v>
                </c:pt>
                <c:pt idx="220">
                  <c:v>3.1332853431979314E-3</c:v>
                </c:pt>
                <c:pt idx="221">
                  <c:v>3.1332853431866614E-3</c:v>
                </c:pt>
                <c:pt idx="222">
                  <c:v>3.1332853431798474E-3</c:v>
                </c:pt>
                <c:pt idx="223">
                  <c:v>3.1332853431784886E-3</c:v>
                </c:pt>
                <c:pt idx="224">
                  <c:v>3.133285343183456E-3</c:v>
                </c:pt>
                <c:pt idx="225">
                  <c:v>3.1332853431953037E-3</c:v>
                </c:pt>
                <c:pt idx="226">
                  <c:v>3.1332853432142795E-3</c:v>
                </c:pt>
                <c:pt idx="227">
                  <c:v>3.133285343240302E-3</c:v>
                </c:pt>
                <c:pt idx="228">
                  <c:v>3.133285343272907E-3</c:v>
                </c:pt>
                <c:pt idx="229">
                  <c:v>3.13328534331128E-3</c:v>
                </c:pt>
                <c:pt idx="230">
                  <c:v>3.1332853433541988E-3</c:v>
                </c:pt>
                <c:pt idx="231">
                  <c:v>3.1332853434002618E-3</c:v>
                </c:pt>
                <c:pt idx="232">
                  <c:v>3.1332853434474762E-3</c:v>
                </c:pt>
                <c:pt idx="233">
                  <c:v>3.1332853434939485E-3</c:v>
                </c:pt>
                <c:pt idx="234">
                  <c:v>3.1332853435375469E-3</c:v>
                </c:pt>
                <c:pt idx="235">
                  <c:v>3.1332853435759029E-3</c:v>
                </c:pt>
                <c:pt idx="236">
                  <c:v>3.1332853436070113E-3</c:v>
                </c:pt>
                <c:pt idx="237">
                  <c:v>3.1332853436287266E-3</c:v>
                </c:pt>
                <c:pt idx="238">
                  <c:v>3.1332853436390282E-3</c:v>
                </c:pt>
                <c:pt idx="239">
                  <c:v>3.1332853436366083E-3</c:v>
                </c:pt>
                <c:pt idx="240">
                  <c:v>3.1332853436202984E-3</c:v>
                </c:pt>
                <c:pt idx="241">
                  <c:v>3.1332853435892664E-3</c:v>
                </c:pt>
                <c:pt idx="242">
                  <c:v>3.1332853435433934E-3</c:v>
                </c:pt>
                <c:pt idx="243">
                  <c:v>3.1332853434827652E-3</c:v>
                </c:pt>
                <c:pt idx="244">
                  <c:v>3.1332853434084297E-3</c:v>
                </c:pt>
                <c:pt idx="245">
                  <c:v>3.133285343321445E-3</c:v>
                </c:pt>
                <c:pt idx="246">
                  <c:v>3.133285343224343E-3</c:v>
                </c:pt>
                <c:pt idx="247">
                  <c:v>3.1332853431187049E-3</c:v>
                </c:pt>
                <c:pt idx="248">
                  <c:v>3.1332853430079467E-3</c:v>
                </c:pt>
                <c:pt idx="249">
                  <c:v>3.1332853428945664E-3</c:v>
                </c:pt>
                <c:pt idx="250">
                  <c:v>3.1332853427826005E-3</c:v>
                </c:pt>
                <c:pt idx="251">
                  <c:v>3.1332853426752128E-3</c:v>
                </c:pt>
                <c:pt idx="252">
                  <c:v>3.1332853425756224E-3</c:v>
                </c:pt>
                <c:pt idx="253">
                  <c:v>3.1332853424881177E-3</c:v>
                </c:pt>
                <c:pt idx="254">
                  <c:v>3.133285342416308E-3</c:v>
                </c:pt>
                <c:pt idx="255">
                  <c:v>3.1332853423618437E-3</c:v>
                </c:pt>
                <c:pt idx="256">
                  <c:v>3.1332853423288991E-3</c:v>
                </c:pt>
                <c:pt idx="257">
                  <c:v>3.1332853423187519E-3</c:v>
                </c:pt>
                <c:pt idx="258">
                  <c:v>3.1332853423343184E-3</c:v>
                </c:pt>
                <c:pt idx="259">
                  <c:v>3.1332853423760641E-3</c:v>
                </c:pt>
                <c:pt idx="260">
                  <c:v>3.1332853424446338E-3</c:v>
                </c:pt>
                <c:pt idx="261">
                  <c:v>3.1332853425405835E-3</c:v>
                </c:pt>
                <c:pt idx="262">
                  <c:v>3.1332853426615502E-3</c:v>
                </c:pt>
                <c:pt idx="263">
                  <c:v>3.1332853428075015E-3</c:v>
                </c:pt>
                <c:pt idx="264">
                  <c:v>3.133285342976481E-3</c:v>
                </c:pt>
                <c:pt idx="265">
                  <c:v>3.1332853431632998E-3</c:v>
                </c:pt>
                <c:pt idx="266">
                  <c:v>3.1332853433692939E-3</c:v>
                </c:pt>
                <c:pt idx="267">
                  <c:v>3.1332853435878695E-3</c:v>
                </c:pt>
                <c:pt idx="268">
                  <c:v>3.1332853438111627E-3</c:v>
                </c:pt>
                <c:pt idx="269">
                  <c:v>3.1332853440432418E-3</c:v>
                </c:pt>
                <c:pt idx="270">
                  <c:v>3.1332853442728975E-3</c:v>
                </c:pt>
                <c:pt idx="271">
                  <c:v>3.1332853444928687E-3</c:v>
                </c:pt>
                <c:pt idx="272">
                  <c:v>3.133285344707228E-3</c:v>
                </c:pt>
                <c:pt idx="273">
                  <c:v>3.13328534490345E-3</c:v>
                </c:pt>
                <c:pt idx="274">
                  <c:v>3.1332853450849922E-3</c:v>
                </c:pt>
                <c:pt idx="275">
                  <c:v>3.1332853452385721E-3</c:v>
                </c:pt>
                <c:pt idx="276">
                  <c:v>3.1332853453591002E-3</c:v>
                </c:pt>
                <c:pt idx="277">
                  <c:v>3.1332853454459318E-3</c:v>
                </c:pt>
                <c:pt idx="278">
                  <c:v>3.133285345509202E-3</c:v>
                </c:pt>
                <c:pt idx="279">
                  <c:v>3.1332853455276919E-3</c:v>
                </c:pt>
                <c:pt idx="280">
                  <c:v>3.133285345502224E-3</c:v>
                </c:pt>
                <c:pt idx="281">
                  <c:v>3.1332853454408604E-3</c:v>
                </c:pt>
                <c:pt idx="282">
                  <c:v>3.1332853453320646E-3</c:v>
                </c:pt>
                <c:pt idx="283">
                  <c:v>3.1332853452122182E-3</c:v>
                </c:pt>
                <c:pt idx="284">
                  <c:v>3.1332853450243142E-3</c:v>
                </c:pt>
                <c:pt idx="285">
                  <c:v>3.1332853447895168E-3</c:v>
                </c:pt>
                <c:pt idx="286">
                  <c:v>3.1332853445441167E-3</c:v>
                </c:pt>
                <c:pt idx="287">
                  <c:v>3.1332853442561548E-3</c:v>
                </c:pt>
                <c:pt idx="288">
                  <c:v>3.1332853439599803E-3</c:v>
                </c:pt>
                <c:pt idx="289">
                  <c:v>3.1332853435926686E-3</c:v>
                </c:pt>
                <c:pt idx="290">
                  <c:v>3.1332853432330123E-3</c:v>
                </c:pt>
                <c:pt idx="291">
                  <c:v>3.1332853428761246E-3</c:v>
                </c:pt>
                <c:pt idx="292">
                  <c:v>3.1332853424513212E-3</c:v>
                </c:pt>
                <c:pt idx="293">
                  <c:v>3.1332853420351068E-3</c:v>
                </c:pt>
                <c:pt idx="294">
                  <c:v>3.1332853416530687E-3</c:v>
                </c:pt>
                <c:pt idx="295">
                  <c:v>3.1332853413900317E-3</c:v>
                </c:pt>
                <c:pt idx="296">
                  <c:v>3.1332853409781012E-3</c:v>
                </c:pt>
                <c:pt idx="297">
                  <c:v>3.1332853406280722E-3</c:v>
                </c:pt>
                <c:pt idx="298">
                  <c:v>3.1332853403434431E-3</c:v>
                </c:pt>
                <c:pt idx="299">
                  <c:v>3.1332853399081073E-3</c:v>
                </c:pt>
                <c:pt idx="300">
                  <c:v>3.1332853397453117E-3</c:v>
                </c:pt>
                <c:pt idx="301">
                  <c:v>3.1332853398401252E-3</c:v>
                </c:pt>
                <c:pt idx="302">
                  <c:v>3.1332853394406509E-3</c:v>
                </c:pt>
                <c:pt idx="303">
                  <c:v>3.1332853392216317E-3</c:v>
                </c:pt>
                <c:pt idx="304">
                  <c:v>3.1332853388072045E-3</c:v>
                </c:pt>
                <c:pt idx="305">
                  <c:v>3.1332853391481908E-3</c:v>
                </c:pt>
                <c:pt idx="306">
                  <c:v>3.1332853388373553E-3</c:v>
                </c:pt>
                <c:pt idx="307">
                  <c:v>3.133285338372148E-3</c:v>
                </c:pt>
                <c:pt idx="308">
                  <c:v>3.1332853396210526E-3</c:v>
                </c:pt>
                <c:pt idx="309">
                  <c:v>3.1332853398566398E-3</c:v>
                </c:pt>
                <c:pt idx="310">
                  <c:v>3.1332853389001124E-3</c:v>
                </c:pt>
                <c:pt idx="311">
                  <c:v>3.1332853406652599E-3</c:v>
                </c:pt>
                <c:pt idx="312">
                  <c:v>3.1332853394855946E-3</c:v>
                </c:pt>
                <c:pt idx="313">
                  <c:v>3.1332853409142603E-3</c:v>
                </c:pt>
                <c:pt idx="314">
                  <c:v>3.1332853408140363E-3</c:v>
                </c:pt>
                <c:pt idx="315">
                  <c:v>3.1332853421925872E-3</c:v>
                </c:pt>
                <c:pt idx="316">
                  <c:v>3.1332853433678818E-3</c:v>
                </c:pt>
                <c:pt idx="317">
                  <c:v>3.1332853416636301E-3</c:v>
                </c:pt>
                <c:pt idx="318">
                  <c:v>3.1332853422130786E-3</c:v>
                </c:pt>
                <c:pt idx="319">
                  <c:v>3.1332853419775491E-3</c:v>
                </c:pt>
                <c:pt idx="320">
                  <c:v>3.1332853462847821E-3</c:v>
                </c:pt>
                <c:pt idx="321">
                  <c:v>3.1332853512955751E-3</c:v>
                </c:pt>
                <c:pt idx="322">
                  <c:v>3.1332853423817883E-3</c:v>
                </c:pt>
                <c:pt idx="323">
                  <c:v>3.1332853461033014E-3</c:v>
                </c:pt>
                <c:pt idx="324">
                  <c:v>3.1332853589913084E-3</c:v>
                </c:pt>
                <c:pt idx="325">
                  <c:v>3.1332853533898564E-3</c:v>
                </c:pt>
                <c:pt idx="326">
                  <c:v>3.1332849514363651E-3</c:v>
                </c:pt>
                <c:pt idx="327">
                  <c:v>3.1332850537219366E-3</c:v>
                </c:pt>
                <c:pt idx="328">
                  <c:v>3.1332850848812691E-3</c:v>
                </c:pt>
                <c:pt idx="329">
                  <c:v>3.1332851689871094E-3</c:v>
                </c:pt>
                <c:pt idx="330">
                  <c:v>3.1332851411793225E-3</c:v>
                </c:pt>
                <c:pt idx="331">
                  <c:v>3.1332851942817838E-3</c:v>
                </c:pt>
                <c:pt idx="332">
                  <c:v>3.133285147059755E-3</c:v>
                </c:pt>
                <c:pt idx="333">
                  <c:v>3.1332852275252625E-3</c:v>
                </c:pt>
                <c:pt idx="334">
                  <c:v>3.1332852978485227E-3</c:v>
                </c:pt>
                <c:pt idx="335">
                  <c:v>3.1332853859960307E-3</c:v>
                </c:pt>
                <c:pt idx="336">
                  <c:v>3.1332853797955804E-3</c:v>
                </c:pt>
                <c:pt idx="337">
                  <c:v>3.1332853048110076E-3</c:v>
                </c:pt>
                <c:pt idx="338">
                  <c:v>3.1332853778599E-3</c:v>
                </c:pt>
                <c:pt idx="339">
                  <c:v>3.1332855598826901E-3</c:v>
                </c:pt>
                <c:pt idx="340">
                  <c:v>3.1332855714584062E-3</c:v>
                </c:pt>
                <c:pt idx="341">
                  <c:v>3.1332856199950462E-3</c:v>
                </c:pt>
                <c:pt idx="342">
                  <c:v>3.1332854440521921E-3</c:v>
                </c:pt>
                <c:pt idx="343">
                  <c:v>3.1332854349265392E-3</c:v>
                </c:pt>
                <c:pt idx="344">
                  <c:v>3.1332856808728988E-3</c:v>
                </c:pt>
                <c:pt idx="345">
                  <c:v>3.1332849139227995E-3</c:v>
                </c:pt>
                <c:pt idx="346">
                  <c:v>3.1332856669472236E-3</c:v>
                </c:pt>
                <c:pt idx="347">
                  <c:v>3.1332846849138631E-3</c:v>
                </c:pt>
                <c:pt idx="348">
                  <c:v>3.1332867040668373E-3</c:v>
                </c:pt>
                <c:pt idx="349">
                  <c:v>3.1332850386225817E-3</c:v>
                </c:pt>
                <c:pt idx="350">
                  <c:v>3.1332845037224119E-3</c:v>
                </c:pt>
                <c:pt idx="351">
                  <c:v>3.1332864654891983E-3</c:v>
                </c:pt>
                <c:pt idx="352">
                  <c:v>3.1332853682992166E-3</c:v>
                </c:pt>
                <c:pt idx="353">
                  <c:v>3.133283350197049E-3</c:v>
                </c:pt>
                <c:pt idx="354">
                  <c:v>3.1332843530976241E-3</c:v>
                </c:pt>
                <c:pt idx="355">
                  <c:v>3.133289153212415E-3</c:v>
                </c:pt>
                <c:pt idx="356">
                  <c:v>3.1332851177179552E-3</c:v>
                </c:pt>
                <c:pt idx="357">
                  <c:v>3.1332912217460541E-3</c:v>
                </c:pt>
                <c:pt idx="358">
                  <c:v>3.1332746797101481E-3</c:v>
                </c:pt>
                <c:pt idx="359">
                  <c:v>3.1332904074249405E-3</c:v>
                </c:pt>
                <c:pt idx="360">
                  <c:v>3.1332984394336735E-3</c:v>
                </c:pt>
                <c:pt idx="361">
                  <c:v>3.1332750633849583E-3</c:v>
                </c:pt>
                <c:pt idx="362">
                  <c:v>3.1332666556664534E-3</c:v>
                </c:pt>
                <c:pt idx="363">
                  <c:v>3.1332902560161774E-3</c:v>
                </c:pt>
                <c:pt idx="364">
                  <c:v>3.1332832371014125E-3</c:v>
                </c:pt>
                <c:pt idx="365">
                  <c:v>3.1332563257955937E-3</c:v>
                </c:pt>
                <c:pt idx="366">
                  <c:v>3.133301783618034E-3</c:v>
                </c:pt>
                <c:pt idx="367">
                  <c:v>3.1333534992230702E-3</c:v>
                </c:pt>
                <c:pt idx="368">
                  <c:v>3.1333823012111373E-3</c:v>
                </c:pt>
                <c:pt idx="369">
                  <c:v>3.1331893328265105E-3</c:v>
                </c:pt>
                <c:pt idx="370">
                  <c:v>3.1332041306502082E-3</c:v>
                </c:pt>
                <c:pt idx="371">
                  <c:v>3.1333354728725273E-3</c:v>
                </c:pt>
                <c:pt idx="372">
                  <c:v>3.1335220843566572E-3</c:v>
                </c:pt>
                <c:pt idx="373">
                  <c:v>3.1333209686623038E-3</c:v>
                </c:pt>
                <c:pt idx="374">
                  <c:v>3.1330930718803836E-3</c:v>
                </c:pt>
                <c:pt idx="375">
                  <c:v>3.1334708129486842E-3</c:v>
                </c:pt>
                <c:pt idx="376">
                  <c:v>3.1329687905714246E-3</c:v>
                </c:pt>
                <c:pt idx="377">
                  <c:v>3.1334982763638886E-3</c:v>
                </c:pt>
                <c:pt idx="378">
                  <c:v>3.1331126512198324E-3</c:v>
                </c:pt>
                <c:pt idx="379">
                  <c:v>3.1333520122274593E-3</c:v>
                </c:pt>
                <c:pt idx="380">
                  <c:v>3.1327212643531919E-3</c:v>
                </c:pt>
                <c:pt idx="381">
                  <c:v>3.1336478716928531E-3</c:v>
                </c:pt>
                <c:pt idx="382">
                  <c:v>3.1360118310108319E-3</c:v>
                </c:pt>
                <c:pt idx="383">
                  <c:v>3.1322642098050991E-3</c:v>
                </c:pt>
                <c:pt idx="384">
                  <c:v>3.1345494852718461E-3</c:v>
                </c:pt>
                <c:pt idx="385">
                  <c:v>3.1283802188223453E-3</c:v>
                </c:pt>
                <c:pt idx="386">
                  <c:v>3.1354737924126062E-3</c:v>
                </c:pt>
                <c:pt idx="387">
                  <c:v>3.1417229200845173E-3</c:v>
                </c:pt>
                <c:pt idx="388">
                  <c:v>3.1373745997135276E-3</c:v>
                </c:pt>
                <c:pt idx="389">
                  <c:v>3.1389896418271687E-3</c:v>
                </c:pt>
                <c:pt idx="390">
                  <c:v>3.1373297558090602E-3</c:v>
                </c:pt>
                <c:pt idx="391">
                  <c:v>3.1504019631249315E-3</c:v>
                </c:pt>
                <c:pt idx="392">
                  <c:v>3.1427914023329055E-3</c:v>
                </c:pt>
                <c:pt idx="393">
                  <c:v>3.1557781436648597E-3</c:v>
                </c:pt>
                <c:pt idx="394">
                  <c:v>3.1687648849968138E-3</c:v>
                </c:pt>
                <c:pt idx="395">
                  <c:v>3.181751626328768E-3</c:v>
                </c:pt>
                <c:pt idx="396">
                  <c:v>3.1947383676607217E-3</c:v>
                </c:pt>
                <c:pt idx="397">
                  <c:v>3.2077251089926758E-3</c:v>
                </c:pt>
                <c:pt idx="398">
                  <c:v>3.22071185032463E-3</c:v>
                </c:pt>
                <c:pt idx="399">
                  <c:v>3.2336985916565841E-3</c:v>
                </c:pt>
                <c:pt idx="400">
                  <c:v>3.2466853329885382E-3</c:v>
                </c:pt>
                <c:pt idx="401">
                  <c:v>3.259672074320492E-3</c:v>
                </c:pt>
                <c:pt idx="402">
                  <c:v>3.2726588156524461E-3</c:v>
                </c:pt>
                <c:pt idx="403">
                  <c:v>3.2856455569844011E-3</c:v>
                </c:pt>
                <c:pt idx="404">
                  <c:v>3.2986322983163548E-3</c:v>
                </c:pt>
                <c:pt idx="405">
                  <c:v>3.311619039648309E-3</c:v>
                </c:pt>
                <c:pt idx="406">
                  <c:v>3.3246057809802631E-3</c:v>
                </c:pt>
                <c:pt idx="407">
                  <c:v>3.3375925223122173E-3</c:v>
                </c:pt>
                <c:pt idx="408">
                  <c:v>3.3505792636441714E-3</c:v>
                </c:pt>
                <c:pt idx="409">
                  <c:v>3.3635660049761251E-3</c:v>
                </c:pt>
                <c:pt idx="410">
                  <c:v>3.3765527463080793E-3</c:v>
                </c:pt>
                <c:pt idx="411">
                  <c:v>3.3895394876400343E-3</c:v>
                </c:pt>
                <c:pt idx="412">
                  <c:v>3.402526228971988E-3</c:v>
                </c:pt>
                <c:pt idx="413">
                  <c:v>3.4155129703039421E-3</c:v>
                </c:pt>
                <c:pt idx="414">
                  <c:v>3.4284997116358971E-3</c:v>
                </c:pt>
                <c:pt idx="415">
                  <c:v>3.4414864529678508E-3</c:v>
                </c:pt>
                <c:pt idx="416">
                  <c:v>3.4544731942998059E-3</c:v>
                </c:pt>
                <c:pt idx="417">
                  <c:v>3.4674599356317604E-3</c:v>
                </c:pt>
                <c:pt idx="418">
                  <c:v>3.4804466769637154E-3</c:v>
                </c:pt>
                <c:pt idx="419">
                  <c:v>3.4934334182956692E-3</c:v>
                </c:pt>
                <c:pt idx="420">
                  <c:v>3.5064201596276242E-3</c:v>
                </c:pt>
                <c:pt idx="421">
                  <c:v>3.5194069009595787E-3</c:v>
                </c:pt>
                <c:pt idx="422">
                  <c:v>3.5323936422915338E-3</c:v>
                </c:pt>
                <c:pt idx="423">
                  <c:v>3.5453803836234879E-3</c:v>
                </c:pt>
                <c:pt idx="424">
                  <c:v>3.5583671249554425E-3</c:v>
                </c:pt>
                <c:pt idx="425">
                  <c:v>3.5713538662873971E-3</c:v>
                </c:pt>
                <c:pt idx="426">
                  <c:v>3.5843406076193521E-3</c:v>
                </c:pt>
                <c:pt idx="427">
                  <c:v>3.5973273489513062E-3</c:v>
                </c:pt>
                <c:pt idx="428">
                  <c:v>3.6103140902832608E-3</c:v>
                </c:pt>
                <c:pt idx="429">
                  <c:v>3.6233008316152158E-3</c:v>
                </c:pt>
                <c:pt idx="430">
                  <c:v>3.6362875729471704E-3</c:v>
                </c:pt>
                <c:pt idx="431">
                  <c:v>3.6492743142791245E-3</c:v>
                </c:pt>
                <c:pt idx="432">
                  <c:v>3.6622610556110791E-3</c:v>
                </c:pt>
                <c:pt idx="433">
                  <c:v>3.6752477969430341E-3</c:v>
                </c:pt>
                <c:pt idx="434">
                  <c:v>3.6882345382749887E-3</c:v>
                </c:pt>
                <c:pt idx="435">
                  <c:v>3.7012212796069428E-3</c:v>
                </c:pt>
                <c:pt idx="436">
                  <c:v>3.7142080209388974E-3</c:v>
                </c:pt>
                <c:pt idx="437">
                  <c:v>3.7271947622708524E-3</c:v>
                </c:pt>
                <c:pt idx="438">
                  <c:v>3.740181503602807E-3</c:v>
                </c:pt>
                <c:pt idx="439">
                  <c:v>3.7531682449347611E-3</c:v>
                </c:pt>
                <c:pt idx="440">
                  <c:v>3.7661549862667162E-3</c:v>
                </c:pt>
                <c:pt idx="441">
                  <c:v>3.7791417275986707E-3</c:v>
                </c:pt>
                <c:pt idx="442">
                  <c:v>3.7921284689306253E-3</c:v>
                </c:pt>
                <c:pt idx="443">
                  <c:v>3.8051152102625795E-3</c:v>
                </c:pt>
                <c:pt idx="444">
                  <c:v>3.8181019515945345E-3</c:v>
                </c:pt>
                <c:pt idx="445">
                  <c:v>3.831088692926489E-3</c:v>
                </c:pt>
                <c:pt idx="446">
                  <c:v>3.8440754342584441E-3</c:v>
                </c:pt>
                <c:pt idx="447">
                  <c:v>3.8570621755903978E-3</c:v>
                </c:pt>
                <c:pt idx="448">
                  <c:v>3.8700489169223528E-3</c:v>
                </c:pt>
                <c:pt idx="449">
                  <c:v>3.8830356582543074E-3</c:v>
                </c:pt>
                <c:pt idx="450">
                  <c:v>3.8960223995862624E-3</c:v>
                </c:pt>
                <c:pt idx="451">
                  <c:v>3.9090091409182161E-3</c:v>
                </c:pt>
                <c:pt idx="452">
                  <c:v>3.9219958822501707E-3</c:v>
                </c:pt>
                <c:pt idx="453">
                  <c:v>3.9349826235821261E-3</c:v>
                </c:pt>
                <c:pt idx="454">
                  <c:v>3.9479693649140807E-3</c:v>
                </c:pt>
                <c:pt idx="455">
                  <c:v>3.9609561062460344E-3</c:v>
                </c:pt>
                <c:pt idx="456">
                  <c:v>3.973942847577989E-3</c:v>
                </c:pt>
                <c:pt idx="457">
                  <c:v>3.9869295889099444E-3</c:v>
                </c:pt>
                <c:pt idx="458">
                  <c:v>3.999916330241899E-3</c:v>
                </c:pt>
                <c:pt idx="459">
                  <c:v>4.0129030715738527E-3</c:v>
                </c:pt>
                <c:pt idx="460">
                  <c:v>4.0258898129058081E-3</c:v>
                </c:pt>
                <c:pt idx="461">
                  <c:v>4.0388765542377627E-3</c:v>
                </c:pt>
                <c:pt idx="462">
                  <c:v>4.0518632955697173E-3</c:v>
                </c:pt>
                <c:pt idx="463">
                  <c:v>4.0648500369016719E-3</c:v>
                </c:pt>
                <c:pt idx="464">
                  <c:v>4.0778367782336265E-3</c:v>
                </c:pt>
                <c:pt idx="465">
                  <c:v>4.0908235195655819E-3</c:v>
                </c:pt>
                <c:pt idx="466">
                  <c:v>4.1038102608975356E-3</c:v>
                </c:pt>
                <c:pt idx="467">
                  <c:v>4.1167970022294902E-3</c:v>
                </c:pt>
                <c:pt idx="468">
                  <c:v>4.1297837435614448E-3</c:v>
                </c:pt>
                <c:pt idx="469">
                  <c:v>4.1427704848934002E-3</c:v>
                </c:pt>
                <c:pt idx="470">
                  <c:v>4.1557572262253539E-3</c:v>
                </c:pt>
                <c:pt idx="471">
                  <c:v>4.1687439675573085E-3</c:v>
                </c:pt>
                <c:pt idx="472">
                  <c:v>4.181730708889264E-3</c:v>
                </c:pt>
                <c:pt idx="473">
                  <c:v>4.1947174502212185E-3</c:v>
                </c:pt>
                <c:pt idx="474">
                  <c:v>4.2077041915531722E-3</c:v>
                </c:pt>
                <c:pt idx="475">
                  <c:v>4.2206909328851268E-3</c:v>
                </c:pt>
                <c:pt idx="476">
                  <c:v>4.2336776742170823E-3</c:v>
                </c:pt>
                <c:pt idx="477">
                  <c:v>4.2466644155490368E-3</c:v>
                </c:pt>
                <c:pt idx="478">
                  <c:v>4.2596511568809906E-3</c:v>
                </c:pt>
                <c:pt idx="479">
                  <c:v>4.2726378982129451E-3</c:v>
                </c:pt>
                <c:pt idx="480">
                  <c:v>4.2856246395449006E-3</c:v>
                </c:pt>
                <c:pt idx="481">
                  <c:v>4.2986113808768552E-3</c:v>
                </c:pt>
                <c:pt idx="482">
                  <c:v>4.3115981222088089E-3</c:v>
                </c:pt>
                <c:pt idx="483">
                  <c:v>4.3245848635407643E-3</c:v>
                </c:pt>
                <c:pt idx="484">
                  <c:v>4.3375716048727189E-3</c:v>
                </c:pt>
                <c:pt idx="485">
                  <c:v>4.3505583462046735E-3</c:v>
                </c:pt>
                <c:pt idx="486">
                  <c:v>4.3635450875366272E-3</c:v>
                </c:pt>
                <c:pt idx="487">
                  <c:v>4.3765318288685826E-3</c:v>
                </c:pt>
                <c:pt idx="488">
                  <c:v>4.3895185702005372E-3</c:v>
                </c:pt>
                <c:pt idx="489">
                  <c:v>4.4025053115324918E-3</c:v>
                </c:pt>
                <c:pt idx="490">
                  <c:v>4.4154920528644455E-3</c:v>
                </c:pt>
                <c:pt idx="491">
                  <c:v>4.4284787941964009E-3</c:v>
                </c:pt>
                <c:pt idx="492">
                  <c:v>4.4414655355283555E-3</c:v>
                </c:pt>
                <c:pt idx="493">
                  <c:v>4.4544522768603101E-3</c:v>
                </c:pt>
                <c:pt idx="494">
                  <c:v>4.4674390181922638E-3</c:v>
                </c:pt>
                <c:pt idx="495">
                  <c:v>4.4804257595242192E-3</c:v>
                </c:pt>
                <c:pt idx="496">
                  <c:v>4.4934125008561738E-3</c:v>
                </c:pt>
                <c:pt idx="497">
                  <c:v>4.5063992421881284E-3</c:v>
                </c:pt>
                <c:pt idx="498">
                  <c:v>4.519385983520083E-3</c:v>
                </c:pt>
                <c:pt idx="499">
                  <c:v>4.5323727248520376E-3</c:v>
                </c:pt>
                <c:pt idx="500">
                  <c:v>4.5453594661839921E-3</c:v>
                </c:pt>
                <c:pt idx="501">
                  <c:v>4.5583462075159467E-3</c:v>
                </c:pt>
                <c:pt idx="502">
                  <c:v>4.5713329488479013E-3</c:v>
                </c:pt>
                <c:pt idx="503">
                  <c:v>4.5843196901798559E-3</c:v>
                </c:pt>
                <c:pt idx="504">
                  <c:v>4.5973064315118104E-3</c:v>
                </c:pt>
                <c:pt idx="505">
                  <c:v>4.610293172843765E-3</c:v>
                </c:pt>
                <c:pt idx="506">
                  <c:v>4.6232799141757196E-3</c:v>
                </c:pt>
                <c:pt idx="507">
                  <c:v>4.6362666555076742E-3</c:v>
                </c:pt>
                <c:pt idx="508">
                  <c:v>4.6492533968396288E-3</c:v>
                </c:pt>
                <c:pt idx="509">
                  <c:v>4.6622401381715833E-3</c:v>
                </c:pt>
                <c:pt idx="510">
                  <c:v>4.6752268795035388E-3</c:v>
                </c:pt>
                <c:pt idx="511">
                  <c:v>4.6882136208354925E-3</c:v>
                </c:pt>
                <c:pt idx="512">
                  <c:v>4.7012003621674471E-3</c:v>
                </c:pt>
                <c:pt idx="513">
                  <c:v>4.7141871034994016E-3</c:v>
                </c:pt>
                <c:pt idx="514">
                  <c:v>4.7271738448313571E-3</c:v>
                </c:pt>
                <c:pt idx="515">
                  <c:v>4.7401605861633108E-3</c:v>
                </c:pt>
                <c:pt idx="516">
                  <c:v>4.7531473274952654E-3</c:v>
                </c:pt>
                <c:pt idx="517">
                  <c:v>4.76613406882722E-3</c:v>
                </c:pt>
                <c:pt idx="518">
                  <c:v>4.7791208101591754E-3</c:v>
                </c:pt>
                <c:pt idx="519">
                  <c:v>4.7921075514911291E-3</c:v>
                </c:pt>
                <c:pt idx="520">
                  <c:v>4.8050942928230837E-3</c:v>
                </c:pt>
                <c:pt idx="521">
                  <c:v>4.8180810341550383E-3</c:v>
                </c:pt>
                <c:pt idx="522">
                  <c:v>4.8310677754869937E-3</c:v>
                </c:pt>
                <c:pt idx="523">
                  <c:v>4.8440545168189474E-3</c:v>
                </c:pt>
                <c:pt idx="524">
                  <c:v>4.857041258150902E-3</c:v>
                </c:pt>
                <c:pt idx="525">
                  <c:v>4.8700279994828575E-3</c:v>
                </c:pt>
                <c:pt idx="526">
                  <c:v>4.883014740814812E-3</c:v>
                </c:pt>
                <c:pt idx="527">
                  <c:v>4.8960014821467657E-3</c:v>
                </c:pt>
                <c:pt idx="528">
                  <c:v>4.9089882234787203E-3</c:v>
                </c:pt>
                <c:pt idx="529">
                  <c:v>4.9219749648106758E-3</c:v>
                </c:pt>
                <c:pt idx="530">
                  <c:v>4.9349617061426303E-3</c:v>
                </c:pt>
                <c:pt idx="531">
                  <c:v>4.9479484474745841E-3</c:v>
                </c:pt>
                <c:pt idx="532">
                  <c:v>4.9609351888065386E-3</c:v>
                </c:pt>
                <c:pt idx="533">
                  <c:v>4.9739219301384941E-3</c:v>
                </c:pt>
                <c:pt idx="534">
                  <c:v>4.9869086714704487E-3</c:v>
                </c:pt>
                <c:pt idx="535">
                  <c:v>4.9998954128024024E-3</c:v>
                </c:pt>
                <c:pt idx="536">
                  <c:v>5.0128821541343578E-3</c:v>
                </c:pt>
                <c:pt idx="537">
                  <c:v>5.0258688954663124E-3</c:v>
                </c:pt>
                <c:pt idx="538">
                  <c:v>5.038855636798267E-3</c:v>
                </c:pt>
                <c:pt idx="539">
                  <c:v>5.0518423781302207E-3</c:v>
                </c:pt>
                <c:pt idx="540">
                  <c:v>5.0648291194621761E-3</c:v>
                </c:pt>
                <c:pt idx="541">
                  <c:v>5.0778158607941307E-3</c:v>
                </c:pt>
                <c:pt idx="542">
                  <c:v>5.0908026021260853E-3</c:v>
                </c:pt>
                <c:pt idx="543">
                  <c:v>5.103789343458039E-3</c:v>
                </c:pt>
                <c:pt idx="544">
                  <c:v>5.1167760847899944E-3</c:v>
                </c:pt>
                <c:pt idx="545">
                  <c:v>5.129762826121949E-3</c:v>
                </c:pt>
                <c:pt idx="546">
                  <c:v>5.1427495674539036E-3</c:v>
                </c:pt>
                <c:pt idx="547">
                  <c:v>5.1557363087858573E-3</c:v>
                </c:pt>
                <c:pt idx="548">
                  <c:v>5.1687230501178127E-3</c:v>
                </c:pt>
                <c:pt idx="549">
                  <c:v>5.1817097914497673E-3</c:v>
                </c:pt>
                <c:pt idx="550">
                  <c:v>5.1946965327817219E-3</c:v>
                </c:pt>
                <c:pt idx="551">
                  <c:v>5.2076832741136765E-3</c:v>
                </c:pt>
                <c:pt idx="552">
                  <c:v>5.2206700154456311E-3</c:v>
                </c:pt>
                <c:pt idx="553">
                  <c:v>5.2336567567775856E-3</c:v>
                </c:pt>
                <c:pt idx="554">
                  <c:v>5.2466434981095402E-3</c:v>
                </c:pt>
                <c:pt idx="555">
                  <c:v>5.2596302394414948E-3</c:v>
                </c:pt>
                <c:pt idx="556">
                  <c:v>5.2726169807734494E-3</c:v>
                </c:pt>
                <c:pt idx="557">
                  <c:v>5.2856037221054039E-3</c:v>
                </c:pt>
                <c:pt idx="558">
                  <c:v>5.2985904634373585E-3</c:v>
                </c:pt>
                <c:pt idx="559">
                  <c:v>5.3115772047693131E-3</c:v>
                </c:pt>
                <c:pt idx="560">
                  <c:v>5.3245639461012677E-3</c:v>
                </c:pt>
                <c:pt idx="561">
                  <c:v>5.3375506874332223E-3</c:v>
                </c:pt>
                <c:pt idx="562">
                  <c:v>5.3505374287651768E-3</c:v>
                </c:pt>
                <c:pt idx="563">
                  <c:v>5.3635241700971314E-3</c:v>
                </c:pt>
                <c:pt idx="564">
                  <c:v>5.376510911429086E-3</c:v>
                </c:pt>
                <c:pt idx="565">
                  <c:v>5.3894976527610406E-3</c:v>
                </c:pt>
                <c:pt idx="566">
                  <c:v>5.4024843940929951E-3</c:v>
                </c:pt>
                <c:pt idx="567">
                  <c:v>5.4154711354249497E-3</c:v>
                </c:pt>
                <c:pt idx="568">
                  <c:v>5.4284578767569043E-3</c:v>
                </c:pt>
                <c:pt idx="569">
                  <c:v>5.4414446180888589E-3</c:v>
                </c:pt>
                <c:pt idx="570">
                  <c:v>5.4544313594208135E-3</c:v>
                </c:pt>
                <c:pt idx="571">
                  <c:v>5.467418100752768E-3</c:v>
                </c:pt>
                <c:pt idx="572">
                  <c:v>5.4804048420847226E-3</c:v>
                </c:pt>
                <c:pt idx="573">
                  <c:v>5.4933915834166772E-3</c:v>
                </c:pt>
                <c:pt idx="574">
                  <c:v>5.5063783247486318E-3</c:v>
                </c:pt>
                <c:pt idx="575">
                  <c:v>5.5193650660805864E-3</c:v>
                </c:pt>
                <c:pt idx="576">
                  <c:v>5.5323518074125409E-3</c:v>
                </c:pt>
                <c:pt idx="577">
                  <c:v>5.5453385487444955E-3</c:v>
                </c:pt>
                <c:pt idx="578">
                  <c:v>5.558325290076451E-3</c:v>
                </c:pt>
                <c:pt idx="579">
                  <c:v>5.5713120314084047E-3</c:v>
                </c:pt>
                <c:pt idx="580">
                  <c:v>5.5842987727403592E-3</c:v>
                </c:pt>
                <c:pt idx="581">
                  <c:v>5.5972855140723138E-3</c:v>
                </c:pt>
                <c:pt idx="582">
                  <c:v>5.6102722554042693E-3</c:v>
                </c:pt>
                <c:pt idx="583">
                  <c:v>5.623258996736223E-3</c:v>
                </c:pt>
                <c:pt idx="584">
                  <c:v>5.6362457380681776E-3</c:v>
                </c:pt>
                <c:pt idx="585">
                  <c:v>5.6492324794001321E-3</c:v>
                </c:pt>
                <c:pt idx="586">
                  <c:v>5.6622192207320876E-3</c:v>
                </c:pt>
                <c:pt idx="587">
                  <c:v>5.6752059620640413E-3</c:v>
                </c:pt>
                <c:pt idx="588">
                  <c:v>5.6881927033959959E-3</c:v>
                </c:pt>
                <c:pt idx="589">
                  <c:v>5.7011794447279504E-3</c:v>
                </c:pt>
                <c:pt idx="590">
                  <c:v>5.7141661860599059E-3</c:v>
                </c:pt>
                <c:pt idx="591">
                  <c:v>5.7271529273918596E-3</c:v>
                </c:pt>
                <c:pt idx="592">
                  <c:v>5.7401396687238142E-3</c:v>
                </c:pt>
                <c:pt idx="593">
                  <c:v>5.7531264100557696E-3</c:v>
                </c:pt>
                <c:pt idx="594">
                  <c:v>5.7661131513877242E-3</c:v>
                </c:pt>
                <c:pt idx="595">
                  <c:v>5.7790998927196779E-3</c:v>
                </c:pt>
                <c:pt idx="596">
                  <c:v>5.7920866340516325E-3</c:v>
                </c:pt>
                <c:pt idx="597">
                  <c:v>5.8050733753835879E-3</c:v>
                </c:pt>
                <c:pt idx="598">
                  <c:v>5.8180601167155425E-3</c:v>
                </c:pt>
                <c:pt idx="599">
                  <c:v>5.8310468580474962E-3</c:v>
                </c:pt>
                <c:pt idx="600">
                  <c:v>5.8440335993794508E-3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64-4912-9B28-224137D7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86752"/>
        <c:axId val="194988672"/>
      </c:scatterChart>
      <c:valAx>
        <c:axId val="194986752"/>
        <c:scaling>
          <c:orientation val="minMax"/>
          <c:max val="2.0000000000000004E-2"/>
          <c:min val="-1.0000000000000002E-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Strike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988672"/>
        <c:crosses val="autoZero"/>
        <c:crossBetween val="midCat"/>
      </c:valAx>
      <c:valAx>
        <c:axId val="194988672"/>
        <c:scaling>
          <c:orientation val="minMax"/>
          <c:max val="8.0000000000000019E-3"/>
          <c:min val="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Implied normal volatility</a:t>
                </a:r>
              </a:p>
            </c:rich>
          </c:tx>
          <c:layout/>
          <c:overlay val="0"/>
        </c:title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de-DE"/>
          </a:p>
        </c:txPr>
        <c:crossAx val="194986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1.9444444444444445E-2"/>
          <c:y val="5.6544398534341622E-2"/>
          <c:w val="0.92000037434911064"/>
          <c:h val="8.38151471831353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image" Target="../media/image1.png"/><Relationship Id="rId7" Type="http://schemas.openxmlformats.org/officeDocument/2006/relationships/chart" Target="../charts/chart6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5.xml"/><Relationship Id="rId5" Type="http://schemas.openxmlformats.org/officeDocument/2006/relationships/image" Target="../media/image3.png"/><Relationship Id="rId10" Type="http://schemas.openxmlformats.org/officeDocument/2006/relationships/chart" Target="../charts/chart9.xml"/><Relationship Id="rId4" Type="http://schemas.openxmlformats.org/officeDocument/2006/relationships/image" Target="../media/image2.png"/><Relationship Id="rId9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382344</xdr:colOff>
      <xdr:row>3</xdr:row>
      <xdr:rowOff>62753</xdr:rowOff>
    </xdr:from>
    <xdr:to>
      <xdr:col>21</xdr:col>
      <xdr:colOff>98611</xdr:colOff>
      <xdr:row>31</xdr:row>
      <xdr:rowOff>35859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502248</xdr:colOff>
      <xdr:row>66</xdr:row>
      <xdr:rowOff>89871</xdr:rowOff>
    </xdr:from>
    <xdr:to>
      <xdr:col>21</xdr:col>
      <xdr:colOff>251011</xdr:colOff>
      <xdr:row>84</xdr:row>
      <xdr:rowOff>62753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382344</xdr:colOff>
      <xdr:row>3</xdr:row>
      <xdr:rowOff>62753</xdr:rowOff>
    </xdr:from>
    <xdr:to>
      <xdr:col>21</xdr:col>
      <xdr:colOff>98611</xdr:colOff>
      <xdr:row>31</xdr:row>
      <xdr:rowOff>35859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475130</xdr:colOff>
      <xdr:row>39</xdr:row>
      <xdr:rowOff>17928</xdr:rowOff>
    </xdr:from>
    <xdr:to>
      <xdr:col>21</xdr:col>
      <xdr:colOff>191397</xdr:colOff>
      <xdr:row>60</xdr:row>
      <xdr:rowOff>8965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80683</xdr:colOff>
      <xdr:row>21</xdr:row>
      <xdr:rowOff>152398</xdr:rowOff>
    </xdr:from>
    <xdr:to>
      <xdr:col>21</xdr:col>
      <xdr:colOff>406550</xdr:colOff>
      <xdr:row>42</xdr:row>
      <xdr:rowOff>143436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45</xdr:row>
      <xdr:rowOff>0</xdr:rowOff>
    </xdr:from>
    <xdr:to>
      <xdr:col>21</xdr:col>
      <xdr:colOff>325867</xdr:colOff>
      <xdr:row>65</xdr:row>
      <xdr:rowOff>157294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14</xdr:col>
      <xdr:colOff>304800</xdr:colOff>
      <xdr:row>17</xdr:row>
      <xdr:rowOff>17929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12</xdr:col>
      <xdr:colOff>304800</xdr:colOff>
      <xdr:row>16</xdr:row>
      <xdr:rowOff>76200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18</xdr:row>
      <xdr:rowOff>0</xdr:rowOff>
    </xdr:from>
    <xdr:to>
      <xdr:col>12</xdr:col>
      <xdr:colOff>304800</xdr:colOff>
      <xdr:row>32</xdr:row>
      <xdr:rowOff>76200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36</xdr:row>
      <xdr:rowOff>0</xdr:rowOff>
    </xdr:from>
    <xdr:to>
      <xdr:col>10</xdr:col>
      <xdr:colOff>594360</xdr:colOff>
      <xdr:row>62</xdr:row>
      <xdr:rowOff>60960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583680"/>
          <a:ext cx="7071360" cy="481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10</xdr:col>
      <xdr:colOff>594360</xdr:colOff>
      <xdr:row>90</xdr:row>
      <xdr:rowOff>60960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704320"/>
          <a:ext cx="7071360" cy="481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10</xdr:col>
      <xdr:colOff>594360</xdr:colOff>
      <xdr:row>117</xdr:row>
      <xdr:rowOff>60960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642080"/>
          <a:ext cx="7071360" cy="4815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33</xdr:col>
      <xdr:colOff>304800</xdr:colOff>
      <xdr:row>16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18</xdr:row>
      <xdr:rowOff>0</xdr:rowOff>
    </xdr:from>
    <xdr:to>
      <xdr:col>33</xdr:col>
      <xdr:colOff>304800</xdr:colOff>
      <xdr:row>32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0</xdr:colOff>
      <xdr:row>34</xdr:row>
      <xdr:rowOff>0</xdr:rowOff>
    </xdr:from>
    <xdr:to>
      <xdr:col>33</xdr:col>
      <xdr:colOff>304800</xdr:colOff>
      <xdr:row>48</xdr:row>
      <xdr:rowOff>76200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0</xdr:colOff>
      <xdr:row>50</xdr:row>
      <xdr:rowOff>0</xdr:rowOff>
    </xdr:from>
    <xdr:to>
      <xdr:col>33</xdr:col>
      <xdr:colOff>304800</xdr:colOff>
      <xdr:row>64</xdr:row>
      <xdr:rowOff>76200</xdr:rowOff>
    </xdr:to>
    <xdr:graphicFrame macro="">
      <xdr:nvGraphicFramePr>
        <xdr:cNvPr id="1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0</xdr:colOff>
      <xdr:row>2</xdr:row>
      <xdr:rowOff>0</xdr:rowOff>
    </xdr:from>
    <xdr:to>
      <xdr:col>42</xdr:col>
      <xdr:colOff>304800</xdr:colOff>
      <xdr:row>16</xdr:row>
      <xdr:rowOff>76200</xdr:rowOff>
    </xdr:to>
    <xdr:graphicFrame macro="">
      <xdr:nvGraphicFramePr>
        <xdr:cNvPr id="1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0.83089</cdr:x>
      <cdr:y>0.18047</cdr:y>
    </cdr:from>
    <cdr:to>
      <cdr:x>0.92599</cdr:x>
      <cdr:y>0.26618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0" y="466725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Call</a:t>
          </a:r>
          <a:r>
            <a:rPr lang="en-US" sz="1100" b="1" baseline="0"/>
            <a:t>s</a:t>
          </a:r>
          <a:endParaRPr lang="en-US" sz="1100" b="1"/>
        </a:p>
      </cdr:txBody>
    </cdr:sp>
  </cdr:relSizeAnchor>
  <cdr:relSizeAnchor xmlns:cdr="http://schemas.openxmlformats.org/drawingml/2006/chartDrawing">
    <cdr:from>
      <cdr:x>0.07862</cdr:x>
      <cdr:y>0.17492</cdr:y>
    </cdr:from>
    <cdr:to>
      <cdr:x>0.17397</cdr:x>
      <cdr:y>0.26087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6075" y="450850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Puts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0.83089</cdr:x>
      <cdr:y>0.18047</cdr:y>
    </cdr:from>
    <cdr:to>
      <cdr:x>0.92599</cdr:x>
      <cdr:y>0.26618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0" y="466725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Call</a:t>
          </a:r>
          <a:r>
            <a:rPr lang="en-US" sz="1100" b="1" baseline="0"/>
            <a:t>s</a:t>
          </a:r>
          <a:endParaRPr lang="en-US" sz="1100" b="1"/>
        </a:p>
      </cdr:txBody>
    </cdr:sp>
  </cdr:relSizeAnchor>
  <cdr:relSizeAnchor xmlns:cdr="http://schemas.openxmlformats.org/drawingml/2006/chartDrawing">
    <cdr:from>
      <cdr:x>0.07862</cdr:x>
      <cdr:y>0.17492</cdr:y>
    </cdr:from>
    <cdr:to>
      <cdr:x>0.17397</cdr:x>
      <cdr:y>0.26087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6075" y="450850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Puts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32657</xdr:colOff>
      <xdr:row>23</xdr:row>
      <xdr:rowOff>0</xdr:rowOff>
    </xdr:from>
    <xdr:to>
      <xdr:col>12</xdr:col>
      <xdr:colOff>337457</xdr:colOff>
      <xdr:row>37</xdr:row>
      <xdr:rowOff>76200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32657</xdr:colOff>
      <xdr:row>39</xdr:row>
      <xdr:rowOff>0</xdr:rowOff>
    </xdr:from>
    <xdr:to>
      <xdr:col>12</xdr:col>
      <xdr:colOff>337457</xdr:colOff>
      <xdr:row>53</xdr:row>
      <xdr:rowOff>76200</xdr:rowOff>
    </xdr:to>
    <xdr:graphicFrame macro="">
      <xdr:nvGraphicFramePr>
        <xdr:cNvPr id="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2</xdr:row>
      <xdr:rowOff>0</xdr:rowOff>
    </xdr:from>
    <xdr:to>
      <xdr:col>33</xdr:col>
      <xdr:colOff>304800</xdr:colOff>
      <xdr:row>16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18</xdr:row>
      <xdr:rowOff>0</xdr:rowOff>
    </xdr:from>
    <xdr:to>
      <xdr:col>33</xdr:col>
      <xdr:colOff>304800</xdr:colOff>
      <xdr:row>32</xdr:row>
      <xdr:rowOff>76200</xdr:rowOff>
    </xdr:to>
    <xdr:graphicFrame macro="">
      <xdr:nvGraphicFramePr>
        <xdr:cNvPr id="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0</xdr:colOff>
      <xdr:row>34</xdr:row>
      <xdr:rowOff>0</xdr:rowOff>
    </xdr:from>
    <xdr:to>
      <xdr:col>33</xdr:col>
      <xdr:colOff>304800</xdr:colOff>
      <xdr:row>48</xdr:row>
      <xdr:rowOff>76200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0</xdr:colOff>
      <xdr:row>50</xdr:row>
      <xdr:rowOff>0</xdr:rowOff>
    </xdr:from>
    <xdr:to>
      <xdr:col>33</xdr:col>
      <xdr:colOff>304800</xdr:colOff>
      <xdr:row>64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608474</xdr:colOff>
      <xdr:row>3</xdr:row>
      <xdr:rowOff>16892</xdr:rowOff>
    </xdr:from>
    <xdr:to>
      <xdr:col>12</xdr:col>
      <xdr:colOff>303674</xdr:colOff>
      <xdr:row>17</xdr:row>
      <xdr:rowOff>93092</xdr:rowOff>
    </xdr:to>
    <xdr:graphicFrame macro="">
      <xdr:nvGraphicFramePr>
        <xdr:cNvPr id="1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56</xdr:row>
      <xdr:rowOff>0</xdr:rowOff>
    </xdr:from>
    <xdr:to>
      <xdr:col>12</xdr:col>
      <xdr:colOff>304800</xdr:colOff>
      <xdr:row>70</xdr:row>
      <xdr:rowOff>76200</xdr:rowOff>
    </xdr:to>
    <xdr:graphicFrame macro="">
      <xdr:nvGraphicFramePr>
        <xdr:cNvPr id="1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0.83089</cdr:x>
      <cdr:y>0.18047</cdr:y>
    </cdr:from>
    <cdr:to>
      <cdr:x>0.92599</cdr:x>
      <cdr:y>0.26618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0" y="466725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Call</a:t>
          </a:r>
          <a:r>
            <a:rPr lang="en-US" sz="1100" b="1" baseline="0"/>
            <a:t>s</a:t>
          </a:r>
          <a:endParaRPr lang="en-US" sz="1100" b="1"/>
        </a:p>
      </cdr:txBody>
    </cdr:sp>
  </cdr:relSizeAnchor>
  <cdr:relSizeAnchor xmlns:cdr="http://schemas.openxmlformats.org/drawingml/2006/chartDrawing">
    <cdr:from>
      <cdr:x>0.07862</cdr:x>
      <cdr:y>0.17492</cdr:y>
    </cdr:from>
    <cdr:to>
      <cdr:x>0.17397</cdr:x>
      <cdr:y>0.26087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6075" y="450850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Puts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0.83089</cdr:x>
      <cdr:y>0.18047</cdr:y>
    </cdr:from>
    <cdr:to>
      <cdr:x>0.92599</cdr:x>
      <cdr:y>0.26618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10000" y="466725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Call</a:t>
          </a:r>
          <a:r>
            <a:rPr lang="en-US" sz="1100" b="1" baseline="0"/>
            <a:t>s</a:t>
          </a:r>
          <a:endParaRPr lang="en-US" sz="1100" b="1"/>
        </a:p>
      </cdr:txBody>
    </cdr:sp>
  </cdr:relSizeAnchor>
  <cdr:relSizeAnchor xmlns:cdr="http://schemas.openxmlformats.org/drawingml/2006/chartDrawing">
    <cdr:from>
      <cdr:x>0.07862</cdr:x>
      <cdr:y>0.17492</cdr:y>
    </cdr:from>
    <cdr:to>
      <cdr:x>0.17397</cdr:x>
      <cdr:y>0.26087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46075" y="450850"/>
          <a:ext cx="43815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Puts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2</xdr:row>
      <xdr:rowOff>152400</xdr:rowOff>
    </xdr:from>
    <xdr:to>
      <xdr:col>29</xdr:col>
      <xdr:colOff>563880</xdr:colOff>
      <xdr:row>22</xdr:row>
      <xdr:rowOff>160020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27</xdr:row>
      <xdr:rowOff>0</xdr:rowOff>
    </xdr:from>
    <xdr:to>
      <xdr:col>30</xdr:col>
      <xdr:colOff>68580</xdr:colOff>
      <xdr:row>50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L_Curv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L Curves"/>
    </sheetNames>
    <sheetDataSet>
      <sheetData sheetId="0">
        <row r="2">
          <cell r="C2">
            <v>42557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d-fine">
      <a:dk1>
        <a:srgbClr val="001E4B"/>
      </a:dk1>
      <a:lt1>
        <a:srgbClr val="FFFFFF"/>
      </a:lt1>
      <a:dk2>
        <a:srgbClr val="001E4B"/>
      </a:dk2>
      <a:lt2>
        <a:srgbClr val="EB6E0A"/>
      </a:lt2>
      <a:accent1>
        <a:srgbClr val="3B5281"/>
      </a:accent1>
      <a:accent2>
        <a:srgbClr val="F5C378"/>
      </a:accent2>
      <a:accent3>
        <a:srgbClr val="6E87B4"/>
      </a:accent3>
      <a:accent4>
        <a:srgbClr val="FDE6AD"/>
      </a:accent4>
      <a:accent5>
        <a:srgbClr val="B5C2DD"/>
      </a:accent5>
      <a:accent6>
        <a:srgbClr val="808080"/>
      </a:accent6>
      <a:hlink>
        <a:srgbClr val="001E4B"/>
      </a:hlink>
      <a:folHlink>
        <a:srgbClr val="001E4B"/>
      </a:folHlink>
    </a:clrScheme>
    <a:fontScheme name="d-fin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G457"/>
  <sheetViews>
    <sheetView showGridLines="0" zoomScale="85" zoomScaleNormal="85" workbookViewId="0">
      <selection activeCell="D2" sqref="D2"/>
    </sheetView>
  </sheetViews>
  <sheetFormatPr defaultRowHeight="12.5"/>
  <cols>
    <col min="2" max="2" width="12.90625" customWidth="1"/>
    <col min="3" max="3" width="10.08984375" bestFit="1" customWidth="1"/>
    <col min="4" max="4" width="12.6328125" bestFit="1" customWidth="1"/>
    <col min="5" max="5" width="13.6328125" bestFit="1" customWidth="1"/>
    <col min="6" max="6" width="15.6328125" bestFit="1" customWidth="1"/>
    <col min="7" max="7" width="13.90625" bestFit="1" customWidth="1"/>
  </cols>
  <sheetData>
    <row r="2" spans="2:6" ht="13">
      <c r="B2" s="67" t="s">
        <v>1</v>
      </c>
      <c r="C2" s="100">
        <v>43739</v>
      </c>
      <c r="D2" s="101" t="b">
        <f>_xll.qlSettingsSetEvaluationDate(C2)</f>
        <v>1</v>
      </c>
    </row>
    <row r="3" spans="2:6" ht="13">
      <c r="B3" s="68" t="s">
        <v>77</v>
      </c>
      <c r="C3" s="102" t="str">
        <f>_xll.qlInterpolatedYieldCurve(,C7:C22,E7:E22,"Null","Act/365 (fixed)",,,"ForwardRate","Linear",,D2)</f>
        <v>obj_00041#0013</v>
      </c>
      <c r="D3" s="103"/>
    </row>
    <row r="4" spans="2:6" ht="13">
      <c r="B4" s="12" t="s">
        <v>78</v>
      </c>
      <c r="C4" s="104" t="str">
        <f>_xll.qlInterpolatedYieldCurve(,C7:C22,F7:F22,"Null","Act/365 (fixed)",,,"ZeroYield","CubicNaturalSpline",,D2)</f>
        <v>obj_00043#0021</v>
      </c>
      <c r="D4" s="105"/>
    </row>
    <row r="6" spans="2:6" ht="13">
      <c r="B6" s="99" t="s">
        <v>79</v>
      </c>
      <c r="C6" s="99" t="s">
        <v>0</v>
      </c>
      <c r="D6" s="99" t="s">
        <v>17</v>
      </c>
      <c r="E6" s="99" t="s">
        <v>22</v>
      </c>
      <c r="F6" s="99" t="s">
        <v>80</v>
      </c>
    </row>
    <row r="7" spans="2:6">
      <c r="B7" s="106" t="s">
        <v>1</v>
      </c>
      <c r="C7" s="107">
        <f>_xll.qlSettingsEvaluationDate(D2)</f>
        <v>43739</v>
      </c>
      <c r="D7" s="108">
        <f t="shared" ref="D7:D22" si="0">(C7-$C$7)/365</f>
        <v>0</v>
      </c>
      <c r="E7" s="109">
        <v>2.7E-2</v>
      </c>
      <c r="F7" s="76">
        <f>_xll.qlYieldTSZeroRate($C$3,C7,"Act/365 (Fixed)","Continuous",,TRUE)</f>
        <v>2.7000000001030824E-2</v>
      </c>
    </row>
    <row r="8" spans="2:6">
      <c r="B8" s="110" t="s">
        <v>2</v>
      </c>
      <c r="C8" s="111">
        <f>_xll.qlCalendarAdvance("Null",$C$7,B8)</f>
        <v>44105</v>
      </c>
      <c r="D8" s="112">
        <f t="shared" si="0"/>
        <v>1.0027397260273974</v>
      </c>
      <c r="E8" s="72">
        <v>2.7E-2</v>
      </c>
      <c r="F8" s="77">
        <f>_xll.qlYieldTSZeroRate($C$3,C8,"Act/365 (Fixed)","Continuous",,TRUE)</f>
        <v>2.6999999999999892E-2</v>
      </c>
    </row>
    <row r="9" spans="2:6">
      <c r="B9" s="110" t="s">
        <v>3</v>
      </c>
      <c r="C9" s="111">
        <f>_xll.qlCalendarAdvance("Null",$C$7,B9)</f>
        <v>44470</v>
      </c>
      <c r="D9" s="112">
        <f t="shared" si="0"/>
        <v>2.0027397260273974</v>
      </c>
      <c r="E9" s="72">
        <v>2.75E-2</v>
      </c>
      <c r="F9" s="77">
        <f>_xll.qlYieldTSZeroRate($C$3,C9,"Act/365 (Fixed)","Continuous",,TRUE)</f>
        <v>2.7124829001367992E-2</v>
      </c>
    </row>
    <row r="10" spans="2:6">
      <c r="B10" s="110" t="s">
        <v>4</v>
      </c>
      <c r="C10" s="111">
        <f>_xll.qlCalendarAdvance("Null",$C$7,B10)</f>
        <v>44835</v>
      </c>
      <c r="D10" s="112">
        <f t="shared" si="0"/>
        <v>3.0027397260273974</v>
      </c>
      <c r="E10" s="72">
        <v>2.8000000000000001E-2</v>
      </c>
      <c r="F10" s="77">
        <f>_xll.qlYieldTSZeroRate($C$3,C10,"Act/365 (Fixed)","Continuous",,TRUE)</f>
        <v>2.7333029197080267E-2</v>
      </c>
    </row>
    <row r="11" spans="2:6">
      <c r="B11" s="110" t="s">
        <v>5</v>
      </c>
      <c r="C11" s="111">
        <f>_xll.qlCalendarAdvance("Null",$C$7,B11)</f>
        <v>45200</v>
      </c>
      <c r="D11" s="112">
        <f t="shared" si="0"/>
        <v>4.0027397260273974</v>
      </c>
      <c r="E11" s="72">
        <f t="shared" ref="E11:E17" si="1">1.5*SQRT(D11)%</f>
        <v>3.0010272213963077E-2</v>
      </c>
      <c r="F11" s="77">
        <f>_xll.qlYieldTSZeroRate($C$3,C11,"Act/365 (Fixed)","Continuous",,TRUE)</f>
        <v>2.775076980085437E-2</v>
      </c>
    </row>
    <row r="12" spans="2:6">
      <c r="B12" s="110" t="s">
        <v>6</v>
      </c>
      <c r="C12" s="111">
        <f>_xll.qlCalendarAdvance("Null",$C$7,B12)</f>
        <v>45566</v>
      </c>
      <c r="D12" s="112">
        <f t="shared" si="0"/>
        <v>5.0054794520547947</v>
      </c>
      <c r="E12" s="72">
        <f t="shared" si="1"/>
        <v>3.3559393270920869E-2</v>
      </c>
      <c r="F12" s="77">
        <f>_xll.qlYieldTSZeroRate($C$3,C12,"Act/365 (Fixed)","Continuous",,TRUE)</f>
        <v>2.8558907204587869E-2</v>
      </c>
    </row>
    <row r="13" spans="2:6">
      <c r="B13" s="110" t="s">
        <v>7</v>
      </c>
      <c r="C13" s="111">
        <f>_xll.qlCalendarAdvance("Null",$C$7,B13)</f>
        <v>45931</v>
      </c>
      <c r="D13" s="112">
        <f t="shared" si="0"/>
        <v>6.0054794520547947</v>
      </c>
      <c r="E13" s="72">
        <f t="shared" si="1"/>
        <v>3.6759119640061136E-2</v>
      </c>
      <c r="F13" s="77">
        <f>_xll.qlYieldTSZeroRate($C$3,C13,"Act/365 (Fixed)","Continuous",,TRUE)</f>
        <v>2.9657961710326766E-2</v>
      </c>
    </row>
    <row r="14" spans="2:6">
      <c r="B14" s="110" t="s">
        <v>8</v>
      </c>
      <c r="C14" s="111">
        <f>_xll.qlCalendarAdvance("Null",$C$7,B14)</f>
        <v>46296</v>
      </c>
      <c r="D14" s="112">
        <f t="shared" si="0"/>
        <v>7.0054794520547947</v>
      </c>
      <c r="E14" s="72">
        <f t="shared" si="1"/>
        <v>3.9701799414035746E-2</v>
      </c>
      <c r="F14" s="77">
        <f>_xll.qlYieldTSZeroRate($C$3,C14,"Act/365 (Fixed)","Continuous",,TRUE)</f>
        <v>3.0881646381075056E-2</v>
      </c>
    </row>
    <row r="15" spans="2:6">
      <c r="B15" s="110" t="s">
        <v>9</v>
      </c>
      <c r="C15" s="111">
        <f>_xll.qlCalendarAdvance("Null",$C$7,B15)</f>
        <v>46661</v>
      </c>
      <c r="D15" s="112">
        <f t="shared" si="0"/>
        <v>8.0054794520547947</v>
      </c>
      <c r="E15" s="72">
        <f t="shared" si="1"/>
        <v>4.2440933975495032E-2</v>
      </c>
      <c r="F15" s="77">
        <f>_xll.qlYieldTSZeroRate($C$3,C15,"Act/365 (Fixed)","Continuous",,TRUE)</f>
        <v>3.2154489609855688E-2</v>
      </c>
    </row>
    <row r="16" spans="2:6">
      <c r="B16" s="110" t="s">
        <v>10</v>
      </c>
      <c r="C16" s="111">
        <f>_xll.qlCalendarAdvance("Null",$C$7,B16)</f>
        <v>47027</v>
      </c>
      <c r="D16" s="112">
        <f t="shared" si="0"/>
        <v>9.0082191780821912</v>
      </c>
      <c r="E16" s="72">
        <f t="shared" si="1"/>
        <v>4.5020543256034717E-2</v>
      </c>
      <c r="F16" s="77">
        <f>_xll.qlYieldTSZeroRate($C$3,C16,"Act/365 (Fixed)","Continuous",,TRUE)</f>
        <v>3.3443086670732446E-2</v>
      </c>
    </row>
    <row r="17" spans="2:7">
      <c r="B17" s="110" t="s">
        <v>11</v>
      </c>
      <c r="C17" s="111">
        <f>_xll.qlCalendarAdvance("Null",$C$7,B17)</f>
        <v>47392</v>
      </c>
      <c r="D17" s="112">
        <f t="shared" si="0"/>
        <v>10.008219178082191</v>
      </c>
      <c r="E17" s="72">
        <f t="shared" si="1"/>
        <v>4.7453654391084496E-2</v>
      </c>
      <c r="F17" s="77">
        <f>_xll.qlYieldTSZeroRate($C$3,C17,"Act/365 (Fixed)","Continuous",,TRUE)</f>
        <v>3.4721437186960719E-2</v>
      </c>
    </row>
    <row r="18" spans="2:7">
      <c r="B18" s="110" t="s">
        <v>12</v>
      </c>
      <c r="C18" s="111">
        <f>_xll.qlCalendarAdvance("Null",$C$7,B18)</f>
        <v>48122</v>
      </c>
      <c r="D18" s="112">
        <f t="shared" si="0"/>
        <v>12.008219178082191</v>
      </c>
      <c r="E18" s="72">
        <v>4.7500000000000001E-2</v>
      </c>
      <c r="F18" s="77">
        <f>_xll.qlYieldTSZeroRate($C$3,C18,"Act/365 (Fixed)","Continuous",,TRUE)</f>
        <v>3.6845880423617014E-2</v>
      </c>
    </row>
    <row r="19" spans="2:7">
      <c r="B19" s="110" t="s">
        <v>13</v>
      </c>
      <c r="C19" s="111">
        <f>_xll.qlCalendarAdvance("Null",$C$7,B19)</f>
        <v>49218</v>
      </c>
      <c r="D19" s="112">
        <f t="shared" si="0"/>
        <v>15.010958904109589</v>
      </c>
      <c r="E19" s="72">
        <v>4.7E-2</v>
      </c>
      <c r="F19" s="77">
        <f>_xll.qlYieldTSZeroRate($C$3,C19,"Act/365 (Fixed)","Continuous",,TRUE)</f>
        <v>3.8927084120590136E-2</v>
      </c>
    </row>
    <row r="20" spans="2:7">
      <c r="B20" s="110" t="s">
        <v>14</v>
      </c>
      <c r="C20" s="111">
        <f>_xll.qlCalendarAdvance("Null",$C$7,B20)</f>
        <v>51044</v>
      </c>
      <c r="D20" s="112">
        <f t="shared" si="0"/>
        <v>20.013698630136986</v>
      </c>
      <c r="E20" s="72">
        <v>4.4999999999999998E-2</v>
      </c>
      <c r="F20" s="77">
        <f>_xll.qlYieldTSZeroRate($C$3,C20,"Act/365 (Fixed)","Continuous",,TRUE)</f>
        <v>4.0695071033088746E-2</v>
      </c>
    </row>
    <row r="21" spans="2:7">
      <c r="B21" s="110" t="s">
        <v>15</v>
      </c>
      <c r="C21" s="111">
        <f>_xll.qlCalendarAdvance("Null",$C$7,B21)</f>
        <v>52871</v>
      </c>
      <c r="D21" s="112">
        <f t="shared" si="0"/>
        <v>25.019178082191782</v>
      </c>
      <c r="E21" s="72">
        <v>4.2999999999999997E-2</v>
      </c>
      <c r="F21" s="77">
        <f>_xll.qlYieldTSZeroRate($C$3,C21,"Act/365 (Fixed)","Continuous",,TRUE)</f>
        <v>4.1356273970292741E-2</v>
      </c>
    </row>
    <row r="22" spans="2:7">
      <c r="B22" s="113" t="s">
        <v>16</v>
      </c>
      <c r="C22" s="114">
        <f>_xll.qlCalendarAdvance("Null",$C$7,B22)</f>
        <v>54697</v>
      </c>
      <c r="D22" s="115">
        <f t="shared" si="0"/>
        <v>30.021917808219179</v>
      </c>
      <c r="E22" s="73">
        <v>4.2999999999999997E-2</v>
      </c>
      <c r="F22" s="78">
        <f>_xll.qlYieldTSZeroRate($C$3,C22,"Act/365 (Fixed)","Continuous",,TRUE)</f>
        <v>4.1630178307785488E-2</v>
      </c>
    </row>
    <row r="25" spans="2:7" ht="13">
      <c r="B25" s="99" t="s">
        <v>0</v>
      </c>
      <c r="C25" s="99" t="s">
        <v>17</v>
      </c>
      <c r="D25" s="99" t="s">
        <v>18</v>
      </c>
      <c r="E25" s="99" t="s">
        <v>19</v>
      </c>
      <c r="F25" s="99" t="s">
        <v>20</v>
      </c>
      <c r="G25" s="99" t="s">
        <v>21</v>
      </c>
    </row>
    <row r="26" spans="2:7">
      <c r="B26" s="116">
        <f>C7</f>
        <v>43739</v>
      </c>
      <c r="C26" s="108">
        <f t="shared" ref="C26:C89" si="2">(B26-$B$26)/365</f>
        <v>0</v>
      </c>
      <c r="D26" s="76">
        <f>_xll.qlYieldTSForwardRate($C$3,B26,B26,"Act/365 (fixed)","Continuous",,TRUE)</f>
        <v>2.7000000001030824E-2</v>
      </c>
      <c r="E26" s="76">
        <f>_xll.qlYieldTSZeroRate($C$3,B26,"Act/365 (Fixed)","Continuous",,TRUE)</f>
        <v>2.7000000001030824E-2</v>
      </c>
      <c r="F26" s="76">
        <f>_xll.qlYieldTSZeroRate($C$3,B26,"Act/365 (Fixed)","Simple",,TRUE)</f>
        <v>2.7000036451063636E-2</v>
      </c>
      <c r="G26" s="76">
        <f>_xll.qlYieldTSForwardRate($C$4,B26,B26,"Act/365 (fixed)","Continuous",,TRUE)</f>
        <v>2.6999997012318516E-2</v>
      </c>
    </row>
    <row r="27" spans="2:7">
      <c r="B27" s="111">
        <f>_xll.qlCalendarAdvance("Null",B26,"1m")</f>
        <v>43770</v>
      </c>
      <c r="C27" s="112">
        <f t="shared" si="2"/>
        <v>8.4931506849315067E-2</v>
      </c>
      <c r="D27" s="77">
        <f>_xll.qlYieldTSForwardRate($C$3,B27,B27,"Act/365 (fixed)","Continuous",,TRUE)</f>
        <v>2.7000000001030824E-2</v>
      </c>
      <c r="E27" s="77">
        <f>_xll.qlYieldTSZeroRate($C$3,B27,"Act/365 (Fixed)","Continuous",,TRUE)</f>
        <v>2.6999999999999559E-2</v>
      </c>
      <c r="F27" s="77">
        <f>_xll.qlYieldTSZeroRate($C$3,B27,"Act/365 (Fixed)","Compounded",,TRUE)</f>
        <v>2.7367802763488935E-2</v>
      </c>
      <c r="G27" s="77">
        <f>_xll.qlYieldTSForwardRate($C$4,B27,B27,"Act/365 (fixed)","Continuous",,TRUE)</f>
        <v>2.6994994691721046E-2</v>
      </c>
    </row>
    <row r="28" spans="2:7">
      <c r="B28" s="111">
        <f>_xll.qlCalendarAdvance("Null",B27,"1m")</f>
        <v>43800</v>
      </c>
      <c r="C28" s="112">
        <f t="shared" si="2"/>
        <v>0.16712328767123288</v>
      </c>
      <c r="D28" s="77">
        <f>_xll.qlYieldTSForwardRate($C$3,B28,B28,"Act/365 (fixed)","Continuous",,TRUE)</f>
        <v>2.6999999998810389E-2</v>
      </c>
      <c r="E28" s="77">
        <f>_xll.qlYieldTSZeroRate($C$3,B28,"Act/365 (Fixed)","Continuous",,TRUE)</f>
        <v>2.6999999999999337E-2</v>
      </c>
      <c r="F28" s="77">
        <f>_xll.qlYieldTSZeroRate($C$3,B28,"Act/365 (Fixed)","Compounded",,TRUE)</f>
        <v>2.7367802763488713E-2</v>
      </c>
      <c r="G28" s="77">
        <f>_xll.qlYieldTSForwardRate($C$4,B28,B28,"Act/365 (fixed)","Continuous",,TRUE)</f>
        <v>2.6990562613434108E-2</v>
      </c>
    </row>
    <row r="29" spans="2:7">
      <c r="B29" s="111">
        <f>_xll.qlCalendarAdvance("Null",B28,"1m")</f>
        <v>43831</v>
      </c>
      <c r="C29" s="112">
        <f t="shared" si="2"/>
        <v>0.25205479452054796</v>
      </c>
      <c r="D29" s="77">
        <f>_xll.qlYieldTSForwardRate($C$3,B29,B29,"Act/365 (fixed)","Continuous",,TRUE)</f>
        <v>2.6999999998810389E-2</v>
      </c>
      <c r="E29" s="77">
        <f>_xll.qlYieldTSZeroRate($C$3,B29,"Act/365 (Fixed)","Continuous",,TRUE)</f>
        <v>2.7000000000000215E-2</v>
      </c>
      <c r="F29" s="77">
        <f>_xll.qlYieldTSZeroRate($C$3,B29,"Act/365 (Fixed)","Compounded",,TRUE)</f>
        <v>2.7367802763489602E-2</v>
      </c>
      <c r="G29" s="77">
        <f>_xll.qlYieldTSForwardRate($C$4,B29,B29,"Act/365 (fixed)","Continuous",,TRUE)</f>
        <v>2.6986833784038322E-2</v>
      </c>
    </row>
    <row r="30" spans="2:7">
      <c r="B30" s="111">
        <f>_xll.qlCalendarAdvance("Null",B29,"1m")</f>
        <v>43862</v>
      </c>
      <c r="C30" s="112">
        <f t="shared" si="2"/>
        <v>0.33698630136986302</v>
      </c>
      <c r="D30" s="77">
        <f>_xll.qlYieldTSForwardRate($C$3,B30,B30,"Act/365 (fixed)","Continuous",,TRUE)</f>
        <v>2.7000000001030824E-2</v>
      </c>
      <c r="E30" s="77">
        <f>_xll.qlYieldTSZeroRate($C$3,B30,"Act/365 (Fixed)","Continuous",,TRUE)</f>
        <v>2.7000000000000152E-2</v>
      </c>
      <c r="F30" s="77">
        <f>_xll.qlYieldTSZeroRate($C$3,B30,"Act/365 (Fixed)","Compounded",,TRUE)</f>
        <v>2.7367802763489602E-2</v>
      </c>
      <c r="G30" s="77">
        <f>_xll.qlYieldTSForwardRate($C$4,B30,B30,"Act/365 (fixed)","Continuous",,TRUE)</f>
        <v>2.6984402362207716E-2</v>
      </c>
    </row>
    <row r="31" spans="2:7">
      <c r="B31" s="111">
        <f>_xll.qlCalendarAdvance("Null",B30,"1m")</f>
        <v>43891</v>
      </c>
      <c r="C31" s="112">
        <f t="shared" si="2"/>
        <v>0.41643835616438357</v>
      </c>
      <c r="D31" s="77">
        <f>_xll.qlYieldTSForwardRate($C$3,B31,B31,"Act/365 (fixed)","Continuous",,TRUE)</f>
        <v>2.7000000001030824E-2</v>
      </c>
      <c r="E31" s="77">
        <f>_xll.qlYieldTSZeroRate($C$3,B31,"Act/365 (Fixed)","Continuous",,TRUE)</f>
        <v>2.7000000000000055E-2</v>
      </c>
      <c r="F31" s="77">
        <f>_xll.qlYieldTSZeroRate($C$3,B31,"Act/365 (Fixed)","Compounded",,TRUE)</f>
        <v>2.7367802763489379E-2</v>
      </c>
      <c r="G31" s="77">
        <f>_xll.qlYieldTSForwardRate($C$4,B31,B31,"Act/365 (fixed)","Continuous",,TRUE)</f>
        <v>2.698368961649231E-2</v>
      </c>
    </row>
    <row r="32" spans="2:7">
      <c r="B32" s="111">
        <f>_xll.qlCalendarAdvance("Null",B31,"1m")</f>
        <v>43922</v>
      </c>
      <c r="C32" s="112">
        <f t="shared" si="2"/>
        <v>0.50136986301369868</v>
      </c>
      <c r="D32" s="77">
        <f>_xll.qlYieldTSForwardRate($C$3,B32,B32,"Act/365 (fixed)","Continuous",,TRUE)</f>
        <v>2.7000000001030824E-2</v>
      </c>
      <c r="E32" s="77">
        <f>_xll.qlYieldTSZeroRate($C$3,B32,"Act/365 (Fixed)","Continuous",,TRUE)</f>
        <v>2.6999999999999892E-2</v>
      </c>
      <c r="F32" s="77">
        <f>_xll.qlYieldTSZeroRate($C$3,B32,"Act/365 (Fixed)","Compounded",,TRUE)</f>
        <v>2.7367802763489379E-2</v>
      </c>
      <c r="G32" s="77">
        <f>_xll.qlYieldTSForwardRate($C$4,B32,B32,"Act/365 (fixed)","Continuous",,TRUE)</f>
        <v>2.698501120909191E-2</v>
      </c>
    </row>
    <row r="33" spans="2:7">
      <c r="B33" s="111">
        <f>_xll.qlCalendarAdvance("Null",B32,"1m")</f>
        <v>43952</v>
      </c>
      <c r="C33" s="112">
        <f t="shared" si="2"/>
        <v>0.58356164383561648</v>
      </c>
      <c r="D33" s="77">
        <f>_xll.qlYieldTSForwardRate($C$3,B33,B33,"Act/365 (fixed)","Continuous",,TRUE)</f>
        <v>2.6999999998810389E-2</v>
      </c>
      <c r="E33" s="77">
        <f>_xll.qlYieldTSZeroRate($C$3,B33,"Act/365 (Fixed)","Continuous",,TRUE)</f>
        <v>2.7000000000000045E-2</v>
      </c>
      <c r="F33" s="77">
        <f>_xll.qlYieldTSZeroRate($C$3,B33,"Act/365 (Fixed)","Compounded",,TRUE)</f>
        <v>2.7367802763489379E-2</v>
      </c>
      <c r="G33" s="77">
        <f>_xll.qlYieldTSForwardRate($C$4,B33,B33,"Act/365 (fixed)","Continuous",,TRUE)</f>
        <v>2.6988742871769889E-2</v>
      </c>
    </row>
    <row r="34" spans="2:7">
      <c r="B34" s="111">
        <f>_xll.qlCalendarAdvance("Null",B33,"1m")</f>
        <v>43983</v>
      </c>
      <c r="C34" s="112">
        <f t="shared" si="2"/>
        <v>0.66849315068493154</v>
      </c>
      <c r="D34" s="77">
        <f>_xll.qlYieldTSForwardRate($C$3,B34,B34,"Act/365 (fixed)","Continuous",,TRUE)</f>
        <v>2.6999999998810389E-2</v>
      </c>
      <c r="E34" s="77">
        <f>_xll.qlYieldTSZeroRate($C$3,B34,"Act/365 (Fixed)","Continuous",,TRUE)</f>
        <v>2.6999999999999812E-2</v>
      </c>
      <c r="F34" s="77">
        <f>_xll.qlYieldTSZeroRate($C$3,B34,"Act/365 (Fixed)","Compounded",,TRUE)</f>
        <v>2.7367802763489157E-2</v>
      </c>
      <c r="G34" s="77">
        <f>_xll.qlYieldTSForwardRate($C$4,B34,B34,"Act/365 (fixed)","Continuous",,TRUE)</f>
        <v>2.6995558876673327E-2</v>
      </c>
    </row>
    <row r="35" spans="2:7">
      <c r="B35" s="111">
        <f>_xll.qlCalendarAdvance("Null",B34,"1m")</f>
        <v>44013</v>
      </c>
      <c r="C35" s="112">
        <f t="shared" si="2"/>
        <v>0.75068493150684934</v>
      </c>
      <c r="D35" s="77">
        <f>_xll.qlYieldTSForwardRate($C$3,B35,B35,"Act/365 (fixed)","Continuous",,TRUE)</f>
        <v>2.7000000001030824E-2</v>
      </c>
      <c r="E35" s="77">
        <f>_xll.qlYieldTSZeroRate($C$3,B35,"Act/365 (Fixed)","Continuous",,TRUE)</f>
        <v>2.6999999999999958E-2</v>
      </c>
      <c r="F35" s="77">
        <f>_xll.qlYieldTSZeroRate($C$3,B35,"Act/365 (Fixed)","Compounded",,TRUE)</f>
        <v>2.7367802763489379E-2</v>
      </c>
      <c r="G35" s="77">
        <f>_xll.qlYieldTSForwardRate($C$4,B35,B35,"Act/365 (fixed)","Continuous",,TRUE)</f>
        <v>2.7005426772064543E-2</v>
      </c>
    </row>
    <row r="36" spans="2:7">
      <c r="B36" s="111">
        <f>_xll.qlCalendarAdvance("Null",B35,"1m")</f>
        <v>44044</v>
      </c>
      <c r="C36" s="112">
        <f t="shared" si="2"/>
        <v>0.83561643835616439</v>
      </c>
      <c r="D36" s="77">
        <f>_xll.qlYieldTSForwardRate($C$3,B36,B36,"Act/365 (fixed)","Continuous",,TRUE)</f>
        <v>2.6999999998810389E-2</v>
      </c>
      <c r="E36" s="77">
        <f>_xll.qlYieldTSZeroRate($C$3,B36,"Act/365 (Fixed)","Continuous",,TRUE)</f>
        <v>2.7000000000000114E-2</v>
      </c>
      <c r="F36" s="77">
        <f>_xll.qlYieldTSZeroRate($C$3,B36,"Act/365 (Fixed)","Compounded",,TRUE)</f>
        <v>2.7367802763489602E-2</v>
      </c>
      <c r="G36" s="77">
        <f>_xll.qlYieldTSForwardRate($C$4,B36,B36,"Act/365 (fixed)","Continuous",,TRUE)</f>
        <v>2.7019429915075711E-2</v>
      </c>
    </row>
    <row r="37" spans="2:7">
      <c r="B37" s="111">
        <f>_xll.qlCalendarAdvance("Null",B36,"1m")</f>
        <v>44075</v>
      </c>
      <c r="C37" s="112">
        <f t="shared" si="2"/>
        <v>0.92054794520547945</v>
      </c>
      <c r="D37" s="77">
        <f>_xll.qlYieldTSForwardRate($C$3,B37,B37,"Act/365 (fixed)","Continuous",,TRUE)</f>
        <v>2.7000000001030824E-2</v>
      </c>
      <c r="E37" s="77">
        <f>_xll.qlYieldTSZeroRate($C$3,B37,"Act/365 (Fixed)","Continuous",,TRUE)</f>
        <v>2.6999999999999951E-2</v>
      </c>
      <c r="F37" s="77">
        <f>_xll.qlYieldTSZeroRate($C$3,B37,"Act/365 (Fixed)","Compounded",,TRUE)</f>
        <v>2.7367802763489379E-2</v>
      </c>
      <c r="G37" s="77">
        <f>_xll.qlYieldTSForwardRate($C$4,B37,B37,"Act/365 (fixed)","Continuous",,TRUE)</f>
        <v>2.7037734236953631E-2</v>
      </c>
    </row>
    <row r="38" spans="2:7">
      <c r="B38" s="111">
        <f>_xll.qlCalendarAdvance("Null",B37,"1m")</f>
        <v>44105</v>
      </c>
      <c r="C38" s="112">
        <f t="shared" si="2"/>
        <v>1.0027397260273974</v>
      </c>
      <c r="D38" s="77">
        <f>_xll.qlYieldTSForwardRate($C$3,B38,B38,"Act/365 (fixed)","Continuous",,TRUE)</f>
        <v>2.7000006249349139E-2</v>
      </c>
      <c r="E38" s="77">
        <f>_xll.qlYieldTSZeroRate($C$3,B38,"Act/365 (Fixed)","Continuous",,TRUE)</f>
        <v>2.6999999999999892E-2</v>
      </c>
      <c r="F38" s="77">
        <f>_xll.qlYieldTSZeroRate($C$3,B38,"Act/365 (Fixed)","Compounded",,TRUE)</f>
        <v>2.7367802763489379E-2</v>
      </c>
      <c r="G38" s="77">
        <f>_xll.qlYieldTSForwardRate($C$4,B38,B38,"Act/365 (fixed)","Continuous",,TRUE)</f>
        <v>2.7059955166341396E-2</v>
      </c>
    </row>
    <row r="39" spans="2:7">
      <c r="B39" s="111">
        <f>_xll.qlCalendarAdvance("Null",B38,"1m")</f>
        <v>44136</v>
      </c>
      <c r="C39" s="112">
        <f t="shared" si="2"/>
        <v>1.0876712328767124</v>
      </c>
      <c r="D39" s="77">
        <f>_xll.qlYieldTSForwardRate($C$3,B39,B39,"Act/365 (fixed)","Continuous",,TRUE)</f>
        <v>2.7042465752661879E-2</v>
      </c>
      <c r="E39" s="77">
        <f>_xll.qlYieldTSZeroRate($C$3,B39,"Act/365 (Fixed)","Continuous",,TRUE)</f>
        <v>2.700165798281624E-2</v>
      </c>
      <c r="F39" s="77">
        <f>_xll.qlYieldTSZeroRate($C$3,B39,"Act/365 (Fixed)","Compounded",,TRUE)</f>
        <v>2.7369506123064324E-2</v>
      </c>
      <c r="G39" s="77">
        <f>_xll.qlYieldTSForwardRate($C$4,B39,B39,"Act/365 (fixed)","Continuous",,TRUE)</f>
        <v>2.7086692184274834E-2</v>
      </c>
    </row>
    <row r="40" spans="2:7">
      <c r="B40" s="111">
        <f>_xll.qlCalendarAdvance("Null",B39,"1m")</f>
        <v>44166</v>
      </c>
      <c r="C40" s="112">
        <f t="shared" si="2"/>
        <v>1.1698630136986301</v>
      </c>
      <c r="D40" s="77">
        <f>_xll.qlYieldTSForwardRate($C$3,B40,B40,"Act/365 (fixed)","Continuous",,TRUE)</f>
        <v>2.708356164360071E-2</v>
      </c>
      <c r="E40" s="77">
        <f>_xll.qlYieldTSZeroRate($C$3,B40,"Act/365 (Fixed)","Continuous",,TRUE)</f>
        <v>2.7005968688845437E-2</v>
      </c>
      <c r="F40" s="77">
        <f>_xll.qlYieldTSZeroRate($C$3,B40,"Act/365 (Fixed)","Compounded",,TRUE)</f>
        <v>2.7373934820533963E-2</v>
      </c>
      <c r="G40" s="77">
        <f>_xll.qlYieldTSForwardRate($C$4,B40,B40,"Act/365 (fixed)","Continuous",,TRUE)</f>
        <v>2.7114906085633512E-2</v>
      </c>
    </row>
    <row r="41" spans="2:7">
      <c r="B41" s="111">
        <f>_xll.qlCalendarAdvance("Null",B40,"1m")</f>
        <v>44197</v>
      </c>
      <c r="C41" s="112">
        <f t="shared" si="2"/>
        <v>1.2547945205479452</v>
      </c>
      <c r="D41" s="77">
        <f>_xll.qlYieldTSForwardRate($C$3,B41,B41,"Act/365 (fixed)","Continuous",,TRUE)</f>
        <v>2.7126027397097355E-2</v>
      </c>
      <c r="E41" s="77">
        <f>_xll.qlYieldTSZeroRate($C$3,B41,"Act/365 (Fixed)","Continuous",,TRUE)</f>
        <v>2.7012657773523976E-2</v>
      </c>
      <c r="F41" s="77">
        <f>_xll.qlYieldTSZeroRate($C$3,B41,"Act/365 (Fixed)","Compounded",,TRUE)</f>
        <v>2.7380807034764976E-2</v>
      </c>
      <c r="G41" s="77">
        <f>_xll.qlYieldTSForwardRate($C$4,B41,B41,"Act/365 (fixed)","Continuous",,TRUE)</f>
        <v>2.714612855879768E-2</v>
      </c>
    </row>
    <row r="42" spans="2:7">
      <c r="B42" s="111">
        <f>_xll.qlCalendarAdvance("Null",B41,"1m")</f>
        <v>44228</v>
      </c>
      <c r="C42" s="112">
        <f t="shared" si="2"/>
        <v>1.3397260273972602</v>
      </c>
      <c r="D42" s="77">
        <f>_xll.qlYieldTSForwardRate($C$3,B42,B42,"Act/365 (fixed)","Continuous",,TRUE)</f>
        <v>2.7168493150413663E-2</v>
      </c>
      <c r="E42" s="77">
        <f>_xll.qlYieldTSZeroRate($C$3,B42,"Act/365 (Fixed)","Continuous",,TRUE)</f>
        <v>2.7021190856374565E-2</v>
      </c>
      <c r="F42" s="77">
        <f>_xll.qlYieldTSZeroRate($C$3,B42,"Act/365 (Fixed)","Compounded",,TRUE)</f>
        <v>2.7389573797714117E-2</v>
      </c>
      <c r="G42" s="77">
        <f>_xll.qlYieldTSForwardRate($C$4,B42,B42,"Act/365 (fixed)","Continuous",,TRUE)</f>
        <v>2.7179098074067761E-2</v>
      </c>
    </row>
    <row r="43" spans="2:7">
      <c r="B43" s="111">
        <f>_xll.qlCalendarAdvance("Null",B42,"1m")</f>
        <v>44256</v>
      </c>
      <c r="C43" s="112">
        <f t="shared" si="2"/>
        <v>1.4164383561643836</v>
      </c>
      <c r="D43" s="77">
        <f>_xll.qlYieldTSForwardRate($C$3,B43,B43,"Act/365 (fixed)","Continuous",,TRUE)</f>
        <v>2.7206849315403885E-2</v>
      </c>
      <c r="E43" s="77">
        <f>_xll.qlYieldTSZeroRate($C$3,B43,"Act/365 (Fixed)","Continuous",,TRUE)</f>
        <v>2.7030207201716987E-2</v>
      </c>
      <c r="F43" s="77">
        <f>_xll.qlYieldTSZeroRate($C$3,B43,"Act/365 (Fixed)","Compounded",,TRUE)</f>
        <v>2.7398837138673526E-2</v>
      </c>
      <c r="G43" s="77">
        <f>_xll.qlYieldTSForwardRate($C$4,B43,B43,"Act/365 (fixed)","Continuous",,TRUE)</f>
        <v>2.7210080139991905E-2</v>
      </c>
    </row>
    <row r="44" spans="2:7">
      <c r="B44" s="111">
        <f>_xll.qlCalendarAdvance("Null",B43,"1m")</f>
        <v>44287</v>
      </c>
      <c r="C44" s="112">
        <f t="shared" si="2"/>
        <v>1.5013698630136987</v>
      </c>
      <c r="D44" s="77">
        <f>_xll.qlYieldTSForwardRate($C$3,B44,B44,"Act/365 (fixed)","Continuous",,TRUE)</f>
        <v>2.7249315068376977E-2</v>
      </c>
      <c r="E44" s="77">
        <f>_xll.qlYieldTSZeroRate($C$3,B44,"Act/365 (Fixed)","Continuous",,TRUE)</f>
        <v>2.7041400859914064E-2</v>
      </c>
      <c r="F44" s="77">
        <f>_xll.qlYieldTSZeroRate($C$3,B44,"Act/365 (Fixed)","Compounded",,TRUE)</f>
        <v>2.7410337554454101E-2</v>
      </c>
      <c r="G44" s="77">
        <f>_xll.qlYieldTSForwardRate($C$4,B44,B44,"Act/365 (fixed)","Continuous",,TRUE)</f>
        <v>2.7245383321947873E-2</v>
      </c>
    </row>
    <row r="45" spans="2:7">
      <c r="B45" s="111">
        <f>_xll.qlCalendarAdvance("Null",B44,"1m")</f>
        <v>44317</v>
      </c>
      <c r="C45" s="112">
        <f t="shared" si="2"/>
        <v>1.5835616438356164</v>
      </c>
      <c r="D45" s="77">
        <f>_xll.qlYieldTSForwardRate($C$3,B45,B45,"Act/365 (fixed)","Continuous",,TRUE)</f>
        <v>2.7290410958465742E-2</v>
      </c>
      <c r="E45" s="77">
        <f>_xll.qlYieldTSZeroRate($C$3,B45,"Act/365 (Fixed)","Continuous",,TRUE)</f>
        <v>2.7053258757169258E-2</v>
      </c>
      <c r="F45" s="77">
        <f>_xll.qlYieldTSZeroRate($C$3,B45,"Act/365 (Fixed)","Compounded",,TRUE)</f>
        <v>2.7422520552908169E-2</v>
      </c>
      <c r="G45" s="77">
        <f>_xll.qlYieldTSForwardRate($C$4,B45,B45,"Act/365 (fixed)","Continuous",,TRUE)</f>
        <v>2.7280222891452009E-2</v>
      </c>
    </row>
    <row r="46" spans="2:7">
      <c r="B46" s="111">
        <f>_xll.qlCalendarAdvance("Null",B45,"1m")</f>
        <v>44348</v>
      </c>
      <c r="C46" s="112">
        <f t="shared" si="2"/>
        <v>1.6684931506849314</v>
      </c>
      <c r="D46" s="77">
        <f>_xll.qlYieldTSForwardRate($C$3,B46,B46,"Act/365 (fixed)","Continuous",,TRUE)</f>
        <v>2.7332876713304421E-2</v>
      </c>
      <c r="E46" s="77">
        <f>_xll.qlYieldTSZeroRate($C$3,B46,"Act/365 (Fixed)","Continuous",,TRUE)</f>
        <v>2.7066411363789795E-2</v>
      </c>
      <c r="F46" s="77">
        <f>_xll.qlYieldTSZeroRate($C$3,B46,"Act/365 (Fixed)","Compounded",,TRUE)</f>
        <v>2.7436033926021786E-2</v>
      </c>
      <c r="G46" s="77">
        <f>_xll.qlYieldTSForwardRate($C$4,B46,B46,"Act/365 (fixed)","Continuous",,TRUE)</f>
        <v>2.7316572244560956E-2</v>
      </c>
    </row>
    <row r="47" spans="2:7">
      <c r="B47" s="111">
        <f>_xll.qlCalendarAdvance("Null",B46,"1m")</f>
        <v>44378</v>
      </c>
      <c r="C47" s="112">
        <f t="shared" si="2"/>
        <v>1.7506849315068493</v>
      </c>
      <c r="D47" s="77">
        <f>_xll.qlYieldTSForwardRate($C$3,B47,B47,"Act/365 (fixed)","Continuous",,TRUE)</f>
        <v>2.7373972603049787E-2</v>
      </c>
      <c r="E47" s="77">
        <f>_xll.qlYieldTSZeroRate($C$3,B47,"Act/365 (Fixed)","Continuous",,TRUE)</f>
        <v>2.7079886166312968E-2</v>
      </c>
      <c r="F47" s="77">
        <f>_xll.qlYieldTSZeroRate($C$3,B47,"Act/365 (Fixed)","Compounded",,TRUE)</f>
        <v>2.7449878516960569E-2</v>
      </c>
      <c r="G47" s="77">
        <f>_xll.qlYieldTSForwardRate($C$4,B47,B47,"Act/365 (fixed)","Continuous",,TRUE)</f>
        <v>2.7351751956355672E-2</v>
      </c>
    </row>
    <row r="48" spans="2:7">
      <c r="B48" s="111">
        <f>_xll.qlCalendarAdvance("Null",B47,"1m")</f>
        <v>44409</v>
      </c>
      <c r="C48" s="112">
        <f t="shared" si="2"/>
        <v>1.8356164383561644</v>
      </c>
      <c r="D48" s="77">
        <f>_xll.qlYieldTSForwardRate($C$3,B48,B48,"Act/365 (fixed)","Continuous",,TRUE)</f>
        <v>2.7416438355313179E-2</v>
      </c>
      <c r="E48" s="77">
        <f>_xll.qlYieldTSZeroRate($C$3,B48,"Act/365 (Fixed)","Continuous",,TRUE)</f>
        <v>2.709447556736869E-2</v>
      </c>
      <c r="F48" s="77">
        <f>_xll.qlYieldTSZeroRate($C$3,B48,"Act/365 (Fixed)","Compounded",,TRUE)</f>
        <v>2.7464868504650131E-2</v>
      </c>
      <c r="G48" s="77">
        <f>_xll.qlYieldTSForwardRate($C$4,B48,B48,"Act/365 (fixed)","Continuous",,TRUE)</f>
        <v>2.7387758098019216E-2</v>
      </c>
    </row>
    <row r="49" spans="2:7">
      <c r="B49" s="111">
        <f>_xll.qlCalendarAdvance("Null",B48,"1m")</f>
        <v>44440</v>
      </c>
      <c r="C49" s="112">
        <f t="shared" si="2"/>
        <v>1.9205479452054794</v>
      </c>
      <c r="D49" s="77">
        <f>_xll.qlYieldTSForwardRate($C$3,B49,B49,"Act/365 (fixed)","Continuous",,TRUE)</f>
        <v>2.7458904109616673E-2</v>
      </c>
      <c r="E49" s="77">
        <f>_xll.qlYieldTSZeroRate($C$3,B49,"Act/365 (Fixed)","Continuous",,TRUE)</f>
        <v>2.7109652551149985E-2</v>
      </c>
      <c r="F49" s="77">
        <f>_xll.qlYieldTSZeroRate($C$3,B49,"Act/365 (Fixed)","Compounded",,TRUE)</f>
        <v>2.7480462440629294E-2</v>
      </c>
      <c r="G49" s="77">
        <f>_xll.qlYieldTSForwardRate($C$4,B49,B49,"Act/365 (fixed)","Continuous",,TRUE)</f>
        <v>2.7423057373594038E-2</v>
      </c>
    </row>
    <row r="50" spans="2:7">
      <c r="B50" s="111">
        <f>_xll.qlCalendarAdvance("Null",B49,"1m")</f>
        <v>44470</v>
      </c>
      <c r="C50" s="112">
        <f t="shared" si="2"/>
        <v>2.0027397260273974</v>
      </c>
      <c r="D50" s="77">
        <f>_xll.qlYieldTSForwardRate($C$3,B50,B50,"Act/365 (fixed)","Continuous",,TRUE)</f>
        <v>2.7500000001064555E-2</v>
      </c>
      <c r="E50" s="77">
        <f>_xll.qlYieldTSZeroRate($C$3,B50,"Act/365 (Fixed)","Continuous",,TRUE)</f>
        <v>2.7124829001367992E-2</v>
      </c>
      <c r="F50" s="77">
        <f>_xll.qlYieldTSZeroRate($C$3,B50,"Act/365 (Fixed)","Compounded",,TRUE)</f>
        <v>2.7496056065045238E-2</v>
      </c>
      <c r="G50" s="77">
        <f>_xll.qlYieldTSForwardRate($C$4,B50,B50,"Act/365 (fixed)","Continuous",,TRUE)</f>
        <v>2.7456206947867743E-2</v>
      </c>
    </row>
    <row r="51" spans="2:7">
      <c r="B51" s="111">
        <f>_xll.qlCalendarAdvance("Null",B50,"1m")</f>
        <v>44501</v>
      </c>
      <c r="C51" s="112">
        <f t="shared" si="2"/>
        <v>2.0876712328767124</v>
      </c>
      <c r="D51" s="77">
        <f>_xll.qlYieldTSForwardRate($C$3,B51,B51,"Act/365 (fixed)","Continuous",,TRUE)</f>
        <v>2.7542465752792764E-2</v>
      </c>
      <c r="E51" s="77">
        <f>_xll.qlYieldTSZeroRate($C$3,B51,"Act/365 (Fixed)","Continuous",,TRUE)</f>
        <v>2.7140955668212691E-2</v>
      </c>
      <c r="F51" s="77">
        <f>_xll.qlYieldTSZeroRate($C$3,B51,"Act/365 (Fixed)","Compounded",,TRUE)</f>
        <v>2.7512626285236541E-2</v>
      </c>
      <c r="G51" s="77">
        <f>_xll.qlYieldTSForwardRate($C$4,B51,B51,"Act/365 (fixed)","Continuous",,TRUE)</f>
        <v>2.7491398871590925E-2</v>
      </c>
    </row>
    <row r="52" spans="2:7">
      <c r="B52" s="111">
        <f>_xll.qlCalendarAdvance("Null",B51,"1m")</f>
        <v>44531</v>
      </c>
      <c r="C52" s="112">
        <f t="shared" si="2"/>
        <v>2.1698630136986301</v>
      </c>
      <c r="D52" s="77">
        <f>_xll.qlYieldTSForwardRate($C$3,B52,B52,"Act/365 (fixed)","Continuous",,TRUE)</f>
        <v>2.7583561643897241E-2</v>
      </c>
      <c r="E52" s="77">
        <f>_xll.qlYieldTSZeroRate($C$3,B52,"Act/365 (Fixed)","Continuous",,TRUE)</f>
        <v>2.7156942714819405E-2</v>
      </c>
      <c r="F52" s="77">
        <f>_xll.qlYieldTSZeroRate($C$3,B52,"Act/365 (Fixed)","Compounded",,TRUE)</f>
        <v>2.7529053308791296E-2</v>
      </c>
      <c r="G52" s="77">
        <f>_xll.qlYieldTSForwardRate($C$4,B52,B52,"Act/365 (fixed)","Continuous",,TRUE)</f>
        <v>2.7528679245515993E-2</v>
      </c>
    </row>
    <row r="53" spans="2:7">
      <c r="B53" s="111">
        <f>_xll.qlCalendarAdvance("Null",B52,"1m")</f>
        <v>44562</v>
      </c>
      <c r="C53" s="112">
        <f t="shared" si="2"/>
        <v>2.2547945205479452</v>
      </c>
      <c r="D53" s="77">
        <f>_xll.qlYieldTSForwardRate($C$3,B53,B53,"Act/365 (fixed)","Continuous",,TRUE)</f>
        <v>2.7626027397491034E-2</v>
      </c>
      <c r="E53" s="77">
        <f>_xll.qlYieldTSZeroRate($C$3,B53,"Act/365 (Fixed)","Continuous",,TRUE)</f>
        <v>2.7173811980891797E-2</v>
      </c>
      <c r="F53" s="77">
        <f>_xll.qlYieldTSZeroRate($C$3,B53,"Act/365 (Fixed)","Compounded",,TRUE)</f>
        <v>2.7546387115992665E-2</v>
      </c>
      <c r="G53" s="77">
        <f>_xll.qlYieldTSForwardRate($C$4,B53,B53,"Act/365 (fixed)","Continuous",,TRUE)</f>
        <v>2.7570912783514815E-2</v>
      </c>
    </row>
    <row r="54" spans="2:7">
      <c r="B54" s="111">
        <f>_xll.qlCalendarAdvance("Null",B53,"1m")</f>
        <v>44593</v>
      </c>
      <c r="C54" s="112">
        <f t="shared" si="2"/>
        <v>2.3397260273972602</v>
      </c>
      <c r="D54" s="77">
        <f>_xll.qlYieldTSForwardRate($C$3,B54,B54,"Act/365 (fixed)","Continuous",,TRUE)</f>
        <v>2.7668493150904493E-2</v>
      </c>
      <c r="E54" s="77">
        <f>_xll.qlYieldTSZeroRate($C$3,B54,"Act/365 (Fixed)","Continuous",,TRUE)</f>
        <v>2.719099804305284E-2</v>
      </c>
      <c r="F54" s="77">
        <f>_xll.qlYieldTSZeroRate($C$3,B54,"Act/365 (Fixed)","Compounded",,TRUE)</f>
        <v>2.7564046743824289E-2</v>
      </c>
      <c r="G54" s="77">
        <f>_xll.qlYieldTSForwardRate($C$4,B54,B54,"Act/365 (fixed)","Continuous",,TRUE)</f>
        <v>2.7617303220227367E-2</v>
      </c>
    </row>
    <row r="55" spans="2:7">
      <c r="B55" s="111">
        <f>_xll.qlCalendarAdvance("Null",B54,"1m")</f>
        <v>44621</v>
      </c>
      <c r="C55" s="112">
        <f t="shared" si="2"/>
        <v>2.4164383561643836</v>
      </c>
      <c r="D55" s="77">
        <f>_xll.qlYieldTSForwardRate($C$3,B55,B55,"Act/365 (fixed)","Continuous",,TRUE)</f>
        <v>2.7706849316197345E-2</v>
      </c>
      <c r="E55" s="77">
        <f>_xll.qlYieldTSZeroRate($C$3,B55,"Act/365 (Fixed)","Continuous",,TRUE)</f>
        <v>2.7206765445904346E-2</v>
      </c>
      <c r="F55" s="77">
        <f>_xll.qlYieldTSZeroRate($C$3,B55,"Act/365 (Fixed)","Compounded",,TRUE)</f>
        <v>2.7580248887837389E-2</v>
      </c>
      <c r="G55" s="77">
        <f>_xll.qlYieldTSForwardRate($C$4,B55,B55,"Act/365 (fixed)","Continuous",,TRUE)</f>
        <v>2.7663101409890579E-2</v>
      </c>
    </row>
    <row r="56" spans="2:7">
      <c r="B56" s="111">
        <f>_xll.qlCalendarAdvance("Null",B55,"1m")</f>
        <v>44652</v>
      </c>
      <c r="C56" s="112">
        <f t="shared" si="2"/>
        <v>2.5013698630136987</v>
      </c>
      <c r="D56" s="77">
        <f>_xll.qlYieldTSForwardRate($C$3,B56,B56,"Act/365 (fixed)","Continuous",,TRUE)</f>
        <v>2.7749315069267588E-2</v>
      </c>
      <c r="E56" s="77">
        <f>_xll.qlYieldTSZeroRate($C$3,B56,"Act/365 (Fixed)","Continuous",,TRUE)</f>
        <v>2.7224466233551885E-2</v>
      </c>
      <c r="F56" s="77">
        <f>_xll.qlYieldTSZeroRate($C$3,B56,"Act/365 (Fixed)","Compounded",,TRUE)</f>
        <v>2.7598438028594519E-2</v>
      </c>
      <c r="G56" s="77">
        <f>_xll.qlYieldTSForwardRate($C$4,B56,B56,"Act/365 (fixed)","Continuous",,TRUE)</f>
        <v>2.7718480195754274E-2</v>
      </c>
    </row>
    <row r="57" spans="2:7">
      <c r="B57" s="111">
        <f>_xll.qlCalendarAdvance("Null",B56,"1m")</f>
        <v>44682</v>
      </c>
      <c r="C57" s="112">
        <f t="shared" si="2"/>
        <v>2.5835616438356164</v>
      </c>
      <c r="D57" s="77">
        <f>_xll.qlYieldTSForwardRate($C$3,B57,B57,"Act/365 (fixed)","Continuous",,TRUE)</f>
        <v>2.7790410959522005E-2</v>
      </c>
      <c r="E57" s="77">
        <f>_xll.qlYieldTSZeroRate($C$3,B57,"Act/365 (Fixed)","Continuous",,TRUE)</f>
        <v>2.7241817138540677E-2</v>
      </c>
      <c r="F57" s="77">
        <f>_xll.qlYieldTSZeroRate($C$3,B57,"Act/365 (Fixed)","Compounded",,TRUE)</f>
        <v>2.761626794614136E-2</v>
      </c>
      <c r="G57" s="77">
        <f>_xll.qlYieldTSForwardRate($C$4,B57,B57,"Act/365 (fixed)","Continuous",,TRUE)</f>
        <v>2.7777103925493325E-2</v>
      </c>
    </row>
    <row r="58" spans="2:7">
      <c r="B58" s="111">
        <f>_xll.qlCalendarAdvance("Null",B57,"1m")</f>
        <v>44713</v>
      </c>
      <c r="C58" s="112">
        <f t="shared" si="2"/>
        <v>2.6684931506849314</v>
      </c>
      <c r="D58" s="77">
        <f>_xll.qlYieldTSForwardRate($C$3,B58,B58,"Act/365 (fixed)","Continuous",,TRUE)</f>
        <v>2.7832876712237397E-2</v>
      </c>
      <c r="E58" s="77">
        <f>_xll.qlYieldTSZeroRate($C$3,B58,"Act/365 (Fixed)","Continuous",,TRUE)</f>
        <v>2.7259953306517402E-2</v>
      </c>
      <c r="F58" s="77">
        <f>_xll.qlYieldTSZeroRate($C$3,B58,"Act/365 (Fixed)","Compounded",,TRUE)</f>
        <v>2.7634905136395549E-2</v>
      </c>
      <c r="G58" s="77">
        <f>_xll.qlYieldTSForwardRate($C$4,B58,B58,"Act/365 (fixed)","Continuous",,TRUE)</f>
        <v>2.7843260206262085E-2</v>
      </c>
    </row>
    <row r="59" spans="2:7">
      <c r="B59" s="111">
        <f>_xll.qlCalendarAdvance("Null",B58,"1m")</f>
        <v>44743</v>
      </c>
      <c r="C59" s="112">
        <f t="shared" si="2"/>
        <v>2.7506849315068491</v>
      </c>
      <c r="D59" s="77">
        <f>_xll.qlYieldTSForwardRate($C$3,B59,B59,"Act/365 (fixed)","Continuous",,TRUE)</f>
        <v>2.7873972602148404E-2</v>
      </c>
      <c r="E59" s="77">
        <f>_xll.qlYieldTSZeroRate($C$3,B59,"Act/365 (Fixed)","Continuous",,TRUE)</f>
        <v>2.727768651421713E-2</v>
      </c>
      <c r="F59" s="77">
        <f>_xll.qlYieldTSZeroRate($C$3,B59,"Act/365 (Fixed)","Compounded",,TRUE)</f>
        <v>2.7653128561187401E-2</v>
      </c>
      <c r="G59" s="77">
        <f>_xll.qlYieldTSForwardRate($C$4,B59,B59,"Act/365 (fixed)","Continuous",,TRUE)</f>
        <v>2.7913044028060691E-2</v>
      </c>
    </row>
    <row r="60" spans="2:7">
      <c r="B60" s="111">
        <f>_xll.qlCalendarAdvance("Null",B59,"1m")</f>
        <v>44774</v>
      </c>
      <c r="C60" s="112">
        <f t="shared" si="2"/>
        <v>2.8356164383561642</v>
      </c>
      <c r="D60" s="77">
        <f>_xll.qlYieldTSForwardRate($C$3,B60,B60,"Act/365 (fixed)","Continuous",,TRUE)</f>
        <v>2.7916438356729387E-2</v>
      </c>
      <c r="E60" s="77">
        <f>_xll.qlYieldTSZeroRate($C$3,B60,"Act/365 (Fixed)","Continuous",,TRUE)</f>
        <v>2.7296182251340104E-2</v>
      </c>
      <c r="F60" s="77">
        <f>_xll.qlYieldTSZeroRate($C$3,B60,"Act/365 (Fixed)","Compounded",,TRUE)</f>
        <v>2.7672135939083908E-2</v>
      </c>
      <c r="G60" s="77">
        <f>_xll.qlYieldTSForwardRate($C$4,B60,B60,"Act/365 (fixed)","Continuous",,TRUE)</f>
        <v>2.7991487000736559E-2</v>
      </c>
    </row>
    <row r="61" spans="2:7">
      <c r="B61" s="111">
        <f>_xll.qlCalendarAdvance("Null",B60,"1m")</f>
        <v>44805</v>
      </c>
      <c r="C61" s="112">
        <f t="shared" si="2"/>
        <v>2.9205479452054797</v>
      </c>
      <c r="D61" s="77">
        <f>_xll.qlYieldTSForwardRate($C$3,B61,B61,"Act/365 (fixed)","Continuous",,TRUE)</f>
        <v>2.7958904108909593E-2</v>
      </c>
      <c r="E61" s="77">
        <f>_xll.qlYieldTSZeroRate($C$3,B61,"Act/365 (Fixed)","Continuous",,TRUE)</f>
        <v>2.7314837184199015E-2</v>
      </c>
      <c r="F61" s="77">
        <f>_xll.qlYieldTSZeroRate($C$3,B61,"Act/365 (Fixed)","Compounded",,TRUE)</f>
        <v>2.7691307272600385E-2</v>
      </c>
      <c r="G61" s="77">
        <f>_xll.qlYieldTSForwardRate($C$4,B61,B61,"Act/365 (fixed)","Continuous",,TRUE)</f>
        <v>2.8076752402916422E-2</v>
      </c>
    </row>
    <row r="62" spans="2:7">
      <c r="B62" s="111">
        <f>_xll.qlCalendarAdvance("Null",B61,"1m")</f>
        <v>44835</v>
      </c>
      <c r="C62" s="112">
        <f t="shared" si="2"/>
        <v>3.0027397260273974</v>
      </c>
      <c r="D62" s="77">
        <f>_xll.qlYieldTSForwardRate($C$3,B62,B62,"Act/365 (fixed)","Continuous",,TRUE)</f>
        <v>2.8000018878702574E-2</v>
      </c>
      <c r="E62" s="77">
        <f>_xll.qlYieldTSZeroRate($C$3,B62,"Act/365 (Fixed)","Continuous",,TRUE)</f>
        <v>2.7333029197080267E-2</v>
      </c>
      <c r="F62" s="77">
        <f>_xll.qlYieldTSZeroRate($C$3,B62,"Act/365 (Fixed)","Compounded",,TRUE)</f>
        <v>2.771000321615813E-2</v>
      </c>
      <c r="G62" s="77">
        <f>_xll.qlYieldTSForwardRate($C$4,B62,B62,"Act/365 (fixed)","Continuous",,TRUE)</f>
        <v>2.8166130289796424E-2</v>
      </c>
    </row>
    <row r="63" spans="2:7">
      <c r="B63" s="111">
        <f>_xll.qlCalendarAdvance("Null",B62,"1m")</f>
        <v>44866</v>
      </c>
      <c r="C63" s="112">
        <f t="shared" si="2"/>
        <v>3.0876712328767124</v>
      </c>
      <c r="D63" s="77">
        <f>_xll.qlYieldTSForwardRate($C$3,B63,B63,"Act/365 (fixed)","Continuous",,TRUE)</f>
        <v>2.8170735448623849E-2</v>
      </c>
      <c r="E63" s="77">
        <f>_xll.qlYieldTSZeroRate($C$3,B63,"Act/365 (Fixed)","Continuous",,TRUE)</f>
        <v>2.7353723513264254E-2</v>
      </c>
      <c r="F63" s="77">
        <f>_xll.qlYieldTSZeroRate($C$3,B63,"Act/365 (Fixed)","Compounded",,TRUE)</f>
        <v>2.7731271191972384E-2</v>
      </c>
      <c r="G63" s="77">
        <f>_xll.qlYieldTSForwardRate($C$4,B63,B63,"Act/365 (fixed)","Continuous",,TRUE)</f>
        <v>2.8267174250987202E-2</v>
      </c>
    </row>
    <row r="64" spans="2:7">
      <c r="B64" s="111">
        <f>_xll.qlCalendarAdvance("Null",B63,"1m")</f>
        <v>44896</v>
      </c>
      <c r="C64" s="112">
        <f t="shared" si="2"/>
        <v>3.1698630136986301</v>
      </c>
      <c r="D64" s="77">
        <f>_xll.qlYieldTSForwardRate($C$3,B64,B64,"Act/365 (fixed)","Continuous",,TRUE)</f>
        <v>2.8335963301714107E-2</v>
      </c>
      <c r="E64" s="77">
        <f>_xll.qlYieldTSZeroRate($C$3,B64,"Act/365 (Fixed)","Continuous",,TRUE)</f>
        <v>2.7377050026530791E-2</v>
      </c>
      <c r="F64" s="77">
        <f>_xll.qlYieldTSZeroRate($C$3,B64,"Act/365 (Fixed)","Compounded",,TRUE)</f>
        <v>2.7755244858714168E-2</v>
      </c>
      <c r="G64" s="77">
        <f>_xll.qlYieldTSForwardRate($C$4,B64,B64,"Act/365 (fixed)","Continuous",,TRUE)</f>
        <v>2.8375032529806415E-2</v>
      </c>
    </row>
    <row r="65" spans="2:7">
      <c r="B65" s="111">
        <f>_xll.qlCalendarAdvance("Null",B64,"1m")</f>
        <v>44927</v>
      </c>
      <c r="C65" s="112">
        <f t="shared" si="2"/>
        <v>3.2547945205479452</v>
      </c>
      <c r="D65" s="77">
        <f>_xll.qlYieldTSForwardRate($C$3,B65,B65,"Act/365 (fixed)","Continuous",,TRUE)</f>
        <v>2.8506698750740064E-2</v>
      </c>
      <c r="E65" s="77">
        <f>_xll.qlYieldTSZeroRate($C$3,B65,"Act/365 (Fixed)","Continuous",,TRUE)</f>
        <v>2.7404299783242245E-2</v>
      </c>
      <c r="F65" s="77">
        <f>_xll.qlYieldTSZeroRate($C$3,B65,"Act/365 (Fixed)","Compounded",,TRUE)</f>
        <v>2.7783251320678604E-2</v>
      </c>
      <c r="G65" s="77">
        <f>_xll.qlYieldTSForwardRate($C$4,B65,B65,"Act/365 (fixed)","Continuous",,TRUE)</f>
        <v>2.8497533046467412E-2</v>
      </c>
    </row>
    <row r="66" spans="2:7">
      <c r="B66" s="111">
        <f>_xll.qlCalendarAdvance("Null",B65,"1m")</f>
        <v>44958</v>
      </c>
      <c r="C66" s="112">
        <f t="shared" si="2"/>
        <v>3.3397260273972602</v>
      </c>
      <c r="D66" s="77">
        <f>_xll.qlYieldTSForwardRate($C$3,B66,B66,"Act/365 (fixed)","Continuous",,TRUE)</f>
        <v>2.8677434196850964E-2</v>
      </c>
      <c r="E66" s="77">
        <f>_xll.qlYieldTSZeroRate($C$3,B66,"Act/365 (Fixed)","Continuous",,TRUE)</f>
        <v>2.7434505498921232E-2</v>
      </c>
      <c r="F66" s="77">
        <f>_xll.qlYieldTSZeroRate($C$3,B66,"Act/365 (Fixed)","Compounded",,TRUE)</f>
        <v>2.7814296718219333E-2</v>
      </c>
      <c r="G66" s="77">
        <f>_xll.qlYieldTSForwardRate($C$4,B66,B66,"Act/365 (fixed)","Continuous",,TRUE)</f>
        <v>2.863190944787905E-2</v>
      </c>
    </row>
    <row r="67" spans="2:7">
      <c r="B67" s="111">
        <f>_xll.qlCalendarAdvance("Null",B66,"1m")</f>
        <v>44986</v>
      </c>
      <c r="C67" s="112">
        <f t="shared" si="2"/>
        <v>3.4164383561643836</v>
      </c>
      <c r="D67" s="77">
        <f>_xll.qlYieldTSForwardRate($C$3,B67,B67,"Act/365 (fixed)","Continuous",,TRUE)</f>
        <v>2.8831646862368259E-2</v>
      </c>
      <c r="E67" s="77">
        <f>_xll.qlYieldTSZeroRate($C$3,B67,"Act/365 (Fixed)","Continuous",,TRUE)</f>
        <v>2.7464145419418183E-2</v>
      </c>
      <c r="F67" s="77">
        <f>_xll.qlYieldTSZeroRate($C$3,B67,"Act/365 (Fixed)","Compounded",,TRUE)</f>
        <v>2.7844761503744486E-2</v>
      </c>
      <c r="G67" s="77">
        <f>_xll.qlYieldTSForwardRate($C$4,B67,B67,"Act/365 (fixed)","Continuous",,TRUE)</f>
        <v>2.8764033959735941E-2</v>
      </c>
    </row>
    <row r="68" spans="2:7">
      <c r="B68" s="111">
        <f>_xll.qlCalendarAdvance("Null",B67,"1m")</f>
        <v>45017</v>
      </c>
      <c r="C68" s="112">
        <f t="shared" si="2"/>
        <v>3.5013698630136987</v>
      </c>
      <c r="D68" s="77">
        <f>_xll.qlYieldTSForwardRate($C$3,B68,B68,"Act/365 (fixed)","Continuous",,TRUE)</f>
        <v>2.9002382309592459E-2</v>
      </c>
      <c r="E68" s="77">
        <f>_xll.qlYieldTSZeroRate($C$3,B68,"Act/365 (Fixed)","Continuous",,TRUE)</f>
        <v>2.749938715974801E-2</v>
      </c>
      <c r="F68" s="77">
        <f>_xll.qlYieldTSZeroRate($C$3,B68,"Act/365 (Fixed)","Compounded",,TRUE)</f>
        <v>2.7880985180217754E-2</v>
      </c>
      <c r="G68" s="77">
        <f>_xll.qlYieldTSForwardRate($C$4,B68,B68,"Act/365 (fixed)","Continuous",,TRUE)</f>
        <v>2.892282204849177E-2</v>
      </c>
    </row>
    <row r="69" spans="2:7">
      <c r="B69" s="111">
        <f>_xll.qlCalendarAdvance("Null",B68,"1m")</f>
        <v>45047</v>
      </c>
      <c r="C69" s="112">
        <f t="shared" si="2"/>
        <v>3.5835616438356164</v>
      </c>
      <c r="D69" s="77">
        <f>_xll.qlYieldTSForwardRate($C$3,B69,B69,"Act/365 (fixed)","Continuous",,TRUE)</f>
        <v>2.9167610162264233E-2</v>
      </c>
      <c r="E69" s="77">
        <f>_xll.qlYieldTSZeroRate($C$3,B69,"Act/365 (Fixed)","Continuous",,TRUE)</f>
        <v>2.7535754340396665E-2</v>
      </c>
      <c r="F69" s="77">
        <f>_xll.qlYieldTSZeroRate($C$3,B69,"Act/365 (Fixed)","Compounded",,TRUE)</f>
        <v>2.7918366993422428E-2</v>
      </c>
      <c r="G69" s="77">
        <f>_xll.qlYieldTSForwardRate($C$4,B69,B69,"Act/365 (fixed)","Continuous",,TRUE)</f>
        <v>2.9089598856711422E-2</v>
      </c>
    </row>
    <row r="70" spans="2:7">
      <c r="B70" s="111">
        <f>_xll.qlCalendarAdvance("Null",B69,"1m")</f>
        <v>45078</v>
      </c>
      <c r="C70" s="112">
        <f t="shared" si="2"/>
        <v>3.6684931506849314</v>
      </c>
      <c r="D70" s="77">
        <f>_xll.qlYieldTSForwardRate($C$3,B70,B70,"Act/365 (fixed)","Continuous",,TRUE)</f>
        <v>2.9338345610413673E-2</v>
      </c>
      <c r="E70" s="77">
        <f>_xll.qlYieldTSZeroRate($C$3,B70,"Act/365 (Fixed)","Continuous",,TRUE)</f>
        <v>2.7575510822799975E-2</v>
      </c>
      <c r="F70" s="77">
        <f>_xll.qlYieldTSZeroRate($C$3,B70,"Act/365 (Fixed)","Compounded",,TRUE)</f>
        <v>2.7959234224255169E-2</v>
      </c>
      <c r="G70" s="77">
        <f>_xll.qlYieldTSForwardRate($C$4,B70,B70,"Act/365 (fixed)","Continuous",,TRUE)</f>
        <v>2.9276120201433116E-2</v>
      </c>
    </row>
    <row r="71" spans="2:7">
      <c r="B71" s="111">
        <f>_xll.qlCalendarAdvance("Null",B70,"1m")</f>
        <v>45108</v>
      </c>
      <c r="C71" s="112">
        <f t="shared" si="2"/>
        <v>3.7506849315068491</v>
      </c>
      <c r="D71" s="77">
        <f>_xll.qlYieldTSForwardRate($C$3,B71,B71,"Act/365 (fixed)","Continuous",,TRUE)</f>
        <v>2.9503573464195715E-2</v>
      </c>
      <c r="E71" s="77">
        <f>_xll.qlYieldTSZeroRate($C$3,B71,"Act/365 (Fixed)","Continuous",,TRUE)</f>
        <v>2.7615951627359678E-2</v>
      </c>
      <c r="F71" s="77">
        <f>_xll.qlYieldTSZeroRate($C$3,B71,"Act/365 (Fixed)","Compounded",,TRUE)</f>
        <v>2.8000806563345471E-2</v>
      </c>
      <c r="G71" s="77">
        <f>_xll.qlYieldTSForwardRate($C$4,B71,B71,"Act/365 (fixed)","Continuous",,TRUE)</f>
        <v>2.947096255534901E-2</v>
      </c>
    </row>
    <row r="72" spans="2:7">
      <c r="B72" s="111">
        <f>_xll.qlCalendarAdvance("Null",B71,"1m")</f>
        <v>45139</v>
      </c>
      <c r="C72" s="112">
        <f t="shared" si="2"/>
        <v>3.8356164383561642</v>
      </c>
      <c r="D72" s="77">
        <f>_xll.qlYieldTSForwardRate($C$3,B72,B72,"Act/365 (fixed)","Continuous",,TRUE)</f>
        <v>2.9674308913270386E-2</v>
      </c>
      <c r="E72" s="77">
        <f>_xll.qlYieldTSZeroRate($C$3,B72,"Act/365 (Fixed)","Continuous",,TRUE)</f>
        <v>2.7659639253351881E-2</v>
      </c>
      <c r="F72" s="77">
        <f>_xll.qlYieldTSZeroRate($C$3,B72,"Act/365 (Fixed)","Compounded",,TRUE)</f>
        <v>2.8045718459142277E-2</v>
      </c>
      <c r="G72" s="77">
        <f>_xll.qlYieldTSForwardRate($C$4,B72,B72,"Act/365 (fixed)","Continuous",,TRUE)</f>
        <v>2.9687752777135559E-2</v>
      </c>
    </row>
    <row r="73" spans="2:7">
      <c r="B73" s="111">
        <f>_xll.qlCalendarAdvance("Null",B72,"1m")</f>
        <v>45170</v>
      </c>
      <c r="C73" s="112">
        <f t="shared" si="2"/>
        <v>3.9205479452054797</v>
      </c>
      <c r="D73" s="77">
        <f>_xll.qlYieldTSForwardRate($C$3,B73,B73,"Act/365 (fixed)","Continuous",,TRUE)</f>
        <v>2.9845044359430001E-2</v>
      </c>
      <c r="E73" s="77">
        <f>_xll.qlYieldTSZeroRate($C$3,B73,"Act/365 (Fixed)","Continuous",,TRUE)</f>
        <v>2.7705132725665556E-2</v>
      </c>
      <c r="F73" s="77">
        <f>_xll.qlYieldTSZeroRate($C$3,B73,"Act/365 (Fixed)","Compounded",,TRUE)</f>
        <v>2.8092488892438761E-2</v>
      </c>
      <c r="G73" s="77">
        <f>_xll.qlYieldTSForwardRate($C$4,B73,B73,"Act/365 (fixed)","Continuous",,TRUE)</f>
        <v>2.9920897265422536E-2</v>
      </c>
    </row>
    <row r="74" spans="2:7">
      <c r="B74" s="111">
        <f>_xll.qlCalendarAdvance("Null",B73,"1m")</f>
        <v>45200</v>
      </c>
      <c r="C74" s="112">
        <f t="shared" si="2"/>
        <v>4.0027397260273974</v>
      </c>
      <c r="D74" s="77">
        <f>_xll.qlYieldTSForwardRate($C$3,B74,B74,"Act/365 (fixed)","Continuous",,TRUE)</f>
        <v>3.0010291327263957E-2</v>
      </c>
      <c r="E74" s="77">
        <f>_xll.qlYieldTSZeroRate($C$3,B74,"Act/365 (Fixed)","Continuous",,TRUE)</f>
        <v>2.775076980085437E-2</v>
      </c>
      <c r="F74" s="77">
        <f>_xll.qlYieldTSZeroRate($C$3,B74,"Act/365 (Fixed)","Compounded",,TRUE)</f>
        <v>2.813940909729773E-2</v>
      </c>
      <c r="G74" s="77">
        <f>_xll.qlYieldTSForwardRate($C$4,B74,B74,"Act/365 (fixed)","Continuous",,TRUE)</f>
        <v>3.0162709215523845E-2</v>
      </c>
    </row>
    <row r="75" spans="2:7">
      <c r="B75" s="111">
        <f>_xll.qlCalendarAdvance("Null",B74,"1m")</f>
        <v>45231</v>
      </c>
      <c r="C75" s="112">
        <f t="shared" si="2"/>
        <v>4.087671232876712</v>
      </c>
      <c r="D75" s="77">
        <f>_xll.qlYieldTSForwardRate($C$3,B75,B75,"Act/365 (fixed)","Continuous",,TRUE)</f>
        <v>3.0310880828786951E-2</v>
      </c>
      <c r="E75" s="77">
        <f>_xll.qlYieldTSZeroRate($C$3,B75,"Act/365 (Fixed)","Continuous",,TRUE)</f>
        <v>2.7800839511528078E-2</v>
      </c>
      <c r="F75" s="77">
        <f>_xll.qlYieldTSZeroRate($C$3,B75,"Act/365 (Fixed)","Compounded",,TRUE)</f>
        <v>2.8190889028825383E-2</v>
      </c>
      <c r="G75" s="77">
        <f>_xll.qlYieldTSForwardRate($C$4,B75,B75,"Act/365 (fixed)","Continuous",,TRUE)</f>
        <v>3.0423619855380515E-2</v>
      </c>
    </row>
    <row r="76" spans="2:7">
      <c r="B76" s="111">
        <f>_xll.qlCalendarAdvance("Null",B75,"1m")</f>
        <v>45261</v>
      </c>
      <c r="C76" s="112">
        <f t="shared" si="2"/>
        <v>4.1698630136986301</v>
      </c>
      <c r="D76" s="77">
        <f>_xll.qlYieldTSForwardRate($C$3,B76,B76,"Act/365 (fixed)","Continuous",,TRUE)</f>
        <v>3.0601792390240381E-2</v>
      </c>
      <c r="E76" s="77">
        <f>_xll.qlYieldTSZeroRate($C$3,B76,"Act/365 (Fixed)","Continuous",,TRUE)</f>
        <v>2.7853181767064975E-2</v>
      </c>
      <c r="F76" s="77">
        <f>_xll.qlYieldTSZeroRate($C$3,B76,"Act/365 (Fixed)","Compounded",,TRUE)</f>
        <v>2.8244708267577634E-2</v>
      </c>
      <c r="G76" s="77">
        <f>_xll.qlYieldTSForwardRate($C$4,B76,B76,"Act/365 (fixed)","Continuous",,TRUE)</f>
        <v>3.0680828749770073E-2</v>
      </c>
    </row>
    <row r="77" spans="2:7">
      <c r="B77" s="111">
        <f>_xll.qlCalendarAdvance("Null",B76,"1m")</f>
        <v>45292</v>
      </c>
      <c r="C77" s="112">
        <f t="shared" si="2"/>
        <v>4.2547945205479456</v>
      </c>
      <c r="D77" s="77">
        <f>_xll.qlYieldTSForwardRate($C$3,B77,B77,"Act/365 (fixed)","Continuous",,TRUE)</f>
        <v>3.0902401005287516E-2</v>
      </c>
      <c r="E77" s="77">
        <f>_xll.qlYieldTSZeroRate($C$3,B77,"Act/365 (Fixed)","Continuous",,TRUE)</f>
        <v>2.7911048066378254E-2</v>
      </c>
      <c r="F77" s="77">
        <f>_xll.qlYieldTSZeroRate($C$3,B77,"Act/365 (Fixed)","Compounded",,TRUE)</f>
        <v>2.8304210705209831E-2</v>
      </c>
      <c r="G77" s="77">
        <f>_xll.qlYieldTSForwardRate($C$4,B77,B77,"Act/365 (fixed)","Continuous",,TRUE)</f>
        <v>3.0951103998404911E-2</v>
      </c>
    </row>
    <row r="78" spans="2:7">
      <c r="B78" s="111">
        <f>_xll.qlCalendarAdvance("Null",B77,"1m")</f>
        <v>45323</v>
      </c>
      <c r="C78" s="112">
        <f t="shared" si="2"/>
        <v>4.3397260273972602</v>
      </c>
      <c r="D78" s="77">
        <f>_xll.qlYieldTSForwardRate($C$3,B78,B78,"Act/365 (fixed)","Continuous",,TRUE)</f>
        <v>3.1203009617959413E-2</v>
      </c>
      <c r="E78" s="77">
        <f>_xll.qlYieldTSZeroRate($C$3,B78,"Act/365 (Fixed)","Continuous",,TRUE)</f>
        <v>2.7972532520035072E-2</v>
      </c>
      <c r="F78" s="77">
        <f>_xll.qlYieldTSZeroRate($C$3,B78,"Act/365 (Fixed)","Compounded",,TRUE)</f>
        <v>2.8367437371506599E-2</v>
      </c>
      <c r="G78" s="77">
        <f>_xll.qlYieldTSForwardRate($C$4,B78,B78,"Act/365 (fixed)","Continuous",,TRUE)</f>
        <v>3.1225560235552789E-2</v>
      </c>
    </row>
    <row r="79" spans="2:7">
      <c r="B79" s="111">
        <f>_xll.qlCalendarAdvance("Null",B78,"1m")</f>
        <v>45352</v>
      </c>
      <c r="C79" s="112">
        <f t="shared" si="2"/>
        <v>4.419178082191781</v>
      </c>
      <c r="D79" s="77">
        <f>_xll.qlYieldTSForwardRate($C$3,B79,B79,"Act/365 (fixed)","Continuous",,TRUE)</f>
        <v>3.1484224127503749E-2</v>
      </c>
      <c r="E79" s="77">
        <f>_xll.qlYieldTSZeroRate($C$3,B79,"Act/365 (Fixed)","Continuous",,TRUE)</f>
        <v>2.8033140980199885E-2</v>
      </c>
      <c r="F79" s="77">
        <f>_xll.qlYieldTSZeroRate($C$3,B79,"Act/365 (Fixed)","Compounded",,TRUE)</f>
        <v>2.8429767027202457E-2</v>
      </c>
      <c r="G79" s="77">
        <f>_xll.qlYieldTSForwardRate($C$4,B79,B79,"Act/365 (fixed)","Continuous",,TRUE)</f>
        <v>3.1485749606884189E-2</v>
      </c>
    </row>
    <row r="80" spans="2:7">
      <c r="B80" s="111">
        <f>_xll.qlCalendarAdvance("Null",B79,"1m")</f>
        <v>45383</v>
      </c>
      <c r="C80" s="112">
        <f t="shared" si="2"/>
        <v>4.5041095890410956</v>
      </c>
      <c r="D80" s="77">
        <f>_xll.qlYieldTSForwardRate($C$3,B80,B80,"Act/365 (fixed)","Continuous",,TRUE)</f>
        <v>3.1784832742669494E-2</v>
      </c>
      <c r="E80" s="77">
        <f>_xll.qlYieldTSZeroRate($C$3,B80,"Act/365 (Fixed)","Continuous",,TRUE)</f>
        <v>2.8101050354354815E-2</v>
      </c>
      <c r="F80" s="77">
        <f>_xll.qlYieldTSZeroRate($C$3,B80,"Act/365 (Fixed)","Compounded",,TRUE)</f>
        <v>2.8499609420493455E-2</v>
      </c>
      <c r="G80" s="77">
        <f>_xll.qlYieldTSForwardRate($C$4,B80,B80,"Act/365 (fixed)","Continuous",,TRUE)</f>
        <v>3.1767191399274364E-2</v>
      </c>
    </row>
    <row r="81" spans="2:7">
      <c r="B81" s="111">
        <f>_xll.qlCalendarAdvance("Null",B80,"1m")</f>
        <v>45413</v>
      </c>
      <c r="C81" s="112">
        <f t="shared" si="2"/>
        <v>4.5863013698630137</v>
      </c>
      <c r="D81" s="77">
        <f>_xll.qlYieldTSForwardRate($C$3,B81,B81,"Act/365 (fixed)","Continuous",,TRUE)</f>
        <v>3.2075744303432296E-2</v>
      </c>
      <c r="E81" s="77">
        <f>_xll.qlYieldTSZeroRate($C$3,B81,"Act/365 (Fixed)","Continuous",,TRUE)</f>
        <v>2.816967469430302E-2</v>
      </c>
      <c r="F81" s="77">
        <f>_xll.qlYieldTSZeroRate($C$3,B81,"Act/365 (Fixed)","Compounded",,TRUE)</f>
        <v>2.857019194913879E-2</v>
      </c>
      <c r="G81" s="77">
        <f>_xll.qlYieldTSForwardRate($C$4,B81,B81,"Act/365 (fixed)","Continuous",,TRUE)</f>
        <v>3.2042450433704933E-2</v>
      </c>
    </row>
    <row r="82" spans="2:7">
      <c r="B82" s="111">
        <f>_xll.qlCalendarAdvance("Null",B81,"1m")</f>
        <v>45444</v>
      </c>
      <c r="C82" s="112">
        <f t="shared" si="2"/>
        <v>4.6712328767123283</v>
      </c>
      <c r="D82" s="77">
        <f>_xll.qlYieldTSForwardRate($C$3,B82,B82,"Act/365 (fixed)","Continuous",,TRUE)</f>
        <v>3.2376352918579952E-2</v>
      </c>
      <c r="E82" s="77">
        <f>_xll.qlYieldTSZeroRate($C$3,B82,"Act/365 (Fixed)","Continuous",,TRUE)</f>
        <v>2.8243426947343782E-2</v>
      </c>
      <c r="F82" s="77">
        <f>_xll.qlYieldTSZeroRate($C$3,B82,"Act/365 (Fixed)","Compounded",,TRUE)</f>
        <v>2.8646054115674113E-2</v>
      </c>
      <c r="G82" s="77">
        <f>_xll.qlYieldTSForwardRate($C$4,B82,B82,"Act/365 (fixed)","Continuous",,TRUE)</f>
        <v>3.2329498154666021E-2</v>
      </c>
    </row>
    <row r="83" spans="2:7">
      <c r="B83" s="111">
        <f>_xll.qlCalendarAdvance("Null",B82,"1m")</f>
        <v>45474</v>
      </c>
      <c r="C83" s="112">
        <f t="shared" si="2"/>
        <v>4.7534246575342465</v>
      </c>
      <c r="D83" s="77">
        <f>_xll.qlYieldTSForwardRate($C$3,B83,B83,"Act/365 (fixed)","Continuous",,TRUE)</f>
        <v>3.2667264479898261E-2</v>
      </c>
      <c r="E83" s="77">
        <f>_xll.qlYieldTSZeroRate($C$3,B83,"Act/365 (Fixed)","Continuous",,TRUE)</f>
        <v>2.8317404729803937E-2</v>
      </c>
      <c r="F83" s="77">
        <f>_xll.qlYieldTSZeroRate($C$3,B83,"Act/365 (Fixed)","Compounded",,TRUE)</f>
        <v>2.8722153884505275E-2</v>
      </c>
      <c r="G83" s="77">
        <f>_xll.qlYieldTSForwardRate($C$4,B83,B83,"Act/365 (fixed)","Continuous",,TRUE)</f>
        <v>3.2609452404722655E-2</v>
      </c>
    </row>
    <row r="84" spans="2:7">
      <c r="B84" s="111">
        <f>_xll.qlCalendarAdvance("Null",B83,"1m")</f>
        <v>45505</v>
      </c>
      <c r="C84" s="112">
        <f t="shared" si="2"/>
        <v>4.838356164383562</v>
      </c>
      <c r="D84" s="77">
        <f>_xll.qlYieldTSForwardRate($C$3,B84,B84,"Act/365 (fixed)","Continuous",,TRUE)</f>
        <v>3.2967873095027814E-2</v>
      </c>
      <c r="E84" s="77">
        <f>_xll.qlYieldTSZeroRate($C$3,B84,"Act/365 (Fixed)","Continuous",,TRUE)</f>
        <v>2.8396399682122715E-2</v>
      </c>
      <c r="F84" s="77">
        <f>_xll.qlYieldTSZeroRate($C$3,B84,"Act/365 (Fixed)","Compounded",,TRUE)</f>
        <v>2.8803420951802439E-2</v>
      </c>
      <c r="G84" s="77">
        <f>_xll.qlYieldTSForwardRate($C$4,B84,B84,"Act/365 (fixed)","Continuous",,TRUE)</f>
        <v>3.2900597629351491E-2</v>
      </c>
    </row>
    <row r="85" spans="2:7">
      <c r="B85" s="111">
        <f>_xll.qlCalendarAdvance("Null",B84,"1m")</f>
        <v>45536</v>
      </c>
      <c r="C85" s="112">
        <f t="shared" si="2"/>
        <v>4.9232876712328766</v>
      </c>
      <c r="D85" s="77">
        <f>_xll.qlYieldTSForwardRate($C$3,B85,B85,"Act/365 (fixed)","Continuous",,TRUE)</f>
        <v>3.3268481707782134E-2</v>
      </c>
      <c r="E85" s="77">
        <f>_xll.qlYieldTSZeroRate($C$3,B85,"Act/365 (Fixed)","Continuous",,TRUE)</f>
        <v>2.8477854946068522E-2</v>
      </c>
      <c r="F85" s="77">
        <f>_xll.qlYieldTSZeroRate($C$3,B85,"Act/365 (Fixed)","Compounded",,TRUE)</f>
        <v>2.8887225819131945E-2</v>
      </c>
      <c r="G85" s="77">
        <f>_xll.qlYieldTSForwardRate($C$4,B85,B85,"Act/365 (fixed)","Continuous",,TRUE)</f>
        <v>3.3193247126095657E-2</v>
      </c>
    </row>
    <row r="86" spans="2:7">
      <c r="B86" s="111">
        <f>_xll.qlCalendarAdvance("Null",B85,"1m")</f>
        <v>45566</v>
      </c>
      <c r="C86" s="112">
        <f t="shared" si="2"/>
        <v>5.0054794520547947</v>
      </c>
      <c r="D86" s="77">
        <f>_xll.qlYieldTSForwardRate($C$3,B86,B86,"Act/365 (fixed)","Continuous",,TRUE)</f>
        <v>3.3559389024314053E-2</v>
      </c>
      <c r="E86" s="77">
        <f>_xll.qlYieldTSZeroRate($C$3,B86,"Act/365 (Fixed)","Continuous",,TRUE)</f>
        <v>2.8558907204587869E-2</v>
      </c>
      <c r="F86" s="77">
        <f>_xll.qlYieldTSZeroRate($C$3,B86,"Act/365 (Fixed)","Compounded",,TRUE)</f>
        <v>2.8970622832258819E-2</v>
      </c>
      <c r="G86" s="77">
        <f>_xll.qlYieldTSForwardRate($C$4,B86,B86,"Act/365 (fixed)","Continuous",,TRUE)</f>
        <v>3.3477521648284707E-2</v>
      </c>
    </row>
    <row r="87" spans="2:7">
      <c r="B87" s="111">
        <f>_xll.qlCalendarAdvance("Null",B86,"1m")</f>
        <v>45597</v>
      </c>
      <c r="C87" s="112">
        <f t="shared" si="2"/>
        <v>5.0904109589041093</v>
      </c>
      <c r="D87" s="77">
        <f>_xll.qlYieldTSForwardRate($C$3,B87,B87,"Act/365 (fixed)","Continuous",,TRUE)</f>
        <v>3.383115085202381E-2</v>
      </c>
      <c r="E87" s="77">
        <f>_xll.qlYieldTSZeroRate($C$3,B87,"Act/365 (Fixed)","Continuous",,TRUE)</f>
        <v>2.8644605434177687E-2</v>
      </c>
      <c r="F87" s="77">
        <f>_xll.qlYieldTSZeroRate($C$3,B87,"Act/365 (Fixed)","Compounded",,TRUE)</f>
        <v>2.9058807571519463E-2</v>
      </c>
      <c r="G87" s="77">
        <f>_xll.qlYieldTSForwardRate($C$4,B87,B87,"Act/365 (fixed)","Continuous",,TRUE)</f>
        <v>3.3771244610264733E-2</v>
      </c>
    </row>
    <row r="88" spans="2:7">
      <c r="B88" s="111">
        <f>_xll.qlCalendarAdvance("Null",B87,"1m")</f>
        <v>45627</v>
      </c>
      <c r="C88" s="112">
        <f t="shared" si="2"/>
        <v>5.1726027397260275</v>
      </c>
      <c r="D88" s="77">
        <f>_xll.qlYieldTSForwardRate($C$3,B88,B88,"Act/365 (fixed)","Continuous",,TRUE)</f>
        <v>3.4094142062484643E-2</v>
      </c>
      <c r="E88" s="77">
        <f>_xll.qlYieldTSZeroRate($C$3,B88,"Act/365 (Fixed)","Continuous",,TRUE)</f>
        <v>2.8729108204670128E-2</v>
      </c>
      <c r="F88" s="77">
        <f>_xll.qlYieldTSZeroRate($C$3,B88,"Act/365 (Fixed)","Compounded",,TRUE)</f>
        <v>2.9145769565971813E-2</v>
      </c>
      <c r="G88" s="77">
        <f>_xll.qlYieldTSForwardRate($C$4,B88,B88,"Act/365 (fixed)","Continuous",,TRUE)</f>
        <v>3.4054339596893815E-2</v>
      </c>
    </row>
    <row r="89" spans="2:7">
      <c r="B89" s="111">
        <f>_xll.qlCalendarAdvance("Null",B88,"1m")</f>
        <v>45658</v>
      </c>
      <c r="C89" s="112">
        <f t="shared" si="2"/>
        <v>5.2575342465753421</v>
      </c>
      <c r="D89" s="77">
        <f>_xll.qlYieldTSForwardRate($C$3,B89,B89,"Act/365 (fixed)","Continuous",,TRUE)</f>
        <v>3.4365899643506233E-2</v>
      </c>
      <c r="E89" s="77">
        <f>_xll.qlYieldTSZeroRate($C$3,B89,"Act/365 (Fixed)","Continuous",,TRUE)</f>
        <v>2.8817971306327021E-2</v>
      </c>
      <c r="F89" s="77">
        <f>_xll.qlYieldTSZeroRate($C$3,B89,"Act/365 (Fixed)","Compounded",,TRUE)</f>
        <v>2.9237226714635467E-2</v>
      </c>
      <c r="G89" s="77">
        <f>_xll.qlYieldTSForwardRate($C$4,B89,B89,"Act/365 (fixed)","Continuous",,TRUE)</f>
        <v>3.4345203667510212E-2</v>
      </c>
    </row>
    <row r="90" spans="2:7">
      <c r="B90" s="111">
        <f>_xll.qlCalendarAdvance("Null",B89,"1m")</f>
        <v>45689</v>
      </c>
      <c r="C90" s="112">
        <f t="shared" ref="C90:C153" si="3">(B90-$B$26)/365</f>
        <v>5.3424657534246576</v>
      </c>
      <c r="D90" s="77">
        <f>_xll.qlYieldTSForwardRate($C$3,B90,B90,"Act/365 (fixed)","Continuous",,TRUE)</f>
        <v>3.4637657226024347E-2</v>
      </c>
      <c r="E90" s="77">
        <f>_xll.qlYieldTSZeroRate($C$3,B90,"Act/365 (Fixed)","Continuous",,TRUE)</f>
        <v>2.8908329265799476E-2</v>
      </c>
      <c r="F90" s="77">
        <f>_xll.qlYieldTSZeroRate($C$3,B90,"Act/365 (Fixed)","Compounded",,TRUE)</f>
        <v>2.9330230692016013E-2</v>
      </c>
      <c r="G90" s="77">
        <f>_xll.qlYieldTSForwardRate($C$4,B90,B90,"Act/365 (fixed)","Continuous",,TRUE)</f>
        <v>3.4633889246490447E-2</v>
      </c>
    </row>
    <row r="91" spans="2:7">
      <c r="B91" s="111">
        <f>_xll.qlCalendarAdvance("Null",B90,"1m")</f>
        <v>45717</v>
      </c>
      <c r="C91" s="112">
        <f t="shared" si="3"/>
        <v>5.419178082191781</v>
      </c>
      <c r="D91" s="77">
        <f>_xll.qlYieldTSForwardRate($C$3,B91,B91,"Act/365 (fixed)","Continuous",,TRUE)</f>
        <v>3.4883115685675113E-2</v>
      </c>
      <c r="E91" s="77">
        <f>_xll.qlYieldTSZeroRate($C$3,B91,"Act/365 (Fixed)","Continuous",,TRUE)</f>
        <v>2.8991169306915282E-2</v>
      </c>
      <c r="F91" s="77">
        <f>_xll.qlYieldTSZeroRate($C$3,B91,"Act/365 (Fixed)","Compounded",,TRUE)</f>
        <v>2.9415503982620939E-2</v>
      </c>
      <c r="G91" s="77">
        <f>_xll.qlYieldTSForwardRate($C$4,B91,B91,"Act/365 (fixed)","Continuous",,TRUE)</f>
        <v>3.4892358311179893E-2</v>
      </c>
    </row>
    <row r="92" spans="2:7">
      <c r="B92" s="111">
        <f>_xll.qlCalendarAdvance("Null",B91,"1m")</f>
        <v>45748</v>
      </c>
      <c r="C92" s="112">
        <f t="shared" si="3"/>
        <v>5.5041095890410956</v>
      </c>
      <c r="D92" s="77">
        <f>_xll.qlYieldTSForwardRate($C$3,B92,B92,"Act/365 (fixed)","Continuous",,TRUE)</f>
        <v>3.5154873267460127E-2</v>
      </c>
      <c r="E92" s="77">
        <f>_xll.qlYieldTSZeroRate($C$3,B92,"Act/365 (Fixed)","Continuous",,TRUE)</f>
        <v>2.9084182039764102E-2</v>
      </c>
      <c r="F92" s="77">
        <f>_xll.qlYieldTSZeroRate($C$3,B92,"Act/365 (Fixed)","Compounded",,TRUE)</f>
        <v>2.9511257184947626E-2</v>
      </c>
      <c r="G92" s="77">
        <f>_xll.qlYieldTSForwardRate($C$4,B92,B92,"Act/365 (fixed)","Continuous",,TRUE)</f>
        <v>3.5175546753181977E-2</v>
      </c>
    </row>
    <row r="93" spans="2:7">
      <c r="B93" s="111">
        <f>_xll.qlCalendarAdvance("Null",B92,"1m")</f>
        <v>45778</v>
      </c>
      <c r="C93" s="112">
        <f t="shared" si="3"/>
        <v>5.5863013698630137</v>
      </c>
      <c r="D93" s="77">
        <f>_xll.qlYieldTSForwardRate($C$3,B93,B93,"Act/365 (fixed)","Continuous",,TRUE)</f>
        <v>3.5417864476414804E-2</v>
      </c>
      <c r="E93" s="77">
        <f>_xll.qlYieldTSZeroRate($C$3,B93,"Act/365 (Fixed)","Continuous",,TRUE)</f>
        <v>2.9175435401703233E-2</v>
      </c>
      <c r="F93" s="77">
        <f>_xll.qlYieldTSZeroRate($C$3,B93,"Act/365 (Fixed)","Compounded",,TRUE)</f>
        <v>2.9605207834911162E-2</v>
      </c>
      <c r="G93" s="77">
        <f>_xll.qlYieldTSForwardRate($C$4,B93,B93,"Act/365 (fixed)","Continuous",,TRUE)</f>
        <v>3.5446179166602192E-2</v>
      </c>
    </row>
    <row r="94" spans="2:7">
      <c r="B94" s="111">
        <f>_xll.qlCalendarAdvance("Null",B93,"1m")</f>
        <v>45809</v>
      </c>
      <c r="C94" s="112">
        <f t="shared" si="3"/>
        <v>5.6712328767123283</v>
      </c>
      <c r="D94" s="77">
        <f>_xll.qlYieldTSForwardRate($C$3,B94,B94,"Act/365 (fixed)","Continuous",,TRUE)</f>
        <v>3.5689622059210675E-2</v>
      </c>
      <c r="E94" s="77">
        <f>_xll.qlYieldTSZeroRate($C$3,B94,"Act/365 (Fixed)","Continuous",,TRUE)</f>
        <v>2.9270955954292174E-2</v>
      </c>
      <c r="F94" s="77">
        <f>_xll.qlYieldTSZeroRate($C$3,B94,"Act/365 (Fixed)","Compounded",,TRUE)</f>
        <v>2.9703560990611111E-2</v>
      </c>
      <c r="G94" s="77">
        <f>_xll.qlYieldTSForwardRate($C$4,B94,B94,"Act/365 (fixed)","Continuous",,TRUE)</f>
        <v>3.5721821767047204E-2</v>
      </c>
    </row>
    <row r="95" spans="2:7">
      <c r="B95" s="111">
        <f>_xll.qlCalendarAdvance("Null",B94,"1m")</f>
        <v>45839</v>
      </c>
      <c r="C95" s="112">
        <f t="shared" si="3"/>
        <v>5.7534246575342465</v>
      </c>
      <c r="D95" s="77">
        <f>_xll.qlYieldTSForwardRate($C$3,B95,B95,"Act/365 (fixed)","Continuous",,TRUE)</f>
        <v>3.5952613267424563E-2</v>
      </c>
      <c r="E95" s="77">
        <f>_xll.qlYieldTSZeroRate($C$3,B95,"Act/365 (Fixed)","Continuous",,TRUE)</f>
        <v>2.9364529692993049E-2</v>
      </c>
      <c r="F95" s="77">
        <f>_xll.qlYieldTSZeroRate($C$3,B95,"Act/365 (Fixed)","Compounded",,TRUE)</f>
        <v>2.9799918710772477E-2</v>
      </c>
      <c r="G95" s="77">
        <f>_xll.qlYieldTSForwardRate($C$4,B95,B95,"Act/365 (fixed)","Continuous",,TRUE)</f>
        <v>3.5984235582803566E-2</v>
      </c>
    </row>
    <row r="96" spans="2:7">
      <c r="B96" s="111">
        <f>_xll.qlCalendarAdvance("Null",B95,"1m")</f>
        <v>45870</v>
      </c>
      <c r="C96" s="112">
        <f t="shared" si="3"/>
        <v>5.838356164383562</v>
      </c>
      <c r="D96" s="77">
        <f>_xll.qlYieldTSForwardRate($C$3,B96,B96,"Act/365 (fixed)","Continuous",,TRUE)</f>
        <v>3.622437084901086E-2</v>
      </c>
      <c r="E96" s="77">
        <f>_xll.qlYieldTSZeroRate($C$3,B96,"Act/365 (Fixed)","Continuous",,TRUE)</f>
        <v>2.9462344255796094E-2</v>
      </c>
      <c r="F96" s="77">
        <f>_xll.qlYieldTSZeroRate($C$3,B96,"Act/365 (Fixed)","Compounded",,TRUE)</f>
        <v>2.9900653066158744E-2</v>
      </c>
      <c r="G96" s="77">
        <f>_xll.qlYieldTSForwardRate($C$4,B96,B96,"Act/365 (fixed)","Continuous",,TRUE)</f>
        <v>3.6250438935493901E-2</v>
      </c>
    </row>
    <row r="97" spans="2:7">
      <c r="B97" s="111">
        <f>_xll.qlCalendarAdvance("Null",B96,"1m")</f>
        <v>45901</v>
      </c>
      <c r="C97" s="112">
        <f t="shared" si="3"/>
        <v>5.9232876712328766</v>
      </c>
      <c r="D97" s="77">
        <f>_xll.qlYieldTSForwardRate($C$3,B97,B97,"Act/365 (fixed)","Continuous",,TRUE)</f>
        <v>3.6496128429873258E-2</v>
      </c>
      <c r="E97" s="77">
        <f>_xll.qlYieldTSZeroRate($C$3,B97,"Act/365 (Fixed)","Continuous",,TRUE)</f>
        <v>2.956125039221125E-2</v>
      </c>
      <c r="F97" s="77">
        <f>_xll.qlYieldTSZeroRate($C$3,B97,"Act/365 (Fixed)","Compounded",,TRUE)</f>
        <v>3.0002521598273546E-2</v>
      </c>
      <c r="G97" s="77">
        <f>_xll.qlYieldTSForwardRate($C$4,B97,B97,"Act/365 (fixed)","Continuous",,TRUE)</f>
        <v>3.6511119678903595E-2</v>
      </c>
    </row>
    <row r="98" spans="2:7">
      <c r="B98" s="111">
        <f>_xll.qlCalendarAdvance("Null",B97,"1m")</f>
        <v>45931</v>
      </c>
      <c r="C98" s="112">
        <f t="shared" si="3"/>
        <v>6.0054794520547947</v>
      </c>
      <c r="D98" s="77">
        <f>_xll.qlYieldTSForwardRate($C$3,B98,B98,"Act/365 (fixed)","Continuous",,TRUE)</f>
        <v>3.6759116426107491E-2</v>
      </c>
      <c r="E98" s="77">
        <f>_xll.qlYieldTSZeroRate($C$3,B98,"Act/365 (Fixed)","Continuous",,TRUE)</f>
        <v>2.9657961710326766E-2</v>
      </c>
      <c r="F98" s="77">
        <f>_xll.qlYieldTSZeroRate($C$3,B98,"Act/365 (Fixed)","Compounded",,TRUE)</f>
        <v>3.010213931680239E-2</v>
      </c>
      <c r="G98" s="77">
        <f>_xll.qlYieldTSForwardRate($C$4,B98,B98,"Act/365 (fixed)","Continuous",,TRUE)</f>
        <v>3.6757672521978597E-2</v>
      </c>
    </row>
    <row r="99" spans="2:7">
      <c r="B99" s="111">
        <f>_xll.qlCalendarAdvance("Null",B98,"1m")</f>
        <v>45962</v>
      </c>
      <c r="C99" s="112">
        <f t="shared" si="3"/>
        <v>6.0904109589041093</v>
      </c>
      <c r="D99" s="77">
        <f>_xll.qlYieldTSForwardRate($C$3,B99,B99,"Act/365 (fixed)","Continuous",,TRUE)</f>
        <v>3.7009045867336096E-2</v>
      </c>
      <c r="E99" s="77">
        <f>_xll.qlYieldTSZeroRate($C$3,B99,"Act/365 (Fixed)","Continuous",,TRUE)</f>
        <v>2.975873082969073E-2</v>
      </c>
      <c r="F99" s="77">
        <f>_xll.qlYieldTSZeroRate($C$3,B99,"Act/365 (Fixed)","Compounded",,TRUE)</f>
        <v>3.0205947032454494E-2</v>
      </c>
      <c r="G99" s="77">
        <f>_xll.qlYieldTSForwardRate($C$4,B99,B99,"Act/365 (fixed)","Continuous",,TRUE)</f>
        <v>3.7009347866865126E-2</v>
      </c>
    </row>
    <row r="100" spans="2:7">
      <c r="B100" s="111">
        <f>_xll.qlCalendarAdvance("Null",B99,"1m")</f>
        <v>45992</v>
      </c>
      <c r="C100" s="112">
        <f t="shared" si="3"/>
        <v>6.1726027397260275</v>
      </c>
      <c r="D100" s="77">
        <f>_xll.qlYieldTSForwardRate($C$3,B100,B100,"Act/365 (fixed)","Continuous",,TRUE)</f>
        <v>3.725090995955161E-2</v>
      </c>
      <c r="E100" s="77">
        <f>_xll.qlYieldTSZeroRate($C$3,B100,"Act/365 (Fixed)","Continuous",,TRUE)</f>
        <v>2.9856883254234728E-2</v>
      </c>
      <c r="F100" s="77">
        <f>_xll.qlYieldTSZeroRate($C$3,B100,"Act/365 (Fixed)","Compounded",,TRUE)</f>
        <v>3.0307069206547466E-2</v>
      </c>
      <c r="G100" s="77">
        <f>_xll.qlYieldTSForwardRate($C$4,B100,B100,"Act/365 (fixed)","Continuous",,TRUE)</f>
        <v>3.7252761806878643E-2</v>
      </c>
    </row>
    <row r="101" spans="2:7">
      <c r="B101" s="111">
        <f>_xll.qlCalendarAdvance("Null",B100,"1m")</f>
        <v>46023</v>
      </c>
      <c r="C101" s="112">
        <f t="shared" si="3"/>
        <v>6.2575342465753421</v>
      </c>
      <c r="D101" s="77">
        <f>_xll.qlYieldTSForwardRate($C$3,B101,B101,"Act/365 (fixed)","Continuous",,TRUE)</f>
        <v>3.7500836186617648E-2</v>
      </c>
      <c r="E101" s="77">
        <f>_xll.qlYieldTSZeroRate($C$3,B101,"Act/365 (Fixed)","Continuous",,TRUE)</f>
        <v>2.9958936093269377E-2</v>
      </c>
      <c r="F101" s="77">
        <f>_xll.qlYieldTSZeroRate($C$3,B101,"Act/365 (Fixed)","Compounded",,TRUE)</f>
        <v>3.0412220333431605E-2</v>
      </c>
      <c r="G101" s="77">
        <f>_xll.qlYieldTSForwardRate($C$4,B101,B101,"Act/365 (fixed)","Continuous",,TRUE)</f>
        <v>3.7504021528874443E-2</v>
      </c>
    </row>
    <row r="102" spans="2:7">
      <c r="B102" s="111">
        <f>_xll.qlCalendarAdvance("Null",B101,"1m")</f>
        <v>46054</v>
      </c>
      <c r="C102" s="112">
        <f t="shared" si="3"/>
        <v>6.3424657534246576</v>
      </c>
      <c r="D102" s="77">
        <f>_xll.qlYieldTSForwardRate($C$3,B102,B102,"Act/365 (fixed)","Continuous",,TRUE)</f>
        <v>3.7750762411878247E-2</v>
      </c>
      <c r="E102" s="77">
        <f>_xll.qlYieldTSZeroRate($C$3,B102,"Act/365 (Fixed)","Continuous",,TRUE)</f>
        <v>3.0061602512013976E-2</v>
      </c>
      <c r="F102" s="77">
        <f>_xll.qlYieldTSZeroRate($C$3,B102,"Act/365 (Fixed)","Compounded",,TRUE)</f>
        <v>3.0518014496584867E-2</v>
      </c>
      <c r="G102" s="77">
        <f>_xll.qlYieldTSForwardRate($C$4,B102,B102,"Act/365 (fixed)","Continuous",,TRUE)</f>
        <v>3.7754886446299221E-2</v>
      </c>
    </row>
    <row r="103" spans="2:7">
      <c r="B103" s="111">
        <f>_xll.qlCalendarAdvance("Null",B102,"1m")</f>
        <v>46082</v>
      </c>
      <c r="C103" s="112">
        <f t="shared" si="3"/>
        <v>6.419178082191781</v>
      </c>
      <c r="D103" s="77">
        <f>_xll.qlYieldTSForwardRate($C$3,B103,B103,"Act/365 (fixed)","Continuous",,TRUE)</f>
        <v>3.7976502229964904E-2</v>
      </c>
      <c r="E103" s="77">
        <f>_xll.qlYieldTSZeroRate($C$3,B103,"Act/365 (Fixed)","Continuous",,TRUE)</f>
        <v>3.0154840597668826E-2</v>
      </c>
      <c r="F103" s="77">
        <f>_xll.qlYieldTSZeroRate($C$3,B103,"Act/365 (Fixed)","Compounded",,TRUE)</f>
        <v>3.0614102502950713E-2</v>
      </c>
      <c r="G103" s="77">
        <f>_xll.qlYieldTSForwardRate($C$4,B103,B103,"Act/365 (fixed)","Continuous",,TRUE)</f>
        <v>3.7981031864970746E-2</v>
      </c>
    </row>
    <row r="104" spans="2:7">
      <c r="B104" s="111">
        <f>_xll.qlCalendarAdvance("Null",B103,"1m")</f>
        <v>46113</v>
      </c>
      <c r="C104" s="112">
        <f t="shared" si="3"/>
        <v>6.5041095890410956</v>
      </c>
      <c r="D104" s="77">
        <f>_xll.qlYieldTSForwardRate($C$3,B104,B104,"Act/365 (fixed)","Continuous",,TRUE)</f>
        <v>3.8226428458880427E-2</v>
      </c>
      <c r="E104" s="77">
        <f>_xll.qlYieldTSZeroRate($C$3,B104,"Act/365 (Fixed)","Continuous",,TRUE)</f>
        <v>3.0258608654607628E-2</v>
      </c>
      <c r="F104" s="77">
        <f>_xll.qlYieldTSZeroRate($C$3,B104,"Act/365 (Fixed)","Compounded",,TRUE)</f>
        <v>3.072105287474125E-2</v>
      </c>
      <c r="G104" s="77">
        <f>_xll.qlYieldTSForwardRate($C$4,B104,B104,"Act/365 (fixed)","Continuous",,TRUE)</f>
        <v>3.8230803582404993E-2</v>
      </c>
    </row>
    <row r="105" spans="2:7">
      <c r="B105" s="111">
        <f>_xll.qlCalendarAdvance("Null",B104,"1m")</f>
        <v>46143</v>
      </c>
      <c r="C105" s="112">
        <f t="shared" si="3"/>
        <v>6.5863013698630137</v>
      </c>
      <c r="D105" s="77">
        <f>_xll.qlYieldTSForwardRate($C$3,B105,B105,"Act/365 (fixed)","Continuous",,TRUE)</f>
        <v>3.8468292548297083E-2</v>
      </c>
      <c r="E105" s="77">
        <f>_xll.qlYieldTSZeroRate($C$3,B105,"Act/365 (Fixed)","Continuous",,TRUE)</f>
        <v>3.0359549817458233E-2</v>
      </c>
      <c r="F105" s="77">
        <f>_xll.qlYieldTSZeroRate($C$3,B105,"Act/365 (Fixed)","Compounded",,TRUE)</f>
        <v>3.0825100307639186E-2</v>
      </c>
      <c r="G105" s="77">
        <f>_xll.qlYieldTSForwardRate($C$4,B105,B105,"Act/365 (fixed)","Continuous",,TRUE)</f>
        <v>3.8471801521232772E-2</v>
      </c>
    </row>
    <row r="106" spans="2:7">
      <c r="B106" s="111">
        <f>_xll.qlCalendarAdvance("Null",B105,"1m")</f>
        <v>46174</v>
      </c>
      <c r="C106" s="112">
        <f t="shared" si="3"/>
        <v>6.6712328767123283</v>
      </c>
      <c r="D106" s="77">
        <f>_xll.qlYieldTSForwardRate($C$3,B106,B106,"Act/365 (fixed)","Continuous",,TRUE)</f>
        <v>3.87182187782441E-2</v>
      </c>
      <c r="E106" s="77">
        <f>_xll.qlYieldTSZeroRate($C$3,B106,"Act/365 (Fixed)","Continuous",,TRUE)</f>
        <v>3.0464373177306034E-2</v>
      </c>
      <c r="F106" s="77">
        <f>_xll.qlYieldTSZeroRate($C$3,B106,"Act/365 (Fixed)","Compounded",,TRUE)</f>
        <v>3.0933160521587233E-2</v>
      </c>
      <c r="G106" s="77">
        <f>_xll.qlYieldTSForwardRate($C$4,B106,B106,"Act/365 (fixed)","Continuous",,TRUE)</f>
        <v>3.871997179362844E-2</v>
      </c>
    </row>
    <row r="107" spans="2:7">
      <c r="B107" s="111">
        <f>_xll.qlCalendarAdvance("Null",B106,"1m")</f>
        <v>46204</v>
      </c>
      <c r="C107" s="112">
        <f t="shared" si="3"/>
        <v>6.7534246575342465</v>
      </c>
      <c r="D107" s="77">
        <f>_xll.qlYieldTSForwardRate($C$3,B107,B107,"Act/365 (fixed)","Continuous",,TRUE)</f>
        <v>3.8960082869088732E-2</v>
      </c>
      <c r="E107" s="77">
        <f>_xll.qlYieldTSZeroRate($C$3,B107,"Act/365 (Fixed)","Continuous",,TRUE)</f>
        <v>3.0566297448853145E-2</v>
      </c>
      <c r="F107" s="77">
        <f>_xll.qlYieldTSZeroRate($C$3,B107,"Act/365 (Fixed)","Compounded",,TRUE)</f>
        <v>3.1038242988123299E-2</v>
      </c>
      <c r="G107" s="77">
        <f>_xll.qlYieldTSForwardRate($C$4,B107,B107,"Act/365 (fixed)","Continuous",,TRUE)</f>
        <v>3.8959188150500326E-2</v>
      </c>
    </row>
    <row r="108" spans="2:7">
      <c r="B108" s="111">
        <f>_xll.qlCalendarAdvance("Null",B107,"1m")</f>
        <v>46235</v>
      </c>
      <c r="C108" s="112">
        <f t="shared" si="3"/>
        <v>6.838356164383562</v>
      </c>
      <c r="D108" s="77">
        <f>_xll.qlYieldTSForwardRate($C$3,B108,B108,"Act/365 (fixed)","Continuous",,TRUE)</f>
        <v>3.9210009095626372E-2</v>
      </c>
      <c r="E108" s="77">
        <f>_xll.qlYieldTSZeroRate($C$3,B108,"Act/365 (Fixed)","Continuous",,TRUE)</f>
        <v>3.0672099213487045E-2</v>
      </c>
      <c r="F108" s="77">
        <f>_xll.qlYieldTSZeroRate($C$3,B108,"Act/365 (Fixed)","Compounded",,TRUE)</f>
        <v>3.1147334424567852E-2</v>
      </c>
      <c r="G108" s="77">
        <f>_xll.qlYieldTSForwardRate($C$4,B108,B108,"Act/365 (fixed)","Continuous",,TRUE)</f>
        <v>3.9205277936504315E-2</v>
      </c>
    </row>
    <row r="109" spans="2:7">
      <c r="B109" s="111">
        <f>_xll.qlCalendarAdvance("Null",B108,"1m")</f>
        <v>46266</v>
      </c>
      <c r="C109" s="112">
        <f t="shared" si="3"/>
        <v>6.9232876712328766</v>
      </c>
      <c r="D109" s="77">
        <f>_xll.qlYieldTSForwardRate($C$3,B109,B109,"Act/365 (fixed)","Continuous",,TRUE)</f>
        <v>3.9459935322579014E-2</v>
      </c>
      <c r="E109" s="77">
        <f>_xll.qlYieldTSZeroRate($C$3,B109,"Act/365 (Fixed)","Continuous",,TRUE)</f>
        <v>3.0778371102237044E-2</v>
      </c>
      <c r="F109" s="77">
        <f>_xll.qlYieldTSZeroRate($C$3,B109,"Act/365 (Fixed)","Compounded",,TRUE)</f>
        <v>3.1256922222324679E-2</v>
      </c>
      <c r="G109" s="77">
        <f>_xll.qlYieldTSForwardRate($C$4,B109,B109,"Act/365 (fixed)","Continuous",,TRUE)</f>
        <v>3.945012684283658E-2</v>
      </c>
    </row>
    <row r="110" spans="2:7">
      <c r="B110" s="111">
        <f>_xll.qlCalendarAdvance("Null",B109,"1m")</f>
        <v>46296</v>
      </c>
      <c r="C110" s="112">
        <f t="shared" si="3"/>
        <v>7.0054794520547947</v>
      </c>
      <c r="D110" s="77">
        <f>_xll.qlYieldTSForwardRate($C$3,B110,B110,"Act/365 (fixed)","Continuous",,TRUE)</f>
        <v>3.970179686862662E-2</v>
      </c>
      <c r="E110" s="77">
        <f>_xll.qlYieldTSZeroRate($C$3,B110,"Act/365 (Fixed)","Continuous",,TRUE)</f>
        <v>3.0881646381075056E-2</v>
      </c>
      <c r="F110" s="77">
        <f>_xll.qlYieldTSZeroRate($C$3,B110,"Act/365 (Fixed)","Compounded",,TRUE)</f>
        <v>3.1363431068291536E-2</v>
      </c>
      <c r="G110" s="77">
        <f>_xll.qlYieldTSForwardRate($C$4,B110,B110,"Act/365 (fixed)","Continuous",,TRUE)</f>
        <v>3.9685779382697246E-2</v>
      </c>
    </row>
    <row r="111" spans="2:7">
      <c r="B111" s="111">
        <f>_xll.qlCalendarAdvance("Null",B110,"1m")</f>
        <v>46327</v>
      </c>
      <c r="C111" s="112">
        <f t="shared" si="3"/>
        <v>7.0904109589041093</v>
      </c>
      <c r="D111" s="77">
        <f>_xll.qlYieldTSForwardRate($C$3,B111,B111,"Act/365 (fixed)","Continuous",,TRUE)</f>
        <v>3.9934438241049253E-2</v>
      </c>
      <c r="E111" s="77">
        <f>_xll.qlYieldTSZeroRate($C$3,B111,"Act/365 (Fixed)","Continuous",,TRUE)</f>
        <v>3.0988690680078604E-2</v>
      </c>
      <c r="F111" s="77">
        <f>_xll.qlYieldTSZeroRate($C$3,B111,"Act/365 (Fixed)","Compounded",,TRUE)</f>
        <v>3.1473838552928513E-2</v>
      </c>
      <c r="G111" s="77">
        <f>_xll.qlYieldTSForwardRate($C$4,B111,B111,"Act/365 (fixed)","Continuous",,TRUE)</f>
        <v>3.9927803357144277E-2</v>
      </c>
    </row>
    <row r="112" spans="2:7">
      <c r="B112" s="111">
        <f>_xll.qlCalendarAdvance("Null",B111,"1m")</f>
        <v>46357</v>
      </c>
      <c r="C112" s="112">
        <f t="shared" si="3"/>
        <v>7.1726027397260275</v>
      </c>
      <c r="D112" s="77">
        <f>_xll.qlYieldTSForwardRate($C$3,B112,B112,"Act/365 (fixed)","Continuous",,TRUE)</f>
        <v>4.0159572587673692E-2</v>
      </c>
      <c r="E112" s="77">
        <f>_xll.qlYieldTSZeroRate($C$3,B112,"Act/365 (Fixed)","Continuous",,TRUE)</f>
        <v>3.1092491078094087E-2</v>
      </c>
      <c r="F112" s="77">
        <f>_xll.qlYieldTSZeroRate($C$3,B112,"Act/365 (Fixed)","Compounded",,TRUE)</f>
        <v>3.1580911504924369E-2</v>
      </c>
      <c r="G112" s="77">
        <f>_xll.qlYieldTSForwardRate($C$4,B112,B112,"Act/365 (fixed)","Continuous",,TRUE)</f>
        <v>4.0160447180112538E-2</v>
      </c>
    </row>
    <row r="113" spans="2:7">
      <c r="B113" s="111">
        <f>_xll.qlCalendarAdvance("Null",B112,"1m")</f>
        <v>46388</v>
      </c>
      <c r="C113" s="112">
        <f t="shared" si="3"/>
        <v>7.2575342465753421</v>
      </c>
      <c r="D113" s="77">
        <f>_xll.qlYieldTSForwardRate($C$3,B113,B113,"Act/365 (fixed)","Continuous",,TRUE)</f>
        <v>4.0392211413707427E-2</v>
      </c>
      <c r="E113" s="77">
        <f>_xll.qlYieldTSZeroRate($C$3,B113,"Act/365 (Fixed)","Continuous",,TRUE)</f>
        <v>3.1199960096057626E-2</v>
      </c>
      <c r="F113" s="77">
        <f>_xll.qlYieldTSZeroRate($C$3,B113,"Act/365 (Fixed)","Compounded",,TRUE)</f>
        <v>3.1691780449815354E-2</v>
      </c>
      <c r="G113" s="77">
        <f>_xll.qlYieldTSForwardRate($C$4,B113,B113,"Act/365 (fixed)","Continuous",,TRUE)</f>
        <v>4.0399097983847172E-2</v>
      </c>
    </row>
    <row r="114" spans="2:7">
      <c r="B114" s="111">
        <f>_xll.qlCalendarAdvance("Null",B113,"1m")</f>
        <v>46419</v>
      </c>
      <c r="C114" s="112">
        <f t="shared" si="3"/>
        <v>7.3424657534246576</v>
      </c>
      <c r="D114" s="77">
        <f>_xll.qlYieldTSForwardRate($C$3,B114,B114,"Act/365 (fixed)","Continuous",,TRUE)</f>
        <v>4.0624850238769952E-2</v>
      </c>
      <c r="E114" s="77">
        <f>_xll.qlYieldTSZeroRate($C$3,B114,"Act/365 (Fixed)","Continuous",,TRUE)</f>
        <v>3.1307633861963377E-2</v>
      </c>
      <c r="F114" s="77">
        <f>_xll.qlYieldTSZeroRate($C$3,B114,"Act/365 (Fixed)","Compounded",,TRUE)</f>
        <v>3.1802872569816509E-2</v>
      </c>
      <c r="G114" s="77">
        <f>_xll.qlYieldTSForwardRate($C$4,B114,B114,"Act/365 (fixed)","Continuous",,TRUE)</f>
        <v>4.0635847863527919E-2</v>
      </c>
    </row>
    <row r="115" spans="2:7">
      <c r="B115" s="111">
        <f>_xll.qlCalendarAdvance("Null",B114,"1m")</f>
        <v>46447</v>
      </c>
      <c r="C115" s="112">
        <f t="shared" si="3"/>
        <v>7.419178082191781</v>
      </c>
      <c r="D115" s="77">
        <f>_xll.qlYieldTSForwardRate($C$3,B115,B115,"Act/365 (fixed)","Continuous",,TRUE)</f>
        <v>4.083497562822181E-2</v>
      </c>
      <c r="E115" s="77">
        <f>_xll.qlYieldTSZeroRate($C$3,B115,"Act/365 (Fixed)","Continuous",,TRUE)</f>
        <v>3.1405057722386984E-2</v>
      </c>
      <c r="F115" s="77">
        <f>_xll.qlYieldTSZeroRate($C$3,B115,"Act/365 (Fixed)","Compounded",,TRUE)</f>
        <v>3.1903399685648814E-2</v>
      </c>
      <c r="G115" s="77">
        <f>_xll.qlYieldTSForwardRate($C$4,B115,B115,"Act/365 (fixed)","Continuous",,TRUE)</f>
        <v>4.084794792732236E-2</v>
      </c>
    </row>
    <row r="116" spans="2:7">
      <c r="B116" s="111">
        <f>_xll.qlCalendarAdvance("Null",B115,"1m")</f>
        <v>46478</v>
      </c>
      <c r="C116" s="112">
        <f t="shared" si="3"/>
        <v>7.5041095890410956</v>
      </c>
      <c r="D116" s="77">
        <f>_xll.qlYieldTSForwardRate($C$3,B116,B116,"Act/365 (fixed)","Continuous",,TRUE)</f>
        <v>4.1067614454086111E-2</v>
      </c>
      <c r="E116" s="77">
        <f>_xll.qlYieldTSZeroRate($C$3,B116,"Act/365 (Fixed)","Continuous",,TRUE)</f>
        <v>3.1513102029408338E-2</v>
      </c>
      <c r="F116" s="77">
        <f>_xll.qlYieldTSZeroRate($C$3,B116,"Act/365 (Fixed)","Compounded",,TRUE)</f>
        <v>3.2014896996597209E-2</v>
      </c>
      <c r="G116" s="77">
        <f>_xll.qlYieldTSForwardRate($C$4,B116,B116,"Act/365 (fixed)","Continuous",,TRUE)</f>
        <v>4.1080732322509403E-2</v>
      </c>
    </row>
    <row r="117" spans="2:7">
      <c r="B117" s="111">
        <f>_xll.qlCalendarAdvance("Null",B116,"1m")</f>
        <v>46508</v>
      </c>
      <c r="C117" s="112">
        <f t="shared" si="3"/>
        <v>7.5863013698630137</v>
      </c>
      <c r="D117" s="77">
        <f>_xll.qlYieldTSForwardRate($C$3,B117,B117,"Act/365 (fixed)","Continuous",,TRUE)</f>
        <v>4.1292748804064534E-2</v>
      </c>
      <c r="E117" s="77">
        <f>_xll.qlYieldTSZeroRate($C$3,B117,"Act/365 (Fixed)","Continuous",,TRUE)</f>
        <v>3.1617837453026862E-2</v>
      </c>
      <c r="F117" s="77">
        <f>_xll.qlYieldTSZeroRate($C$3,B117,"Act/365 (Fixed)","Compounded",,TRUE)</f>
        <v>3.2122991174560633E-2</v>
      </c>
      <c r="G117" s="77">
        <f>_xll.qlYieldTSForwardRate($C$4,B117,B117,"Act/365 (fixed)","Continuous",,TRUE)</f>
        <v>4.1303851110584586E-2</v>
      </c>
    </row>
    <row r="118" spans="2:7">
      <c r="B118" s="111">
        <f>_xll.qlCalendarAdvance("Null",B117,"1m")</f>
        <v>46539</v>
      </c>
      <c r="C118" s="112">
        <f t="shared" si="3"/>
        <v>7.6712328767123283</v>
      </c>
      <c r="D118" s="77">
        <f>_xll.qlYieldTSForwardRate($C$3,B118,B118,"Act/365 (fixed)","Continuous",,TRUE)</f>
        <v>4.1525387628160992E-2</v>
      </c>
      <c r="E118" s="77">
        <f>_xll.qlYieldTSZeroRate($C$3,B118,"Act/365 (Fixed)","Continuous",,TRUE)</f>
        <v>3.1726240365045948E-2</v>
      </c>
      <c r="F118" s="77">
        <f>_xll.qlYieldTSZeroRate($C$3,B118,"Act/365 (Fixed)","Compounded",,TRUE)</f>
        <v>3.2234882376922291E-2</v>
      </c>
      <c r="G118" s="77">
        <f>_xll.qlYieldTSForwardRate($C$4,B118,B118,"Act/365 (fixed)","Continuous",,TRUE)</f>
        <v>4.1532056425958107E-2</v>
      </c>
    </row>
    <row r="119" spans="2:7">
      <c r="B119" s="111">
        <f>_xll.qlCalendarAdvance("Null",B118,"1m")</f>
        <v>46569</v>
      </c>
      <c r="C119" s="112">
        <f t="shared" si="3"/>
        <v>7.7534246575342465</v>
      </c>
      <c r="D119" s="77">
        <f>_xll.qlYieldTSForwardRate($C$3,B119,B119,"Act/365 (fixed)","Continuous",,TRUE)</f>
        <v>4.1750521976715117E-2</v>
      </c>
      <c r="E119" s="77">
        <f>_xll.qlYieldTSZeroRate($C$3,B119,"Act/365 (Fixed)","Continuous",,TRUE)</f>
        <v>3.1831311542830094E-2</v>
      </c>
      <c r="F119" s="77">
        <f>_xll.qlYieldTSZeroRate($C$3,B119,"Act/365 (Fixed)","Compounded",,TRUE)</f>
        <v>3.2343346209875001E-2</v>
      </c>
      <c r="G119" s="77">
        <f>_xll.qlYieldTSForwardRate($C$4,B119,B119,"Act/365 (fixed)","Continuous",,TRUE)</f>
        <v>4.1750508130071369E-2</v>
      </c>
    </row>
    <row r="120" spans="2:7">
      <c r="B120" s="111">
        <f>_xll.qlCalendarAdvance("Null",B119,"1m")</f>
        <v>46600</v>
      </c>
      <c r="C120" s="112">
        <f t="shared" si="3"/>
        <v>7.838356164383562</v>
      </c>
      <c r="D120" s="77">
        <f>_xll.qlYieldTSForwardRate($C$3,B120,B120,"Act/365 (fixed)","Continuous",,TRUE)</f>
        <v>4.1983160801264185E-2</v>
      </c>
      <c r="E120" s="77">
        <f>_xll.qlYieldTSZeroRate($C$3,B120,"Act/365 (Fixed)","Continuous",,TRUE)</f>
        <v>3.1940050244417428E-2</v>
      </c>
      <c r="F120" s="77">
        <f>_xll.qlYieldTSZeroRate($C$3,B120,"Act/365 (Fixed)","Compounded",,TRUE)</f>
        <v>3.2455607988423729E-2</v>
      </c>
      <c r="G120" s="77">
        <f>_xll.qlYieldTSForwardRate($C$4,B120,B120,"Act/365 (fixed)","Continuous",,TRUE)</f>
        <v>4.197364721353735E-2</v>
      </c>
    </row>
    <row r="121" spans="2:7">
      <c r="B121" s="111">
        <f>_xll.qlCalendarAdvance("Null",B120,"1m")</f>
        <v>46631</v>
      </c>
      <c r="C121" s="112">
        <f t="shared" si="3"/>
        <v>7.9232876712328766</v>
      </c>
      <c r="D121" s="77">
        <f>_xll.qlYieldTSForwardRate($C$3,B121,B121,"Act/365 (fixed)","Continuous",,TRUE)</f>
        <v>4.2215799627062484E-2</v>
      </c>
      <c r="E121" s="77">
        <f>_xll.qlYieldTSZeroRate($C$3,B121,"Act/365 (Fixed)","Continuous",,TRUE)</f>
        <v>3.2048951464711685E-2</v>
      </c>
      <c r="F121" s="77">
        <f>_xll.qlYieldTSZeroRate($C$3,B121,"Act/365 (Fixed)","Compounded",,TRUE)</f>
        <v>3.2568049786446673E-2</v>
      </c>
      <c r="G121" s="77">
        <f>_xll.qlYieldTSForwardRate($C$4,B121,B121,"Act/365 (fixed)","Continuous",,TRUE)</f>
        <v>4.2194024961409851E-2</v>
      </c>
    </row>
    <row r="122" spans="2:7">
      <c r="B122" s="111">
        <f>_xll.qlCalendarAdvance("Null",B121,"1m")</f>
        <v>46661</v>
      </c>
      <c r="C122" s="112">
        <f t="shared" si="3"/>
        <v>8.0054794520547947</v>
      </c>
      <c r="D122" s="77">
        <f>_xll.qlYieldTSForwardRate($C$3,B122,B122,"Act/365 (fixed)","Continuous",,TRUE)</f>
        <v>4.2440931892846569E-2</v>
      </c>
      <c r="E122" s="77">
        <f>_xll.qlYieldTSZeroRate($C$3,B122,"Act/365 (Fixed)","Continuous",,TRUE)</f>
        <v>3.2154489609855688E-2</v>
      </c>
      <c r="F122" s="77">
        <f>_xll.qlYieldTSZeroRate($C$3,B122,"Act/365 (Fixed)","Compounded",,TRUE)</f>
        <v>3.2677030853884848E-2</v>
      </c>
      <c r="G122" s="77">
        <f>_xll.qlYieldTSForwardRate($C$4,B122,B122,"Act/365 (fixed)","Continuous",,TRUE)</f>
        <v>4.2404546084074075E-2</v>
      </c>
    </row>
    <row r="123" spans="2:7">
      <c r="B123" s="111">
        <f>_xll.qlCalendarAdvance("Null",B122,"1m")</f>
        <v>46692</v>
      </c>
      <c r="C123" s="112">
        <f t="shared" si="3"/>
        <v>8.0904109589041102</v>
      </c>
      <c r="D123" s="77">
        <f>_xll.qlYieldTSForwardRate($C$3,B123,B123,"Act/365 (fixed)","Continuous",,TRUE)</f>
        <v>4.2659425472302621E-2</v>
      </c>
      <c r="E123" s="77">
        <f>_xll.qlYieldTSZeroRate($C$3,B123,"Act/365 (Fixed)","Continuous",,TRUE)</f>
        <v>3.2263621473563653E-2</v>
      </c>
      <c r="F123" s="77">
        <f>_xll.qlYieldTSZeroRate($C$3,B123,"Act/365 (Fixed)","Compounded",,TRUE)</f>
        <v>3.2789734972563656E-2</v>
      </c>
      <c r="G123" s="77">
        <f>_xll.qlYieldTSForwardRate($C$4,B123,B123,"Act/365 (fixed)","Continuous",,TRUE)</f>
        <v>4.2621625506011444E-2</v>
      </c>
    </row>
    <row r="124" spans="2:7">
      <c r="B124" s="111">
        <f>_xll.qlCalendarAdvance("Null",B123,"1m")</f>
        <v>46722</v>
      </c>
      <c r="C124" s="112">
        <f t="shared" si="3"/>
        <v>8.1726027397260275</v>
      </c>
      <c r="D124" s="77">
        <f>_xll.qlYieldTSForwardRate($C$3,B124,B124,"Act/365 (fixed)","Continuous",,TRUE)</f>
        <v>4.2870868854584153E-2</v>
      </c>
      <c r="E124" s="77">
        <f>_xll.qlYieldTSZeroRate($C$3,B124,"Act/365 (Fixed)","Continuous",,TRUE)</f>
        <v>3.2369235208295752E-2</v>
      </c>
      <c r="F124" s="77">
        <f>_xll.qlYieldTSZeroRate($C$3,B124,"Act/365 (Fixed)","Compounded",,TRUE)</f>
        <v>3.2898817513872913E-2</v>
      </c>
      <c r="G124" s="77">
        <f>_xll.qlYieldTSForwardRate($C$4,B124,B124,"Act/365 (fixed)","Continuous",,TRUE)</f>
        <v>4.2833615473970944E-2</v>
      </c>
    </row>
    <row r="125" spans="2:7">
      <c r="B125" s="111">
        <f>_xll.qlCalendarAdvance("Null",B124,"1m")</f>
        <v>46753</v>
      </c>
      <c r="C125" s="112">
        <f t="shared" si="3"/>
        <v>8.257534246575343</v>
      </c>
      <c r="D125" s="77">
        <f>_xll.qlYieldTSForwardRate($C$3,B125,B125,"Act/365 (fixed)","Continuous",,TRUE)</f>
        <v>4.3089360352979132E-2</v>
      </c>
      <c r="E125" s="77">
        <f>_xll.qlYieldTSZeroRate($C$3,B125,"Act/365 (Fixed)","Continuous",,TRUE)</f>
        <v>3.2478371658614523E-2</v>
      </c>
      <c r="F125" s="77">
        <f>_xll.qlYieldTSZeroRate($C$3,B125,"Act/365 (Fixed)","Compounded",,TRUE)</f>
        <v>3.3011550575886117E-2</v>
      </c>
      <c r="G125" s="77">
        <f>_xll.qlYieldTSForwardRate($C$4,B125,B125,"Act/365 (fixed)","Continuous",,TRUE)</f>
        <v>4.3054730041418014E-2</v>
      </c>
    </row>
    <row r="126" spans="2:7">
      <c r="B126" s="111">
        <f>_xll.qlCalendarAdvance("Null",B125,"1m")</f>
        <v>46784</v>
      </c>
      <c r="C126" s="112">
        <f t="shared" si="3"/>
        <v>8.3424657534246567</v>
      </c>
      <c r="D126" s="77">
        <f>_xll.qlYieldTSForwardRate($C$3,B126,B126,"Act/365 (fixed)","Continuous",,TRUE)</f>
        <v>4.3307851846600257E-2</v>
      </c>
      <c r="E126" s="77">
        <f>_xll.qlYieldTSZeroRate($C$3,B126,"Act/365 (Fixed)","Continuous",,TRUE)</f>
        <v>3.2587510334374938E-2</v>
      </c>
      <c r="F126" s="77">
        <f>_xll.qlYieldTSZeroRate($C$3,B126,"Act/365 (Fixed)","Compounded",,TRUE)</f>
        <v>3.3124298241014705E-2</v>
      </c>
      <c r="G126" s="77">
        <f>_xll.qlYieldTSForwardRate($C$4,B126,B126,"Act/365 (fixed)","Continuous",,TRUE)</f>
        <v>4.3278019350495141E-2</v>
      </c>
    </row>
    <row r="127" spans="2:7">
      <c r="B127" s="111">
        <f>_xll.qlCalendarAdvance("Null",B126,"1m")</f>
        <v>46813</v>
      </c>
      <c r="C127" s="112">
        <f t="shared" si="3"/>
        <v>8.4219178082191775</v>
      </c>
      <c r="D127" s="77">
        <f>_xll.qlYieldTSForwardRate($C$3,B127,B127,"Act/365 (fixed)","Continuous",,TRUE)</f>
        <v>4.3512247119314777E-2</v>
      </c>
      <c r="E127" s="77">
        <f>_xll.qlYieldTSZeroRate($C$3,B127,"Act/365 (Fixed)","Continuous",,TRUE)</f>
        <v>3.268960976031382E-2</v>
      </c>
      <c r="F127" s="77">
        <f>_xll.qlYieldTSZeroRate($C$3,B127,"Act/365 (Fixed)","Compounded",,TRUE)</f>
        <v>3.3229785023767056E-2</v>
      </c>
      <c r="G127" s="77">
        <f>_xll.qlYieldTSForwardRate($C$4,B127,B127,"Act/365 (fixed)","Continuous",,TRUE)</f>
        <v>4.3488945791002515E-2</v>
      </c>
    </row>
    <row r="128" spans="2:7">
      <c r="B128" s="111">
        <f>_xll.qlCalendarAdvance("Null",B127,"1m")</f>
        <v>46844</v>
      </c>
      <c r="C128" s="112">
        <f t="shared" si="3"/>
        <v>8.506849315068493</v>
      </c>
      <c r="D128" s="77">
        <f>_xll.qlYieldTSForwardRate($C$3,B128,B128,"Act/365 (fixed)","Continuous",,TRUE)</f>
        <v>4.3730738617018802E-2</v>
      </c>
      <c r="E128" s="77">
        <f>_xll.qlYieldTSZeroRate($C$3,B128,"Act/365 (Fixed)","Continuous",,TRUE)</f>
        <v>3.2798752554621113E-2</v>
      </c>
      <c r="F128" s="77">
        <f>_xll.qlYieldTSZeroRate($C$3,B128,"Act/365 (Fixed)","Compounded",,TRUE)</f>
        <v>3.3342560763883755E-2</v>
      </c>
      <c r="G128" s="77">
        <f>_xll.qlYieldTSForwardRate($C$4,B128,B128,"Act/365 (fixed)","Continuous",,TRUE)</f>
        <v>4.3716681853887107E-2</v>
      </c>
    </row>
    <row r="129" spans="2:7">
      <c r="B129" s="111">
        <f>_xll.qlCalendarAdvance("Null",B128,"1m")</f>
        <v>46874</v>
      </c>
      <c r="C129" s="112">
        <f t="shared" si="3"/>
        <v>8.5890410958904102</v>
      </c>
      <c r="D129" s="77">
        <f>_xll.qlYieldTSForwardRate($C$3,B129,B129,"Act/365 (fixed)","Continuous",,TRUE)</f>
        <v>4.3942181998852491E-2</v>
      </c>
      <c r="E129" s="77">
        <f>_xll.qlYieldTSZeroRate($C$3,B129,"Act/365 (Fixed)","Continuous",,TRUE)</f>
        <v>3.290437655225719E-2</v>
      </c>
      <c r="F129" s="77">
        <f>_xll.qlYieldTSZeroRate($C$3,B129,"Act/365 (Fixed)","Compounded",,TRUE)</f>
        <v>3.345171230048849E-2</v>
      </c>
      <c r="G129" s="77">
        <f>_xll.qlYieldTSForwardRate($C$4,B129,B129,"Act/365 (fixed)","Continuous",,TRUE)</f>
        <v>4.3939375123130828E-2</v>
      </c>
    </row>
    <row r="130" spans="2:7">
      <c r="B130" s="111">
        <f>_xll.qlCalendarAdvance("Null",B129,"1m")</f>
        <v>46905</v>
      </c>
      <c r="C130" s="112">
        <f t="shared" si="3"/>
        <v>8.6739726027397257</v>
      </c>
      <c r="D130" s="77">
        <f>_xll.qlYieldTSForwardRate($C$3,B130,B130,"Act/365 (fixed)","Continuous",,TRUE)</f>
        <v>4.4160673493824111E-2</v>
      </c>
      <c r="E130" s="77">
        <f>_xll.qlYieldTSZeroRate($C$3,B130,"Act/365 (Fixed)","Continuous",,TRUE)</f>
        <v>3.3013523294852486E-2</v>
      </c>
      <c r="F130" s="77">
        <f>_xll.qlYieldTSZeroRate($C$3,B130,"Act/365 (Fixed)","Compounded",,TRUE)</f>
        <v>3.3564516344500639E-2</v>
      </c>
      <c r="G130" s="77">
        <f>_xll.qlYieldTSForwardRate($C$4,B130,B130,"Act/365 (fixed)","Continuous",,TRUE)</f>
        <v>4.4171953212236208E-2</v>
      </c>
    </row>
    <row r="131" spans="2:7">
      <c r="B131" s="111">
        <f>_xll.qlCalendarAdvance("Null",B130,"1m")</f>
        <v>46935</v>
      </c>
      <c r="C131" s="112">
        <f t="shared" si="3"/>
        <v>8.7561643835616429</v>
      </c>
      <c r="D131" s="77">
        <f>_xll.qlYieldTSForwardRate($C$3,B131,B131,"Act/365 (fixed)","Continuous",,TRUE)</f>
        <v>4.4372116879889727E-2</v>
      </c>
      <c r="E131" s="77">
        <f>_xll.qlYieldTSZeroRate($C$3,B131,"Act/365 (Fixed)","Continuous",,TRUE)</f>
        <v>3.3119151003483546E-2</v>
      </c>
      <c r="F131" s="77">
        <f>_xll.qlYieldTSZeroRate($C$3,B131,"Act/365 (Fixed)","Compounded",,TRUE)</f>
        <v>3.367369516213703E-2</v>
      </c>
      <c r="G131" s="77">
        <f>_xll.qlYieldTSForwardRate($C$4,B131,B131,"Act/365 (fixed)","Continuous",,TRUE)</f>
        <v>4.4399489000646677E-2</v>
      </c>
    </row>
    <row r="132" spans="2:7">
      <c r="B132" s="111">
        <f>_xll.qlCalendarAdvance("Null",B131,"1m")</f>
        <v>46966</v>
      </c>
      <c r="C132" s="112">
        <f t="shared" si="3"/>
        <v>8.8410958904109584</v>
      </c>
      <c r="D132" s="77">
        <f>_xll.qlYieldTSForwardRate($C$3,B132,B132,"Act/365 (fixed)","Continuous",,TRUE)</f>
        <v>4.4590608374349389E-2</v>
      </c>
      <c r="E132" s="77">
        <f>_xll.qlYieldTSZeroRate($C$3,B132,"Act/365 (Fixed)","Continuous",,TRUE)</f>
        <v>3.3228301471519332E-2</v>
      </c>
      <c r="F132" s="77">
        <f>_xll.qlYieldTSZeroRate($C$3,B132,"Act/365 (Fixed)","Compounded",,TRUE)</f>
        <v>3.3786527287487989E-2</v>
      </c>
      <c r="G132" s="77">
        <f>_xll.qlYieldTSForwardRate($C$4,B132,B132,"Act/365 (fixed)","Continuous",,TRUE)</f>
        <v>4.4637232930388092E-2</v>
      </c>
    </row>
    <row r="133" spans="2:7">
      <c r="B133" s="111">
        <f>_xll.qlCalendarAdvance("Null",B132,"1m")</f>
        <v>46997</v>
      </c>
      <c r="C133" s="112">
        <f t="shared" si="3"/>
        <v>8.9260273972602739</v>
      </c>
      <c r="D133" s="77">
        <f>_xll.qlYieldTSForwardRate($C$3,B133,B133,"Act/365 (fixed)","Continuous",,TRUE)</f>
        <v>4.4809099872916931E-2</v>
      </c>
      <c r="E133" s="77">
        <f>_xll.qlYieldTSZeroRate($C$3,B133,"Act/365 (Fixed)","Continuous",,TRUE)</f>
        <v>3.333745375274462E-2</v>
      </c>
      <c r="F133" s="77">
        <f>_xll.qlYieldTSZeroRate($C$3,B133,"Act/365 (Fixed)","Compounded",,TRUE)</f>
        <v>3.3899373603845762E-2</v>
      </c>
      <c r="G133" s="77">
        <f>_xll.qlYieldTSForwardRate($C$4,B133,B133,"Act/365 (fixed)","Continuous",,TRUE)</f>
        <v>4.4877726225082626E-2</v>
      </c>
    </row>
    <row r="134" spans="2:7">
      <c r="B134" s="111">
        <f>_xll.qlCalendarAdvance("Null",B133,"1m")</f>
        <v>47027</v>
      </c>
      <c r="C134" s="112">
        <f t="shared" si="3"/>
        <v>9.0082191780821912</v>
      </c>
      <c r="D134" s="77">
        <f>_xll.qlYieldTSForwardRate($C$3,B134,B134,"Act/365 (fixed)","Continuous",,TRUE)</f>
        <v>4.5020541513331874E-2</v>
      </c>
      <c r="E134" s="77">
        <f>_xll.qlYieldTSZeroRate($C$3,B134,"Act/365 (Fixed)","Continuous",,TRUE)</f>
        <v>3.3443086670732446E-2</v>
      </c>
      <c r="F134" s="77">
        <f>_xll.qlYieldTSZeroRate($C$3,B134,"Act/365 (Fixed)","Compounded",,TRUE)</f>
        <v>3.4008593180075097E-2</v>
      </c>
      <c r="G134" s="77">
        <f>_xll.qlYieldTSForwardRate($C$4,B134,B134,"Act/365 (fixed)","Continuous",,TRUE)</f>
        <v>4.5113158196592167E-2</v>
      </c>
    </row>
    <row r="135" spans="2:7">
      <c r="B135" s="111">
        <f>_xll.qlCalendarAdvance("Null",B134,"1m")</f>
        <v>47058</v>
      </c>
      <c r="C135" s="112">
        <f t="shared" si="3"/>
        <v>9.0931506849315067</v>
      </c>
      <c r="D135" s="77">
        <f>_xll.qlYieldTSForwardRate($C$3,B135,B135,"Act/365 (fixed)","Continuous",,TRUE)</f>
        <v>4.5227191048696026E-2</v>
      </c>
      <c r="E135" s="77">
        <f>_xll.qlYieldTSZeroRate($C$3,B135,"Act/365 (Fixed)","Continuous",,TRUE)</f>
        <v>3.3552187060900358E-2</v>
      </c>
      <c r="F135" s="77">
        <f>_xll.qlYieldTSZeroRate($C$3,B135,"Act/365 (Fixed)","Compounded",,TRUE)</f>
        <v>3.4121410075099723E-2</v>
      </c>
      <c r="G135" s="77">
        <f>_xll.qlYieldTSForwardRate($C$4,B135,B135,"Act/365 (fixed)","Continuous",,TRUE)</f>
        <v>4.5351623535677503E-2</v>
      </c>
    </row>
    <row r="136" spans="2:7">
      <c r="B136" s="111">
        <f>_xll.qlCalendarAdvance("Null",B135,"1m")</f>
        <v>47088</v>
      </c>
      <c r="C136" s="112">
        <f t="shared" si="3"/>
        <v>9.1753424657534239</v>
      </c>
      <c r="D136" s="77">
        <f>_xll.qlYieldTSForwardRate($C$3,B136,B136,"Act/365 (fixed)","Continuous",,TRUE)</f>
        <v>4.5427172788231725E-2</v>
      </c>
      <c r="E136" s="77">
        <f>_xll.qlYieldTSZeroRate($C$3,B136,"Act/365 (Fixed)","Continuous",,TRUE)</f>
        <v>3.3657666262381966E-2</v>
      </c>
      <c r="F136" s="77">
        <f>_xll.qlYieldTSZeroRate($C$3,B136,"Act/365 (Fixed)","Compounded",,TRUE)</f>
        <v>3.4230494128617783E-2</v>
      </c>
      <c r="G136" s="77">
        <f>_xll.qlYieldTSForwardRate($C$4,B136,B136,"Act/365 (fixed)","Continuous",,TRUE)</f>
        <v>4.5570263380485095E-2</v>
      </c>
    </row>
    <row r="137" spans="2:7">
      <c r="B137" s="111">
        <f>_xll.qlCalendarAdvance("Null",B136,"1m")</f>
        <v>47119</v>
      </c>
      <c r="C137" s="112">
        <f t="shared" si="3"/>
        <v>9.2602739726027394</v>
      </c>
      <c r="D137" s="77">
        <f>_xll.qlYieldTSForwardRate($C$3,B137,B137,"Act/365 (fixed)","Continuous",,TRUE)</f>
        <v>4.563382058325284E-2</v>
      </c>
      <c r="E137" s="77">
        <f>_xll.qlYieldTSZeroRate($C$3,B137,"Act/365 (Fixed)","Continuous",,TRUE)</f>
        <v>3.3766559085791195E-2</v>
      </c>
      <c r="F137" s="77">
        <f>_xll.qlYieldTSZeroRate($C$3,B137,"Act/365 (Fixed)","Compounded",,TRUE)</f>
        <v>3.434312053917199E-2</v>
      </c>
      <c r="G137" s="77">
        <f>_xll.qlYieldTSForwardRate($C$4,B137,B137,"Act/365 (fixed)","Continuous",,TRUE)</f>
        <v>4.5783178161874549E-2</v>
      </c>
    </row>
    <row r="138" spans="2:7">
      <c r="B138" s="111">
        <f>_xll.qlCalendarAdvance("Null",B137,"1m")</f>
        <v>47150</v>
      </c>
      <c r="C138" s="112">
        <f t="shared" si="3"/>
        <v>9.3452054794520549</v>
      </c>
      <c r="D138" s="77">
        <f>_xll.qlYieldTSForwardRate($C$3,B138,B138,"Act/365 (fixed)","Continuous",,TRUE)</f>
        <v>4.5840468378444493E-2</v>
      </c>
      <c r="E138" s="77">
        <f>_xll.qlYieldTSZeroRate($C$3,B138,"Act/365 (Fixed)","Continuous",,TRUE)</f>
        <v>3.3875350685686666E-2</v>
      </c>
      <c r="F138" s="77">
        <f>_xll.qlYieldTSZeroRate($C$3,B138,"Act/365 (Fixed)","Compounded",,TRUE)</f>
        <v>3.44556545033603E-2</v>
      </c>
      <c r="G138" s="77">
        <f>_xll.qlYieldTSForwardRate($C$4,B138,B138,"Act/365 (fixed)","Continuous",,TRUE)</f>
        <v>4.5982383197378081E-2</v>
      </c>
    </row>
    <row r="139" spans="2:7">
      <c r="B139" s="111">
        <f>_xll.qlCalendarAdvance("Null",B138,"1m")</f>
        <v>47178</v>
      </c>
      <c r="C139" s="112">
        <f t="shared" si="3"/>
        <v>9.4219178082191775</v>
      </c>
      <c r="D139" s="77">
        <f>_xll.qlYieldTSForwardRate($C$3,B139,B139,"Act/365 (fixed)","Continuous",,TRUE)</f>
        <v>4.6027118000606722E-2</v>
      </c>
      <c r="E139" s="77">
        <f>_xll.qlYieldTSZeroRate($C$3,B139,"Act/365 (Fixed)","Continuous",,TRUE)</f>
        <v>3.3973529339391351E-2</v>
      </c>
      <c r="F139" s="77">
        <f>_xll.qlYieldTSZeroRate($C$3,B139,"Act/365 (Fixed)","Compounded",,TRUE)</f>
        <v>3.4557220952583734E-2</v>
      </c>
      <c r="G139" s="77">
        <f>_xll.qlYieldTSForwardRate($C$4,B139,B139,"Act/365 (fixed)","Continuous",,TRUE)</f>
        <v>4.6150120081772779E-2</v>
      </c>
    </row>
    <row r="140" spans="2:7">
      <c r="B140" s="111">
        <f>_xll.qlCalendarAdvance("Null",B139,"1m")</f>
        <v>47209</v>
      </c>
      <c r="C140" s="112">
        <f t="shared" si="3"/>
        <v>9.506849315068493</v>
      </c>
      <c r="D140" s="77">
        <f>_xll.qlYieldTSForwardRate($C$3,B140,B140,"Act/365 (fixed)","Continuous",,TRUE)</f>
        <v>4.6233765796552716E-2</v>
      </c>
      <c r="E140" s="77">
        <f>_xll.qlYieldTSZeroRate($C$3,B140,"Act/365 (Fixed)","Continuous",,TRUE)</f>
        <v>3.4082135762817489E-2</v>
      </c>
      <c r="F140" s="77">
        <f>_xll.qlYieldTSZeroRate($C$3,B140,"Act/365 (Fixed)","Compounded",,TRUE)</f>
        <v>3.466958661388686E-2</v>
      </c>
      <c r="G140" s="77">
        <f>_xll.qlYieldTSForwardRate($C$4,B140,B140,"Act/365 (fixed)","Continuous",,TRUE)</f>
        <v>4.6321882469066079E-2</v>
      </c>
    </row>
    <row r="141" spans="2:7">
      <c r="B141" s="111">
        <f>_xll.qlCalendarAdvance("Null",B140,"1m")</f>
        <v>47239</v>
      </c>
      <c r="C141" s="112">
        <f t="shared" si="3"/>
        <v>9.5890410958904102</v>
      </c>
      <c r="D141" s="77">
        <f>_xll.qlYieldTSForwardRate($C$3,B141,B141,"Act/365 (fixed)","Continuous",,TRUE)</f>
        <v>4.6433747531501819E-2</v>
      </c>
      <c r="E141" s="77">
        <f>_xll.qlYieldTSZeroRate($C$3,B141,"Act/365 (Fixed)","Continuous",,TRUE)</f>
        <v>3.4187149656249104E-2</v>
      </c>
      <c r="F141" s="77">
        <f>_xll.qlYieldTSZeroRate($C$3,B141,"Act/365 (Fixed)","Compounded",,TRUE)</f>
        <v>3.4778247000917695E-2</v>
      </c>
      <c r="G141" s="77">
        <f>_xll.qlYieldTSForwardRate($C$4,B141,B141,"Act/365 (fixed)","Continuous",,TRUE)</f>
        <v>4.6473704985303559E-2</v>
      </c>
    </row>
    <row r="142" spans="2:7">
      <c r="B142" s="111">
        <f>_xll.qlCalendarAdvance("Null",B141,"1m")</f>
        <v>47270</v>
      </c>
      <c r="C142" s="112">
        <f t="shared" si="3"/>
        <v>9.6739726027397257</v>
      </c>
      <c r="D142" s="77">
        <f>_xll.qlYieldTSForwardRate($C$3,B142,B142,"Act/365 (fixed)","Continuous",,TRUE)</f>
        <v>4.6640395325706199E-2</v>
      </c>
      <c r="E142" s="77">
        <f>_xll.qlYieldTSZeroRate($C$3,B142,"Act/365 (Fixed)","Continuous",,TRUE)</f>
        <v>3.4295574344712164E-2</v>
      </c>
      <c r="F142" s="77">
        <f>_xll.qlYieldTSZeroRate($C$3,B142,"Act/365 (Fixed)","Compounded",,TRUE)</f>
        <v>3.4890448592578505E-2</v>
      </c>
      <c r="G142" s="77">
        <f>_xll.qlYieldTSForwardRate($C$4,B142,B142,"Act/365 (fixed)","Continuous",,TRUE)</f>
        <v>4.6615233574885617E-2</v>
      </c>
    </row>
    <row r="143" spans="2:7">
      <c r="B143" s="111">
        <f>_xll.qlCalendarAdvance("Null",B142,"1m")</f>
        <v>47300</v>
      </c>
      <c r="C143" s="112">
        <f t="shared" si="3"/>
        <v>9.7561643835616429</v>
      </c>
      <c r="D143" s="77">
        <f>_xll.qlYieldTSForwardRate($C$3,B143,B143,"Act/365 (fixed)","Continuous",,TRUE)</f>
        <v>4.6840377063625635E-2</v>
      </c>
      <c r="E143" s="77">
        <f>_xll.qlYieldTSZeroRate($C$3,B143,"Act/365 (Fixed)","Continuous",,TRUE)</f>
        <v>3.4400416904532008E-2</v>
      </c>
      <c r="F143" s="77">
        <f>_xll.qlYieldTSZeroRate($C$3,B143,"Act/365 (Fixed)","Compounded",,TRUE)</f>
        <v>3.4998954844279284E-2</v>
      </c>
      <c r="G143" s="77">
        <f>_xll.qlYieldTSForwardRate($C$4,B143,B143,"Act/365 (fixed)","Continuous",,TRUE)</f>
        <v>4.6736882140065918E-2</v>
      </c>
    </row>
    <row r="144" spans="2:7">
      <c r="B144" s="111">
        <f>_xll.qlCalendarAdvance("Null",B143,"1m")</f>
        <v>47331</v>
      </c>
      <c r="C144" s="112">
        <f t="shared" si="3"/>
        <v>9.8410958904109584</v>
      </c>
      <c r="D144" s="77">
        <f>_xll.qlYieldTSForwardRate($C$3,B144,B144,"Act/365 (fixed)","Continuous",,TRUE)</f>
        <v>4.7047024858308854E-2</v>
      </c>
      <c r="E144" s="77">
        <f>_xll.qlYieldTSZeroRate($C$3,B144,"Act/365 (Fixed)","Continuous",,TRUE)</f>
        <v>3.4508669077628666E-2</v>
      </c>
      <c r="F144" s="77">
        <f>_xll.qlYieldTSZeroRate($C$3,B144,"Act/365 (Fixed)","Compounded",,TRUE)</f>
        <v>3.5111001794847496E-2</v>
      </c>
      <c r="G144" s="77">
        <f>_xll.qlYieldTSForwardRate($C$4,B144,B144,"Act/365 (fixed)","Continuous",,TRUE)</f>
        <v>4.6846285027824196E-2</v>
      </c>
    </row>
    <row r="145" spans="2:7">
      <c r="B145" s="111">
        <f>_xll.qlCalendarAdvance("Null",B144,"1m")</f>
        <v>47362</v>
      </c>
      <c r="C145" s="112">
        <f t="shared" si="3"/>
        <v>9.9260273972602739</v>
      </c>
      <c r="D145" s="77">
        <f>_xll.qlYieldTSForwardRate($C$3,B145,B145,"Act/365 (fixed)","Continuous",,TRUE)</f>
        <v>4.7253672653162611E-2</v>
      </c>
      <c r="E145" s="77">
        <f>_xll.qlYieldTSZeroRate($C$3,B145,"Act/365 (Fixed)","Continuous",,TRUE)</f>
        <v>3.4616836913688075E-2</v>
      </c>
      <c r="F145" s="77">
        <f>_xll.qlYieldTSZeroRate($C$3,B145,"Act/365 (Fixed)","Compounded",,TRUE)</f>
        <v>3.5222973567755833E-2</v>
      </c>
      <c r="G145" s="77">
        <f>_xll.qlYieldTSForwardRate($C$4,B145,B145,"Act/365 (fixed)","Continuous",,TRUE)</f>
        <v>4.6938636700726052E-2</v>
      </c>
    </row>
    <row r="146" spans="2:7">
      <c r="B146" s="111">
        <f>_xll.qlCalendarAdvance("Null",B145,"1m")</f>
        <v>47392</v>
      </c>
      <c r="C146" s="112">
        <f t="shared" si="3"/>
        <v>10.008219178082191</v>
      </c>
      <c r="D146" s="77">
        <f>_xll.qlYieldTSForwardRate($C$3,B146,B146,"Act/365 (fixed)","Continuous",,TRUE)</f>
        <v>4.745362426749164E-2</v>
      </c>
      <c r="E146" s="77">
        <f>_xll.qlYieldTSZeroRate($C$3,B146,"Act/365 (Fixed)","Continuous",,TRUE)</f>
        <v>3.4721437186960719E-2</v>
      </c>
      <c r="F146" s="77">
        <f>_xll.qlYieldTSZeroRate($C$3,B146,"Act/365 (Fixed)","Compounded",,TRUE)</f>
        <v>3.5331263837186322E-2</v>
      </c>
      <c r="G146" s="77">
        <f>_xll.qlYieldTSForwardRate($C$4,B146,B146,"Act/365 (fixed)","Continuous",,TRUE)</f>
        <v>4.7011314049856014E-2</v>
      </c>
    </row>
    <row r="147" spans="2:7">
      <c r="B147" s="111">
        <f>_xll.qlCalendarAdvance("Null",B146,"1m")</f>
        <v>47423</v>
      </c>
      <c r="C147" s="112">
        <f t="shared" si="3"/>
        <v>10.093150684931507</v>
      </c>
      <c r="D147" s="77">
        <f>_xll.qlYieldTSForwardRate($C$3,B147,B147,"Act/365 (fixed)","Continuous",,TRUE)</f>
        <v>4.7455622492919985E-2</v>
      </c>
      <c r="E147" s="77">
        <f>_xll.qlYieldTSZeroRate($C$3,B147,"Act/365 (Fixed)","Continuous",,TRUE)</f>
        <v>3.4828584103056399E-2</v>
      </c>
      <c r="F147" s="77">
        <f>_xll.qlYieldTSZeroRate($C$3,B147,"Act/365 (Fixed)","Compounded",,TRUE)</f>
        <v>3.5442202332496731E-2</v>
      </c>
      <c r="G147" s="77">
        <f>_xll.qlYieldTSForwardRate($C$4,B147,B147,"Act/365 (fixed)","Continuous",,TRUE)</f>
        <v>4.7076044634876205E-2</v>
      </c>
    </row>
    <row r="148" spans="2:7">
      <c r="B148" s="111">
        <f>_xll.qlCalendarAdvance("Null",B147,"1m")</f>
        <v>47453</v>
      </c>
      <c r="C148" s="112">
        <f t="shared" si="3"/>
        <v>10.175342465753424</v>
      </c>
      <c r="D148" s="77">
        <f>_xll.qlYieldTSForwardRate($C$3,B148,B148,"Act/365 (fixed)","Continuous",,TRUE)</f>
        <v>4.7457527107007201E-2</v>
      </c>
      <c r="E148" s="77">
        <f>_xll.qlYieldTSZeroRate($C$3,B148,"Act/365 (Fixed)","Continuous",,TRUE)</f>
        <v>3.4930587258922785E-2</v>
      </c>
      <c r="F148" s="77">
        <f>_xll.qlYieldTSZeroRate($C$3,B148,"Act/365 (Fixed)","Compounded",,TRUE)</f>
        <v>3.5547826091738566E-2</v>
      </c>
      <c r="G148" s="77">
        <f>_xll.qlYieldTSForwardRate($C$4,B148,B148,"Act/365 (fixed)","Continuous",,TRUE)</f>
        <v>4.7135396469628839E-2</v>
      </c>
    </row>
    <row r="149" spans="2:7">
      <c r="B149" s="111">
        <f>_xll.qlCalendarAdvance("Null",B148,"1m")</f>
        <v>47484</v>
      </c>
      <c r="C149" s="112">
        <f t="shared" si="3"/>
        <v>10.260273972602739</v>
      </c>
      <c r="D149" s="77">
        <f>_xll.qlYieldTSForwardRate($C$3,B149,B149,"Act/365 (fixed)","Continuous",,TRUE)</f>
        <v>4.7459495205565749E-2</v>
      </c>
      <c r="E149" s="77">
        <f>_xll.qlYieldTSZeroRate($C$3,B149,"Act/365 (Fixed)","Continuous",,TRUE)</f>
        <v>3.5034289699734232E-2</v>
      </c>
      <c r="F149" s="77">
        <f>_xll.qlYieldTSZeroRate($C$3,B149,"Act/365 (Fixed)","Compounded",,TRUE)</f>
        <v>3.5655220497316176E-2</v>
      </c>
      <c r="G149" s="77">
        <f>_xll.qlYieldTSForwardRate($C$4,B149,B149,"Act/365 (fixed)","Continuous",,TRUE)</f>
        <v>4.719333152624805E-2</v>
      </c>
    </row>
    <row r="150" spans="2:7">
      <c r="B150" s="111">
        <f>_xll.qlCalendarAdvance("Null",B149,"1m")</f>
        <v>47515</v>
      </c>
      <c r="C150" s="112">
        <f t="shared" si="3"/>
        <v>10.345205479452055</v>
      </c>
      <c r="D150" s="77">
        <f>_xll.qlYieldTSForwardRate($C$3,B150,B150,"Act/365 (fixed)","Continuous",,TRUE)</f>
        <v>4.746146330856478E-2</v>
      </c>
      <c r="E150" s="77">
        <f>_xll.qlYieldTSZeroRate($C$3,B150,"Act/365 (Fixed)","Continuous",,TRUE)</f>
        <v>3.5136305556808099E-2</v>
      </c>
      <c r="F150" s="77">
        <f>_xll.qlYieldTSZeroRate($C$3,B150,"Act/365 (Fixed)","Compounded",,TRUE)</f>
        <v>3.5760879141605084E-2</v>
      </c>
      <c r="G150" s="77">
        <f>_xll.qlYieldTSForwardRate($C$4,B150,B150,"Act/365 (fixed)","Continuous",,TRUE)</f>
        <v>4.7247821028316157E-2</v>
      </c>
    </row>
    <row r="151" spans="2:7">
      <c r="B151" s="111">
        <f>_xll.qlCalendarAdvance("Null",B150,"1m")</f>
        <v>47543</v>
      </c>
      <c r="C151" s="112">
        <f t="shared" si="3"/>
        <v>10.421917808219177</v>
      </c>
      <c r="D151" s="77">
        <f>_xll.qlYieldTSForwardRate($C$3,B151,B151,"Act/365 (fixed)","Continuous",,TRUE)</f>
        <v>4.7463240949266669E-2</v>
      </c>
      <c r="E151" s="77">
        <f>_xll.qlYieldTSZeroRate($C$3,B151,"Act/365 (Fixed)","Continuous",,TRUE)</f>
        <v>3.522703355470809E-2</v>
      </c>
      <c r="F151" s="77">
        <f>_xll.qlYieldTSZeroRate($C$3,B151,"Act/365 (Fixed)","Compounded",,TRUE)</f>
        <v>3.5854855915570472E-2</v>
      </c>
      <c r="G151" s="77">
        <f>_xll.qlYieldTSForwardRate($C$4,B151,B151,"Act/365 (fixed)","Continuous",,TRUE)</f>
        <v>4.7294080257027658E-2</v>
      </c>
    </row>
    <row r="152" spans="2:7">
      <c r="B152" s="111">
        <f>_xll.qlCalendarAdvance("Null",B151,"1m")</f>
        <v>47574</v>
      </c>
      <c r="C152" s="112">
        <f t="shared" si="3"/>
        <v>10.506849315068493</v>
      </c>
      <c r="D152" s="77">
        <f>_xll.qlYieldTSForwardRate($C$3,B152,B152,"Act/365 (fixed)","Continuous",,TRUE)</f>
        <v>4.7465209050044525E-2</v>
      </c>
      <c r="E152" s="77">
        <f>_xll.qlYieldTSZeroRate($C$3,B152,"Act/365 (Fixed)","Continuous",,TRUE)</f>
        <v>3.5325952181768733E-2</v>
      </c>
      <c r="F152" s="77">
        <f>_xll.qlYieldTSZeroRate($C$3,B152,"Act/365 (Fixed)","Compounded",,TRUE)</f>
        <v>3.5957326323784233E-2</v>
      </c>
      <c r="G152" s="77">
        <f>_xll.qlYieldTSForwardRate($C$4,B152,B152,"Act/365 (fixed)","Continuous",,TRUE)</f>
        <v>4.7342026810033105E-2</v>
      </c>
    </row>
    <row r="153" spans="2:7">
      <c r="B153" s="111">
        <f>_xll.qlCalendarAdvance("Null",B152,"1m")</f>
        <v>47604</v>
      </c>
      <c r="C153" s="112">
        <f t="shared" si="3"/>
        <v>10.58904109589041</v>
      </c>
      <c r="D153" s="77">
        <f>_xll.qlYieldTSForwardRate($C$3,B153,B153,"Act/365 (fixed)","Continuous",,TRUE)</f>
        <v>4.7467113664129916E-2</v>
      </c>
      <c r="E153" s="77">
        <f>_xll.qlYieldTSZeroRate($C$3,B153,"Act/365 (Fixed)","Continuous",,TRUE)</f>
        <v>3.5420184077046932E-2</v>
      </c>
      <c r="F153" s="77">
        <f>_xll.qlYieldTSZeroRate($C$3,B153,"Act/365 (Fixed)","Compounded",,TRUE)</f>
        <v>3.605495114568491E-2</v>
      </c>
      <c r="G153" s="77">
        <f>_xll.qlYieldTSForwardRate($C$4,B153,B153,"Act/365 (fixed)","Continuous",,TRUE)</f>
        <v>4.7385160746438462E-2</v>
      </c>
    </row>
    <row r="154" spans="2:7">
      <c r="B154" s="111">
        <f>_xll.qlCalendarAdvance("Null",B153,"1m")</f>
        <v>47635</v>
      </c>
      <c r="C154" s="112">
        <f t="shared" ref="C154:C217" si="4">(B154-$B$26)/365</f>
        <v>10.673972602739726</v>
      </c>
      <c r="D154" s="77">
        <f>_xll.qlYieldTSForwardRate($C$3,B154,B154,"Act/365 (fixed)","Continuous",,TRUE)</f>
        <v>4.7469081764907016E-2</v>
      </c>
      <c r="E154" s="77">
        <f>_xll.qlYieldTSZeroRate($C$3,B154,"Act/365 (Fixed)","Continuous",,TRUE)</f>
        <v>3.5516047866255937E-2</v>
      </c>
      <c r="F154" s="77">
        <f>_xll.qlYieldTSZeroRate($C$3,B154,"Act/365 (Fixed)","Compounded",,TRUE)</f>
        <v>3.6154276059885637E-2</v>
      </c>
      <c r="G154" s="77">
        <f>_xll.qlYieldTSForwardRate($C$4,B154,B154,"Act/365 (fixed)","Continuous",,TRUE)</f>
        <v>4.7426362852686837E-2</v>
      </c>
    </row>
    <row r="155" spans="2:7">
      <c r="B155" s="111">
        <f>_xll.qlCalendarAdvance("Null",B154,"1m")</f>
        <v>47665</v>
      </c>
      <c r="C155" s="112">
        <f t="shared" si="4"/>
        <v>10.756164383561643</v>
      </c>
      <c r="D155" s="77">
        <f>_xll.qlYieldTSForwardRate($C$3,B155,B155,"Act/365 (fixed)","Continuous",,TRUE)</f>
        <v>4.7470986378991664E-2</v>
      </c>
      <c r="E155" s="77">
        <f>_xll.qlYieldTSZeroRate($C$3,B155,"Act/365 (Fixed)","Continuous",,TRUE)</f>
        <v>3.5607392641134591E-2</v>
      </c>
      <c r="F155" s="77">
        <f>_xll.qlYieldTSZeroRate($C$3,B155,"Act/365 (Fixed)","Compounded",,TRUE)</f>
        <v>3.6248927661870711E-2</v>
      </c>
      <c r="G155" s="77">
        <f>_xll.qlYieldTSForwardRate($C$4,B155,B155,"Act/365 (fixed)","Continuous",,TRUE)</f>
        <v>4.7462979890443277E-2</v>
      </c>
    </row>
    <row r="156" spans="2:7">
      <c r="B156" s="111">
        <f>_xll.qlCalendarAdvance("Null",B155,"1m")</f>
        <v>47696</v>
      </c>
      <c r="C156" s="112">
        <f t="shared" si="4"/>
        <v>10.841095890410958</v>
      </c>
      <c r="D156" s="77">
        <f>_xll.qlYieldTSForwardRate($C$3,B156,B156,"Act/365 (fixed)","Continuous",,TRUE)</f>
        <v>4.7472954479768001E-2</v>
      </c>
      <c r="E156" s="77">
        <f>_xll.qlYieldTSZeroRate($C$3,B156,"Act/365 (Fixed)","Continuous",,TRUE)</f>
        <v>3.5700342328131004E-2</v>
      </c>
      <c r="F156" s="77">
        <f>_xll.qlYieldTSZeroRate($C$3,B156,"Act/365 (Fixed)","Compounded",,TRUE)</f>
        <v>3.6345251151897129E-2</v>
      </c>
      <c r="G156" s="77">
        <f>_xll.qlYieldTSForwardRate($C$4,B156,B156,"Act/365 (fixed)","Continuous",,TRUE)</f>
        <v>4.7497458177944415E-2</v>
      </c>
    </row>
    <row r="157" spans="2:7">
      <c r="B157" s="111">
        <f>_xll.qlCalendarAdvance("Null",B156,"1m")</f>
        <v>47727</v>
      </c>
      <c r="C157" s="112">
        <f t="shared" si="4"/>
        <v>10.926027397260274</v>
      </c>
      <c r="D157" s="77">
        <f>_xll.qlYieldTSForwardRate($C$3,B157,B157,"Act/365 (fixed)","Continuous",,TRUE)</f>
        <v>4.7474922582764388E-2</v>
      </c>
      <c r="E157" s="77">
        <f>_xll.qlYieldTSZeroRate($C$3,B157,"Act/365 (Fixed)","Continuous",,TRUE)</f>
        <v>3.579186225849338E-2</v>
      </c>
      <c r="F157" s="77">
        <f>_xll.qlYieldTSZeroRate($C$3,B157,"Act/365 (Fixed)","Compounded",,TRUE)</f>
        <v>3.6440101737407193E-2</v>
      </c>
      <c r="G157" s="77">
        <f>_xll.qlYieldTSForwardRate($C$4,B157,B157,"Act/365 (fixed)","Continuous",,TRUE)</f>
        <v>4.7528527357436151E-2</v>
      </c>
    </row>
    <row r="158" spans="2:7">
      <c r="B158" s="111">
        <f>_xll.qlCalendarAdvance("Null",B157,"1m")</f>
        <v>47757</v>
      </c>
      <c r="C158" s="112">
        <f t="shared" si="4"/>
        <v>11.008219178082191</v>
      </c>
      <c r="D158" s="77">
        <f>_xll.qlYieldTSForwardRate($C$3,B158,B158,"Act/365 (fixed)","Continuous",,TRUE)</f>
        <v>4.7476827194627494E-2</v>
      </c>
      <c r="E158" s="77">
        <f>_xll.qlYieldTSZeroRate($C$3,B158,"Act/365 (Fixed)","Continuous",,TRUE)</f>
        <v>3.5879099784352129E-2</v>
      </c>
      <c r="F158" s="77">
        <f>_xll.qlYieldTSZeroRate($C$3,B158,"Act/365 (Fixed)","Compounded",,TRUE)</f>
        <v>3.6530522151552836E-2</v>
      </c>
      <c r="G158" s="77">
        <f>_xll.qlYieldTSForwardRate($C$4,B158,B158,"Act/365 (fixed)","Continuous",,TRUE)</f>
        <v>4.7555353391192018E-2</v>
      </c>
    </row>
    <row r="159" spans="2:7">
      <c r="B159" s="111">
        <f>_xll.qlCalendarAdvance("Null",B158,"1m")</f>
        <v>47788</v>
      </c>
      <c r="C159" s="112">
        <f t="shared" si="4"/>
        <v>11.093150684931507</v>
      </c>
      <c r="D159" s="77">
        <f>_xll.qlYieldTSForwardRate($C$3,B159,B159,"Act/365 (fixed)","Continuous",,TRUE)</f>
        <v>4.7478795297623111E-2</v>
      </c>
      <c r="E159" s="77">
        <f>_xll.qlYieldTSZeroRate($C$3,B159,"Act/365 (Fixed)","Continuous",,TRUE)</f>
        <v>3.5967901971389792E-2</v>
      </c>
      <c r="F159" s="77">
        <f>_xll.qlYieldTSZeroRate($C$3,B159,"Act/365 (Fixed)","Compounded",,TRUE)</f>
        <v>3.6622572415923038E-2</v>
      </c>
      <c r="G159" s="77">
        <f>_xll.qlYieldTSForwardRate($C$4,B159,B159,"Act/365 (fixed)","Continuous",,TRUE)</f>
        <v>4.7579729873756318E-2</v>
      </c>
    </row>
    <row r="160" spans="2:7">
      <c r="B160" s="111">
        <f>_xll.qlCalendarAdvance("Null",B159,"1m")</f>
        <v>47818</v>
      </c>
      <c r="C160" s="112">
        <f t="shared" si="4"/>
        <v>11.175342465753424</v>
      </c>
      <c r="D160" s="77">
        <f>_xll.qlYieldTSForwardRate($C$3,B160,B160,"Act/365 (fixed)","Continuous",,TRUE)</f>
        <v>4.7480699911705906E-2</v>
      </c>
      <c r="E160" s="77">
        <f>_xll.qlYieldTSZeroRate($C$3,B160,"Act/365 (Fixed)","Continuous",,TRUE)</f>
        <v>3.6052568646793487E-2</v>
      </c>
      <c r="F160" s="77">
        <f>_xll.qlYieldTSZeroRate($C$3,B160,"Act/365 (Fixed)","Compounded",,TRUE)</f>
        <v>3.6710343518369326E-2</v>
      </c>
      <c r="G160" s="77">
        <f>_xll.qlYieldTSForwardRate($C$4,B160,B160,"Act/365 (fixed)","Continuous",,TRUE)</f>
        <v>4.7600089093321689E-2</v>
      </c>
    </row>
    <row r="161" spans="2:7">
      <c r="B161" s="111">
        <f>_xll.qlCalendarAdvance("Null",B160,"1m")</f>
        <v>47849</v>
      </c>
      <c r="C161" s="112">
        <f t="shared" si="4"/>
        <v>11.260273972602739</v>
      </c>
      <c r="D161" s="77">
        <f>_xll.qlYieldTSForwardRate($C$3,B161,B161,"Act/365 (fixed)","Continuous",,TRUE)</f>
        <v>4.7482668010259903E-2</v>
      </c>
      <c r="E161" s="77">
        <f>_xll.qlYieldTSZeroRate($C$3,B161,"Act/365 (Fixed)","Continuous",,TRUE)</f>
        <v>3.6138773652816106E-2</v>
      </c>
      <c r="F161" s="77">
        <f>_xll.qlYieldTSZeroRate($C$3,B161,"Act/365 (Fixed)","Compounded",,TRUE)</f>
        <v>3.6799716991940956E-2</v>
      </c>
      <c r="G161" s="77">
        <f>_xll.qlYieldTSForwardRate($C$4,B161,B161,"Act/365 (fixed)","Continuous",,TRUE)</f>
        <v>4.7617793515782145E-2</v>
      </c>
    </row>
    <row r="162" spans="2:7">
      <c r="B162" s="111">
        <f>_xll.qlCalendarAdvance("Null",B161,"1m")</f>
        <v>47880</v>
      </c>
      <c r="C162" s="112">
        <f t="shared" si="4"/>
        <v>11.345205479452055</v>
      </c>
      <c r="D162" s="77">
        <f>_xll.qlYieldTSForwardRate($C$3,B162,B162,"Act/365 (fixed)","Continuous",,TRUE)</f>
        <v>4.7484636113254375E-2</v>
      </c>
      <c r="E162" s="77">
        <f>_xll.qlYieldTSZeroRate($C$3,B162,"Act/365 (Fixed)","Continuous",,TRUE)</f>
        <v>3.6223702711184511E-2</v>
      </c>
      <c r="F162" s="77">
        <f>_xll.qlYieldTSZeroRate($C$3,B162,"Act/365 (Fixed)","Compounded",,TRUE)</f>
        <v>3.6887775154917257E-2</v>
      </c>
      <c r="G162" s="77">
        <f>_xll.qlYieldTSForwardRate($C$4,B162,B162,"Act/365 (fixed)","Continuous",,TRUE)</f>
        <v>4.7632115124752912E-2</v>
      </c>
    </row>
    <row r="163" spans="2:7">
      <c r="B163" s="111">
        <f>_xll.qlCalendarAdvance("Null",B162,"1m")</f>
        <v>47908</v>
      </c>
      <c r="C163" s="112">
        <f t="shared" si="4"/>
        <v>11.421917808219177</v>
      </c>
      <c r="D163" s="77">
        <f>_xll.qlYieldTSForwardRate($C$3,B163,B163,"Act/365 (fixed)","Continuous",,TRUE)</f>
        <v>4.7486413751731703E-2</v>
      </c>
      <c r="E163" s="77">
        <f>_xll.qlYieldTSZeroRate($C$3,B163,"Act/365 (Fixed)","Continuous",,TRUE)</f>
        <v>3.6299339799746241E-2</v>
      </c>
      <c r="F163" s="77">
        <f>_xll.qlYieldTSZeroRate($C$3,B163,"Act/365 (Fixed)","Compounded",,TRUE)</f>
        <v>3.696620529347161E-2</v>
      </c>
      <c r="G163" s="77">
        <f>_xll.qlYieldTSForwardRate($C$4,B163,B163,"Act/365 (fixed)","Continuous",,TRUE)</f>
        <v>4.7642147609543384E-2</v>
      </c>
    </row>
    <row r="164" spans="2:7">
      <c r="B164" s="111">
        <f>_xll.qlCalendarAdvance("Null",B163,"1m")</f>
        <v>47939</v>
      </c>
      <c r="C164" s="112">
        <f t="shared" si="4"/>
        <v>11.506849315068493</v>
      </c>
      <c r="D164" s="77">
        <f>_xll.qlYieldTSForwardRate($C$3,B164,B164,"Act/365 (fixed)","Continuous",,TRUE)</f>
        <v>4.7488381856945872E-2</v>
      </c>
      <c r="E164" s="77">
        <f>_xll.qlYieldTSZeroRate($C$3,B164,"Act/365 (Fixed)","Continuous",,TRUE)</f>
        <v>3.6381918323108033E-2</v>
      </c>
      <c r="F164" s="77">
        <f>_xll.qlYieldTSZeroRate($C$3,B164,"Act/365 (Fixed)","Compounded",,TRUE)</f>
        <v>3.7051839967224609E-2</v>
      </c>
      <c r="G164" s="77">
        <f>_xll.qlYieldTSForwardRate($C$4,B164,B164,"Act/365 (fixed)","Continuous",,TRUE)</f>
        <v>4.765004568962742E-2</v>
      </c>
    </row>
    <row r="165" spans="2:7">
      <c r="B165" s="111">
        <f>_xll.qlCalendarAdvance("Null",B164,"1m")</f>
        <v>47969</v>
      </c>
      <c r="C165" s="112">
        <f t="shared" si="4"/>
        <v>11.58904109589041</v>
      </c>
      <c r="D165" s="77">
        <f>_xll.qlYieldTSForwardRate($C$3,B165,B165,"Act/365 (fixed)","Continuous",,TRUE)</f>
        <v>4.749028646880641E-2</v>
      </c>
      <c r="E165" s="77">
        <f>_xll.qlYieldTSZeroRate($C$3,B165,"Act/365 (Fixed)","Continuous",,TRUE)</f>
        <v>3.6460694321959995E-2</v>
      </c>
      <c r="F165" s="77">
        <f>_xll.qlYieldTSZeroRate($C$3,B165,"Act/365 (Fixed)","Compounded",,TRUE)</f>
        <v>3.7133537979658238E-2</v>
      </c>
      <c r="G165" s="77">
        <f>_xll.qlYieldTSForwardRate($C$4,B165,B165,"Act/365 (fixed)","Continuous",,TRUE)</f>
        <v>4.7654482781382949E-2</v>
      </c>
    </row>
    <row r="166" spans="2:7">
      <c r="B166" s="111">
        <f>_xll.qlCalendarAdvance("Null",B165,"1m")</f>
        <v>48000</v>
      </c>
      <c r="C166" s="112">
        <f t="shared" si="4"/>
        <v>11.673972602739726</v>
      </c>
      <c r="D166" s="77">
        <f>_xll.qlYieldTSForwardRate($C$3,B166,B166,"Act/365 (fixed)","Continuous",,TRUE)</f>
        <v>4.7492254569578951E-2</v>
      </c>
      <c r="E166" s="77">
        <f>_xll.qlYieldTSZeroRate($C$3,B166,"Act/365 (Fixed)","Continuous",,TRUE)</f>
        <v>3.6540944934986087E-2</v>
      </c>
      <c r="F166" s="77">
        <f>_xll.qlYieldTSZeroRate($C$3,B166,"Act/365 (Fixed)","Compounded",,TRUE)</f>
        <v>3.7216771921613878E-2</v>
      </c>
      <c r="G166" s="77">
        <f>_xll.qlYieldTSForwardRate($C$4,B166,B166,"Act/365 (fixed)","Continuous",,TRUE)</f>
        <v>4.7655759875944378E-2</v>
      </c>
    </row>
    <row r="167" spans="2:7">
      <c r="B167" s="111">
        <f>_xll.qlCalendarAdvance("Null",B166,"1m")</f>
        <v>48030</v>
      </c>
      <c r="C167" s="112">
        <f t="shared" si="4"/>
        <v>11.756164383561643</v>
      </c>
      <c r="D167" s="77">
        <f>_xll.qlYieldTSForwardRate($C$3,B167,B167,"Act/365 (fixed)","Continuous",,TRUE)</f>
        <v>4.7494159183659179E-2</v>
      </c>
      <c r="E167" s="77">
        <f>_xll.qlYieldTSZeroRate($C$3,B167,"Act/365 (Fixed)","Continuous",,TRUE)</f>
        <v>3.6617516330522203E-2</v>
      </c>
      <c r="F167" s="77">
        <f>_xll.qlYieldTSZeroRate($C$3,B167,"Act/365 (Fixed)","Compounded",,TRUE)</f>
        <v>3.7296196098084433E-2</v>
      </c>
      <c r="G167" s="77">
        <f>_xll.qlYieldTSForwardRate($C$4,B167,B167,"Act/365 (fixed)","Continuous",,TRUE)</f>
        <v>4.7653799551169031E-2</v>
      </c>
    </row>
    <row r="168" spans="2:7">
      <c r="B168" s="111">
        <f>_xll.qlCalendarAdvance("Null",B167,"1m")</f>
        <v>48061</v>
      </c>
      <c r="C168" s="112">
        <f t="shared" si="4"/>
        <v>11.841095890410958</v>
      </c>
      <c r="D168" s="77">
        <f>_xll.qlYieldTSForwardRate($C$3,B168,B168,"Act/365 (fixed)","Continuous",,TRUE)</f>
        <v>4.7496127284430964E-2</v>
      </c>
      <c r="E168" s="77">
        <f>_xll.qlYieldTSZeroRate($C$3,B168,"Act/365 (Fixed)","Continuous",,TRUE)</f>
        <v>3.6695537254634189E-2</v>
      </c>
      <c r="F168" s="77">
        <f>_xll.qlYieldTSZeroRate($C$3,B168,"Act/365 (Fixed)","Compounded",,TRUE)</f>
        <v>3.7377130063112274E-2</v>
      </c>
      <c r="G168" s="77">
        <f>_xll.qlYieldTSForwardRate($C$4,B168,B168,"Act/365 (fixed)","Continuous",,TRUE)</f>
        <v>4.7648476299160539E-2</v>
      </c>
    </row>
    <row r="169" spans="2:7">
      <c r="B169" s="111">
        <f>_xll.qlCalendarAdvance("Null",B168,"1m")</f>
        <v>48092</v>
      </c>
      <c r="C169" s="112">
        <f t="shared" si="4"/>
        <v>11.926027397260274</v>
      </c>
      <c r="D169" s="77">
        <f>_xll.qlYieldTSForwardRate($C$3,B169,B169,"Act/365 (fixed)","Continuous",,TRUE)</f>
        <v>4.7498095387422785E-2</v>
      </c>
      <c r="E169" s="77">
        <f>_xll.qlYieldTSZeroRate($C$3,B169,"Act/365 (Fixed)","Continuous",,TRUE)</f>
        <v>3.6772460938645592E-2</v>
      </c>
      <c r="F169" s="77">
        <f>_xll.qlYieldTSZeroRate($C$3,B169,"Act/365 (Fixed)","Compounded",,TRUE)</f>
        <v>3.7456932002956078E-2</v>
      </c>
      <c r="G169" s="77">
        <f>_xll.qlYieldTSForwardRate($C$4,B169,B169,"Act/365 (fixed)","Continuous",,TRUE)</f>
        <v>4.7639806679921265E-2</v>
      </c>
    </row>
    <row r="170" spans="2:7">
      <c r="B170" s="111">
        <f>_xll.qlCalendarAdvance("Null",B169,"1m")</f>
        <v>48122</v>
      </c>
      <c r="C170" s="112">
        <f t="shared" si="4"/>
        <v>12.008219178082191</v>
      </c>
      <c r="D170" s="77">
        <f>_xll.qlYieldTSForwardRate($C$3,B170,B170,"Act/365 (fixed)","Continuous",,TRUE)</f>
        <v>4.7499997627856352E-2</v>
      </c>
      <c r="E170" s="77">
        <f>_xll.qlYieldTSZeroRate($C$3,B170,"Act/365 (Fixed)","Continuous",,TRUE)</f>
        <v>3.6845880423617014E-2</v>
      </c>
      <c r="F170" s="77">
        <f>_xll.qlYieldTSZeroRate($C$3,B170,"Act/365 (Fixed)","Compounded",,TRUE)</f>
        <v>3.7533104352816871E-2</v>
      </c>
      <c r="G170" s="77">
        <f>_xll.qlYieldTSForwardRate($C$4,B170,B170,"Act/365 (fixed)","Continuous",,TRUE)</f>
        <v>4.7628235555469252E-2</v>
      </c>
    </row>
    <row r="171" spans="2:7">
      <c r="B171" s="111">
        <f>_xll.qlCalendarAdvance("Null",B170,"1m")</f>
        <v>48153</v>
      </c>
      <c r="C171" s="112">
        <f t="shared" si="4"/>
        <v>12.093150684931507</v>
      </c>
      <c r="D171" s="77">
        <f>_xll.qlYieldTSForwardRate($C$3,B171,B171,"Act/365 (fixed)","Continuous",,TRUE)</f>
        <v>4.7485857665863766E-2</v>
      </c>
      <c r="E171" s="77">
        <f>_xll.qlYieldTSZeroRate($C$3,B171,"Act/365 (Fixed)","Continuous",,TRUE)</f>
        <v>3.6920655797577917E-2</v>
      </c>
      <c r="F171" s="77">
        <f>_xll.qlYieldTSZeroRate($C$3,B171,"Act/365 (Fixed)","Compounded",,TRUE)</f>
        <v>3.7610689179372825E-2</v>
      </c>
      <c r="G171" s="77">
        <f>_xll.qlYieldTSForwardRate($C$4,B171,B171,"Act/365 (fixed)","Continuous",,TRUE)</f>
        <v>4.7614056487348372E-2</v>
      </c>
    </row>
    <row r="172" spans="2:7">
      <c r="B172" s="111">
        <f>_xll.qlCalendarAdvance("Null",B171,"1m")</f>
        <v>48183</v>
      </c>
      <c r="C172" s="112">
        <f t="shared" si="4"/>
        <v>12.175342465753424</v>
      </c>
      <c r="D172" s="77">
        <f>_xll.qlYieldTSForwardRate($C$3,B172,B172,"Act/365 (fixed)","Continuous",,TRUE)</f>
        <v>4.7472171534223874E-2</v>
      </c>
      <c r="E172" s="77">
        <f>_xll.qlYieldTSZeroRate($C$3,B172,"Act/365 (Fixed)","Continuous",,TRUE)</f>
        <v>3.699193184708937E-2</v>
      </c>
      <c r="F172" s="77">
        <f>_xll.qlYieldTSZeroRate($C$3,B172,"Act/365 (Fixed)","Compounded",,TRUE)</f>
        <v>3.7684648605964988E-2</v>
      </c>
      <c r="G172" s="77">
        <f>_xll.qlYieldTSForwardRate($C$4,B172,B172,"Act/365 (fixed)","Continuous",,TRUE)</f>
        <v>4.7599218826941826E-2</v>
      </c>
    </row>
    <row r="173" spans="2:7">
      <c r="B173" s="111">
        <f>_xll.qlCalendarAdvance("Null",B172,"1m")</f>
        <v>48214</v>
      </c>
      <c r="C173" s="112">
        <f t="shared" si="4"/>
        <v>12.260273972602739</v>
      </c>
      <c r="D173" s="77">
        <f>_xll.qlYieldTSForwardRate($C$3,B173,B173,"Act/365 (fixed)","Continuous",,TRUE)</f>
        <v>4.745802919632594E-2</v>
      </c>
      <c r="E173" s="77">
        <f>_xll.qlYieldTSZeroRate($C$3,B173,"Act/365 (Fixed)","Continuous",,TRUE)</f>
        <v>3.7064483405537224E-2</v>
      </c>
      <c r="F173" s="77">
        <f>_xll.qlYieldTSZeroRate($C$3,B173,"Act/365 (Fixed)","Compounded",,TRUE)</f>
        <v>3.7759936975509945E-2</v>
      </c>
      <c r="G173" s="77">
        <f>_xll.qlYieldTSForwardRate($C$4,B173,B173,"Act/365 (fixed)","Continuous",,TRUE)</f>
        <v>4.7582796403961222E-2</v>
      </c>
    </row>
    <row r="174" spans="2:7">
      <c r="B174" s="111">
        <f>_xll.qlCalendarAdvance("Null",B173,"1m")</f>
        <v>48245</v>
      </c>
      <c r="C174" s="112">
        <f t="shared" si="4"/>
        <v>12.345205479452055</v>
      </c>
      <c r="D174" s="77">
        <f>_xll.qlYieldTSForwardRate($C$3,B174,B174,"Act/365 (fixed)","Continuous",,TRUE)</f>
        <v>4.7443886860628441E-2</v>
      </c>
      <c r="E174" s="77">
        <f>_xll.qlYieldTSZeroRate($C$3,B174,"Act/365 (Fixed)","Continuous",,TRUE)</f>
        <v>3.7135939400506919E-2</v>
      </c>
      <c r="F174" s="77">
        <f>_xll.qlYieldTSZeroRate($C$3,B174,"Act/365 (Fixed)","Compounded",,TRUE)</f>
        <v>3.7834093793789325E-2</v>
      </c>
      <c r="G174" s="77">
        <f>_xll.qlYieldTSForwardRate($C$4,B174,B174,"Act/365 (fixed)","Continuous",,TRUE)</f>
        <v>4.7565329972155242E-2</v>
      </c>
    </row>
    <row r="175" spans="2:7">
      <c r="B175" s="111">
        <f>_xll.qlCalendarAdvance("Null",B174,"1m")</f>
        <v>48274</v>
      </c>
      <c r="C175" s="112">
        <f t="shared" si="4"/>
        <v>12.424657534246576</v>
      </c>
      <c r="D175" s="77">
        <f>_xll.qlYieldTSForwardRate($C$3,B175,B175,"Act/365 (fixed)","Continuous",,TRUE)</f>
        <v>4.7430656932951239E-2</v>
      </c>
      <c r="E175" s="77">
        <f>_xll.qlYieldTSZeroRate($C$3,B175,"Act/365 (Fixed)","Continuous",,TRUE)</f>
        <v>3.7201813412066291E-2</v>
      </c>
      <c r="F175" s="77">
        <f>_xll.qlYieldTSZeroRate($C$3,B175,"Act/365 (Fixed)","Compounded",,TRUE)</f>
        <v>3.7902462340711152E-2</v>
      </c>
      <c r="G175" s="77">
        <f>_xll.qlYieldTSForwardRate($C$4,B175,B175,"Act/365 (fixed)","Continuous",,TRUE)</f>
        <v>4.7548102601285509E-2</v>
      </c>
    </row>
    <row r="176" spans="2:7">
      <c r="B176" s="111">
        <f>_xll.qlCalendarAdvance("Null",B175,"1m")</f>
        <v>48305</v>
      </c>
      <c r="C176" s="112">
        <f t="shared" si="4"/>
        <v>12.509589041095891</v>
      </c>
      <c r="D176" s="77">
        <f>_xll.qlYieldTSForwardRate($C$3,B176,B176,"Act/365 (fixed)","Continuous",,TRUE)</f>
        <v>4.7416514597215034E-2</v>
      </c>
      <c r="E176" s="77">
        <f>_xll.qlYieldTSZeroRate($C$3,B176,"Act/365 (Fixed)","Continuous",,TRUE)</f>
        <v>3.7271212216925052E-2</v>
      </c>
      <c r="F176" s="77">
        <f>_xll.qlYieldTSZeroRate($C$3,B176,"Act/365 (Fixed)","Compounded",,TRUE)</f>
        <v>3.797449403058506E-2</v>
      </c>
      <c r="G176" s="77">
        <f>_xll.qlYieldTSForwardRate($C$4,B176,B176,"Act/365 (fixed)","Continuous",,TRUE)</f>
        <v>4.7528799398531787E-2</v>
      </c>
    </row>
    <row r="177" spans="2:7">
      <c r="B177" s="111">
        <f>_xll.qlCalendarAdvance("Null",B176,"1m")</f>
        <v>48335</v>
      </c>
      <c r="C177" s="112">
        <f t="shared" si="4"/>
        <v>12.591780821917808</v>
      </c>
      <c r="D177" s="77">
        <f>_xll.qlYieldTSForwardRate($C$3,B177,B177,"Act/365 (fixed)","Continuous",,TRUE)</f>
        <v>4.7402828467700671E-2</v>
      </c>
      <c r="E177" s="77">
        <f>_xll.qlYieldTSZeroRate($C$3,B177,"Act/365 (Fixed)","Continuous",,TRUE)</f>
        <v>3.7337390149796597E-2</v>
      </c>
      <c r="F177" s="77">
        <f>_xll.qlYieldTSZeroRate($C$3,B177,"Act/365 (Fixed)","Compounded",,TRUE)</f>
        <v>3.8043187309938054E-2</v>
      </c>
      <c r="G177" s="77">
        <f>_xll.qlYieldTSForwardRate($C$4,B177,B177,"Act/365 (fixed)","Continuous",,TRUE)</f>
        <v>4.7509305111722973E-2</v>
      </c>
    </row>
    <row r="178" spans="2:7">
      <c r="B178" s="111">
        <f>_xll.qlCalendarAdvance("Null",B177,"1m")</f>
        <v>48366</v>
      </c>
      <c r="C178" s="112">
        <f t="shared" si="4"/>
        <v>12.676712328767124</v>
      </c>
      <c r="D178" s="77">
        <f>_xll.qlYieldTSForwardRate($C$3,B178,B178,"Act/365 (fixed)","Continuous",,TRUE)</f>
        <v>4.7388686129704663E-2</v>
      </c>
      <c r="E178" s="77">
        <f>_xll.qlYieldTSZeroRate($C$3,B178,"Act/365 (Fixed)","Continuous",,TRUE)</f>
        <v>3.7404779253240227E-2</v>
      </c>
      <c r="F178" s="77">
        <f>_xll.qlYieldTSZeroRate($C$3,B178,"Act/365 (Fixed)","Compounded",,TRUE)</f>
        <v>3.8113142466747796E-2</v>
      </c>
      <c r="G178" s="77">
        <f>_xll.qlYieldTSForwardRate($C$4,B178,B178,"Act/365 (fixed)","Continuous",,TRUE)</f>
        <v>4.7488383122594104E-2</v>
      </c>
    </row>
    <row r="179" spans="2:7">
      <c r="B179" s="111">
        <f>_xll.qlCalendarAdvance("Null",B178,"1m")</f>
        <v>48396</v>
      </c>
      <c r="C179" s="112">
        <f t="shared" si="4"/>
        <v>12.758904109589041</v>
      </c>
      <c r="D179" s="77">
        <f>_xll.qlYieldTSForwardRate($C$3,B179,B179,"Act/365 (fixed)","Continuous",,TRUE)</f>
        <v>4.7375000000152219E-2</v>
      </c>
      <c r="E179" s="77">
        <f>_xll.qlYieldTSZeroRate($C$3,B179,"Act/365 (Fixed)","Continuous",,TRUE)</f>
        <v>3.7469050654222319E-2</v>
      </c>
      <c r="F179" s="77">
        <f>_xll.qlYieldTSZeroRate($C$3,B179,"Act/365 (Fixed)","Compounded",,TRUE)</f>
        <v>3.8179865596963625E-2</v>
      </c>
      <c r="G179" s="77">
        <f>_xll.qlYieldTSForwardRate($C$4,B179,B179,"Act/365 (fixed)","Continuous",,TRUE)</f>
        <v>4.7467443549792675E-2</v>
      </c>
    </row>
    <row r="180" spans="2:7">
      <c r="B180" s="111">
        <f>_xll.qlCalendarAdvance("Null",B179,"1m")</f>
        <v>48427</v>
      </c>
      <c r="C180" s="112">
        <f t="shared" si="4"/>
        <v>12.843835616438357</v>
      </c>
      <c r="D180" s="77">
        <f>_xll.qlYieldTSForwardRate($C$3,B180,B180,"Act/365 (fixed)","Continuous",,TRUE)</f>
        <v>4.7360857664337293E-2</v>
      </c>
      <c r="E180" s="77">
        <f>_xll.qlYieldTSZeroRate($C$3,B180,"Act/365 (Fixed)","Continuous",,TRUE)</f>
        <v>3.7534508253094921E-2</v>
      </c>
      <c r="F180" s="77">
        <f>_xll.qlYieldTSZeroRate($C$3,B180,"Act/365 (Fixed)","Compounded",,TRUE)</f>
        <v>3.8247824582355205E-2</v>
      </c>
      <c r="G180" s="77">
        <f>_xll.qlYieldTSForwardRate($C$4,B180,B180,"Act/365 (fixed)","Continuous",,TRUE)</f>
        <v>4.7445153421470682E-2</v>
      </c>
    </row>
    <row r="181" spans="2:7">
      <c r="B181" s="111">
        <f>_xll.qlCalendarAdvance("Null",B180,"1m")</f>
        <v>48458</v>
      </c>
      <c r="C181" s="112">
        <f t="shared" si="4"/>
        <v>12.92876712328767</v>
      </c>
      <c r="D181" s="77">
        <f>_xll.qlYieldTSForwardRate($C$3,B181,B181,"Act/365 (fixed)","Continuous",,TRUE)</f>
        <v>4.7346715328502376E-2</v>
      </c>
      <c r="E181" s="77">
        <f>_xll.qlYieldTSZeroRate($C$3,B181,"Act/365 (Fixed)","Continuous",,TRUE)</f>
        <v>3.7599012941702877E-2</v>
      </c>
      <c r="F181" s="77">
        <f>_xll.qlYieldTSZeroRate($C$3,B181,"Act/365 (Fixed)","Compounded",,TRUE)</f>
        <v>3.8314798595023403E-2</v>
      </c>
      <c r="G181" s="77">
        <f>_xll.qlYieldTSForwardRate($C$4,B181,B181,"Act/365 (fixed)","Continuous",,TRUE)</f>
        <v>4.742226406638584E-2</v>
      </c>
    </row>
    <row r="182" spans="2:7">
      <c r="B182" s="111">
        <f>_xll.qlCalendarAdvance("Null",B181,"1m")</f>
        <v>48488</v>
      </c>
      <c r="C182" s="112">
        <f t="shared" si="4"/>
        <v>13.010958904109589</v>
      </c>
      <c r="D182" s="77">
        <f>_xll.qlYieldTSForwardRate($C$3,B182,B182,"Act/365 (fixed)","Continuous",,TRUE)</f>
        <v>4.7333029198892485E-2</v>
      </c>
      <c r="E182" s="77">
        <f>_xll.qlYieldTSZeroRate($C$3,B182,"Act/365 (Fixed)","Continuous",,TRUE)</f>
        <v>3.76605471130299E-2</v>
      </c>
      <c r="F182" s="77">
        <f>_xll.qlYieldTSZeroRate($C$3,B182,"Act/365 (Fixed)","Compounded",,TRUE)</f>
        <v>3.8378692401537684E-2</v>
      </c>
      <c r="G182" s="77">
        <f>_xll.qlYieldTSForwardRate($C$4,B182,B182,"Act/365 (fixed)","Continuous",,TRUE)</f>
        <v>4.7399603504925045E-2</v>
      </c>
    </row>
    <row r="183" spans="2:7">
      <c r="B183" s="111">
        <f>_xll.qlCalendarAdvance("Null",B182,"1m")</f>
        <v>48519</v>
      </c>
      <c r="C183" s="112">
        <f t="shared" si="4"/>
        <v>13.095890410958905</v>
      </c>
      <c r="D183" s="77">
        <f>_xll.qlYieldTSForwardRate($C$3,B183,B183,"Act/365 (fixed)","Continuous",,TRUE)</f>
        <v>4.7318886860797771E-2</v>
      </c>
      <c r="E183" s="77">
        <f>_xll.qlYieldTSZeroRate($C$3,B183,"Act/365 (Fixed)","Continuous",,TRUE)</f>
        <v>3.772323074031049E-2</v>
      </c>
      <c r="F183" s="77">
        <f>_xll.qlYieldTSZeroRate($C$3,B183,"Act/365 (Fixed)","Compounded",,TRUE)</f>
        <v>3.8443783784529062E-2</v>
      </c>
      <c r="G183" s="77">
        <f>_xll.qlYieldTSForwardRate($C$4,B183,B183,"Act/365 (fixed)","Continuous",,TRUE)</f>
        <v>4.7375724041990218E-2</v>
      </c>
    </row>
    <row r="184" spans="2:7">
      <c r="B184" s="111">
        <f>_xll.qlCalendarAdvance("Null",B183,"1m")</f>
        <v>48549</v>
      </c>
      <c r="C184" s="112">
        <f t="shared" si="4"/>
        <v>13.178082191780822</v>
      </c>
      <c r="D184" s="77">
        <f>_xll.qlYieldTSForwardRate($C$3,B184,B184,"Act/365 (fixed)","Continuous",,TRUE)</f>
        <v>4.7305200731149785E-2</v>
      </c>
      <c r="E184" s="77">
        <f>_xll.qlYieldTSZeroRate($C$3,B184,"Act/365 (Fixed)","Continuous",,TRUE)</f>
        <v>3.778303622714195E-2</v>
      </c>
      <c r="F184" s="77">
        <f>_xll.qlYieldTSZeroRate($C$3,B184,"Act/365 (Fixed)","Compounded",,TRUE)</f>
        <v>3.8505890277701349E-2</v>
      </c>
      <c r="G184" s="77">
        <f>_xll.qlYieldTSForwardRate($C$4,B184,B184,"Act/365 (fixed)","Continuous",,TRUE)</f>
        <v>4.7352226593829996E-2</v>
      </c>
    </row>
    <row r="185" spans="2:7">
      <c r="B185" s="111">
        <f>_xll.qlCalendarAdvance("Null",B184,"1m")</f>
        <v>48580</v>
      </c>
      <c r="C185" s="112">
        <f t="shared" si="4"/>
        <v>13.263013698630138</v>
      </c>
      <c r="D185" s="77">
        <f>_xll.qlYieldTSForwardRate($C$3,B185,B185,"Act/365 (fixed)","Continuous",,TRUE)</f>
        <v>4.7291058393015721E-2</v>
      </c>
      <c r="E185" s="77">
        <f>_xll.qlYieldTSZeroRate($C$3,B185,"Act/365 (Fixed)","Continuous",,TRUE)</f>
        <v>3.7843967417677364E-2</v>
      </c>
      <c r="F185" s="77">
        <f>_xll.qlYieldTSZeroRate($C$3,B185,"Act/365 (Fixed)","Compounded",,TRUE)</f>
        <v>3.8569169605796816E-2</v>
      </c>
      <c r="G185" s="77">
        <f>_xll.qlYieldTSForwardRate($C$4,B185,B185,"Act/365 (fixed)","Continuous",,TRUE)</f>
        <v>4.7327607668015775E-2</v>
      </c>
    </row>
    <row r="186" spans="2:7">
      <c r="B186" s="111">
        <f>_xll.qlCalendarAdvance("Null",B185,"1m")</f>
        <v>48611</v>
      </c>
      <c r="C186" s="112">
        <f t="shared" si="4"/>
        <v>13.347945205479451</v>
      </c>
      <c r="D186" s="77">
        <f>_xll.qlYieldTSForwardRate($C$3,B186,B186,"Act/365 (fixed)","Continuous",,TRUE)</f>
        <v>4.7276916059302516E-2</v>
      </c>
      <c r="E186" s="77">
        <f>_xll.qlYieldTSZeroRate($C$3,B186,"Act/365 (Fixed)","Continuous",,TRUE)</f>
        <v>3.7904033225162309E-2</v>
      </c>
      <c r="F186" s="77">
        <f>_xll.qlYieldTSZeroRate($C$3,B186,"Act/365 (Fixed)","Compounded",,TRUE)</f>
        <v>3.8631553975163158E-2</v>
      </c>
      <c r="G186" s="77">
        <f>_xll.qlYieldTSForwardRate($C$4,B186,B186,"Act/365 (fixed)","Continuous",,TRUE)</f>
        <v>4.730270900723E-2</v>
      </c>
    </row>
    <row r="187" spans="2:7">
      <c r="B187" s="111">
        <f>_xll.qlCalendarAdvance("Null",B186,"1m")</f>
        <v>48639</v>
      </c>
      <c r="C187" s="112">
        <f t="shared" si="4"/>
        <v>13.424657534246576</v>
      </c>
      <c r="D187" s="77">
        <f>_xll.qlYieldTSForwardRate($C$3,B187,B187,"Act/365 (fixed)","Continuous",,TRUE)</f>
        <v>4.7264142335432163E-2</v>
      </c>
      <c r="E187" s="77">
        <f>_xll.qlYieldTSZeroRate($C$3,B187,"Act/365 (Fixed)","Continuous",,TRUE)</f>
        <v>3.7957556059287544E-2</v>
      </c>
      <c r="F187" s="77">
        <f>_xll.qlYieldTSZeroRate($C$3,B187,"Act/365 (Fixed)","Compounded",,TRUE)</f>
        <v>3.8687145967251091E-2</v>
      </c>
      <c r="G187" s="77">
        <f>_xll.qlYieldTSForwardRate($C$4,B187,B187,"Act/365 (fixed)","Continuous",,TRUE)</f>
        <v>4.728003329990739E-2</v>
      </c>
    </row>
    <row r="188" spans="2:7">
      <c r="B188" s="111">
        <f>_xll.qlCalendarAdvance("Null",B187,"1m")</f>
        <v>48670</v>
      </c>
      <c r="C188" s="112">
        <f t="shared" si="4"/>
        <v>13.509589041095891</v>
      </c>
      <c r="D188" s="77">
        <f>_xll.qlYieldTSForwardRate($C$3,B188,B188,"Act/365 (fixed)","Continuous",,TRUE)</f>
        <v>4.724999999946046E-2</v>
      </c>
      <c r="E188" s="77">
        <f>_xll.qlYieldTSZeroRate($C$3,B188,"Act/365 (Fixed)","Continuous",,TRUE)</f>
        <v>3.8016019853318476E-2</v>
      </c>
      <c r="F188" s="77">
        <f>_xll.qlYieldTSZeroRate($C$3,B188,"Act/365 (Fixed)","Compounded",,TRUE)</f>
        <v>3.8747873333774274E-2</v>
      </c>
      <c r="G188" s="77">
        <f>_xll.qlYieldTSForwardRate($C$4,B188,B188,"Act/365 (fixed)","Continuous",,TRUE)</f>
        <v>4.7254781079049485E-2</v>
      </c>
    </row>
    <row r="189" spans="2:7">
      <c r="B189" s="111">
        <f>_xll.qlCalendarAdvance("Null",B188,"1m")</f>
        <v>48700</v>
      </c>
      <c r="C189" s="112">
        <f t="shared" si="4"/>
        <v>13.591780821917808</v>
      </c>
      <c r="D189" s="77">
        <f>_xll.qlYieldTSForwardRate($C$3,B189,B189,"Act/365 (fixed)","Continuous",,TRUE)</f>
        <v>4.7236313867497763E-2</v>
      </c>
      <c r="E189" s="77">
        <f>_xll.qlYieldTSZeroRate($C$3,B189,"Act/365 (Fixed)","Continuous",,TRUE)</f>
        <v>3.8071817900572978E-2</v>
      </c>
      <c r="F189" s="77">
        <f>_xll.qlYieldTSZeroRate($C$3,B189,"Act/365 (Fixed)","Compounded",,TRUE)</f>
        <v>3.8805835053756343E-2</v>
      </c>
      <c r="G189" s="77">
        <f>_xll.qlYieldTSForwardRate($C$4,B189,B189,"Act/365 (fixed)","Continuous",,TRUE)</f>
        <v>4.7230255382423314E-2</v>
      </c>
    </row>
    <row r="190" spans="2:7">
      <c r="B190" s="111">
        <f>_xll.qlCalendarAdvance("Null",B189,"1m")</f>
        <v>48731</v>
      </c>
      <c r="C190" s="112">
        <f t="shared" si="4"/>
        <v>13.676712328767124</v>
      </c>
      <c r="D190" s="77">
        <f>_xll.qlYieldTSForwardRate($C$3,B190,B190,"Act/365 (fixed)","Continuous",,TRUE)</f>
        <v>4.7222171533707141E-2</v>
      </c>
      <c r="E190" s="77">
        <f>_xll.qlYieldTSZeroRate($C$3,B190,"Act/365 (Fixed)","Continuous",,TRUE)</f>
        <v>3.8128684921567541E-2</v>
      </c>
      <c r="F190" s="77">
        <f>_xll.qlYieldTSZeroRate($C$3,B190,"Act/365 (Fixed)","Compounded",,TRUE)</f>
        <v>3.8864910526694718E-2</v>
      </c>
      <c r="G190" s="77">
        <f>_xll.qlYieldTSForwardRate($C$4,B190,B190,"Act/365 (fixed)","Continuous",,TRUE)</f>
        <v>4.7204884161636332E-2</v>
      </c>
    </row>
    <row r="191" spans="2:7">
      <c r="B191" s="111">
        <f>_xll.qlCalendarAdvance("Null",B190,"1m")</f>
        <v>48761</v>
      </c>
      <c r="C191" s="112">
        <f t="shared" si="4"/>
        <v>13.758904109589041</v>
      </c>
      <c r="D191" s="77">
        <f>_xll.qlYieldTSForwardRate($C$3,B191,B191,"Act/365 (fixed)","Continuous",,TRUE)</f>
        <v>4.7208485401706364E-2</v>
      </c>
      <c r="E191" s="77">
        <f>_xll.qlYieldTSZeroRate($C$3,B191,"Act/365 (Fixed)","Continuous",,TRUE)</f>
        <v>3.8182965946332088E-2</v>
      </c>
      <c r="F191" s="77">
        <f>_xll.qlYieldTSZeroRate($C$3,B191,"Act/365 (Fixed)","Compounded",,TRUE)</f>
        <v>3.892130270912908E-2</v>
      </c>
      <c r="G191" s="77">
        <f>_xll.qlYieldTSForwardRate($C$4,B191,B191,"Act/365 (fixed)","Continuous",,TRUE)</f>
        <v>4.7180364579967347E-2</v>
      </c>
    </row>
    <row r="192" spans="2:7">
      <c r="B192" s="111">
        <f>_xll.qlCalendarAdvance("Null",B191,"1m")</f>
        <v>48792</v>
      </c>
      <c r="C192" s="112">
        <f t="shared" si="4"/>
        <v>13.843835616438357</v>
      </c>
      <c r="D192" s="77">
        <f>_xll.qlYieldTSForwardRate($C$3,B192,B192,"Act/365 (fixed)","Continuous",,TRUE)</f>
        <v>4.7194343065655946E-2</v>
      </c>
      <c r="E192" s="77">
        <f>_xll.qlYieldTSZeroRate($C$3,B192,"Act/365 (Fixed)","Continuous",,TRUE)</f>
        <v>3.8238293849934817E-2</v>
      </c>
      <c r="F192" s="77">
        <f>_xll.qlYieldTSZeroRate($C$3,B192,"Act/365 (Fixed)","Compounded",,TRUE)</f>
        <v>3.8978785637006519E-2</v>
      </c>
      <c r="G192" s="77">
        <f>_xll.qlYieldTSForwardRate($C$4,B192,B192,"Act/365 (fixed)","Continuous",,TRUE)</f>
        <v>4.715512500423838E-2</v>
      </c>
    </row>
    <row r="193" spans="2:7">
      <c r="B193" s="111">
        <f>_xll.qlCalendarAdvance("Null",B192,"1m")</f>
        <v>48823</v>
      </c>
      <c r="C193" s="112">
        <f t="shared" si="4"/>
        <v>13.92876712328767</v>
      </c>
      <c r="D193" s="77">
        <f>_xll.qlYieldTSForwardRate($C$3,B193,B193,"Act/365 (fixed)","Continuous",,TRUE)</f>
        <v>4.7180200729585536E-2</v>
      </c>
      <c r="E193" s="77">
        <f>_xll.qlYieldTSZeroRate($C$3,B193,"Act/365 (Fixed)","Continuous",,TRUE)</f>
        <v>3.8292860789251128E-2</v>
      </c>
      <c r="F193" s="77">
        <f>_xll.qlYieldTSZeroRate($C$3,B193,"Act/365 (Fixed)","Compounded",,TRUE)</f>
        <v>3.9035481076187484E-2</v>
      </c>
      <c r="G193" s="77">
        <f>_xll.qlYieldTSForwardRate($C$4,B193,B193,"Act/365 (fixed)","Continuous",,TRUE)</f>
        <v>4.7130048388433682E-2</v>
      </c>
    </row>
    <row r="194" spans="2:7">
      <c r="B194" s="111">
        <f>_xll.qlCalendarAdvance("Null",B193,"1m")</f>
        <v>48853</v>
      </c>
      <c r="C194" s="112">
        <f t="shared" si="4"/>
        <v>14.010958904109589</v>
      </c>
      <c r="D194" s="77">
        <f>_xll.qlYieldTSForwardRate($C$3,B194,B194,"Act/365 (fixed)","Continuous",,TRUE)</f>
        <v>4.7166514597527312E-2</v>
      </c>
      <c r="E194" s="77">
        <f>_xll.qlYieldTSZeroRate($C$3,B194,"Act/365 (Fixed)","Continuous",,TRUE)</f>
        <v>3.8344955999702723E-2</v>
      </c>
      <c r="F194" s="77">
        <f>_xll.qlYieldTSZeroRate($C$3,B194,"Act/365 (Fixed)","Compounded",,TRUE)</f>
        <v>3.9089611258190216E-2</v>
      </c>
      <c r="G194" s="77">
        <f>_xll.qlYieldTSForwardRate($C$4,B194,B194,"Act/365 (fixed)","Continuous",,TRUE)</f>
        <v>4.7105996823333496E-2</v>
      </c>
    </row>
    <row r="195" spans="2:7">
      <c r="B195" s="111">
        <f>_xll.qlCalendarAdvance("Null",B194,"1m")</f>
        <v>48884</v>
      </c>
      <c r="C195" s="112">
        <f t="shared" si="4"/>
        <v>14.095890410958905</v>
      </c>
      <c r="D195" s="77">
        <f>_xll.qlYieldTSForwardRate($C$3,B195,B195,"Act/365 (fixed)","Continuous",,TRUE)</f>
        <v>4.7152372263637984E-2</v>
      </c>
      <c r="E195" s="77">
        <f>_xll.qlYieldTSZeroRate($C$3,B195,"Act/365 (Fixed)","Continuous",,TRUE)</f>
        <v>3.8398065642143861E-2</v>
      </c>
      <c r="F195" s="77">
        <f>_xll.qlYieldTSZeroRate($C$3,B195,"Act/365 (Fixed)","Compounded",,TRUE)</f>
        <v>3.9144798401380188E-2</v>
      </c>
      <c r="G195" s="77">
        <f>_xll.qlYieldTSForwardRate($C$4,B195,B195,"Act/365 (fixed)","Continuous",,TRUE)</f>
        <v>4.7081429886192107E-2</v>
      </c>
    </row>
    <row r="196" spans="2:7">
      <c r="B196" s="111">
        <f>_xll.qlCalendarAdvance("Null",B195,"1m")</f>
        <v>48914</v>
      </c>
      <c r="C196" s="112">
        <f t="shared" si="4"/>
        <v>14.178082191780822</v>
      </c>
      <c r="D196" s="77">
        <f>_xll.qlYieldTSForwardRate($C$3,B196,B196,"Act/365 (fixed)","Continuous",,TRUE)</f>
        <v>4.7138686131541679E-2</v>
      </c>
      <c r="E196" s="77">
        <f>_xll.qlYieldTSZeroRate($C$3,B196,"Act/365 (Fixed)","Continuous",,TRUE)</f>
        <v>3.8448775575795659E-2</v>
      </c>
      <c r="F196" s="77">
        <f>_xll.qlYieldTSZeroRate($C$3,B196,"Act/365 (Fixed)","Compounded",,TRUE)</f>
        <v>3.9197494701263214E-2</v>
      </c>
      <c r="G196" s="77">
        <f>_xll.qlYieldTSForwardRate($C$4,B196,B196,"Act/365 (fixed)","Continuous",,TRUE)</f>
        <v>4.7057992835409131E-2</v>
      </c>
    </row>
    <row r="197" spans="2:7">
      <c r="B197" s="111">
        <f>_xll.qlCalendarAdvance("Null",B196,"1m")</f>
        <v>48945</v>
      </c>
      <c r="C197" s="112">
        <f t="shared" si="4"/>
        <v>14.263013698630138</v>
      </c>
      <c r="D197" s="77">
        <f>_xll.qlYieldTSForwardRate($C$3,B197,B197,"Act/365 (fixed)","Continuous",,TRUE)</f>
        <v>4.7124543793172109E-2</v>
      </c>
      <c r="E197" s="77">
        <f>_xll.qlYieldTSZeroRate($C$3,B197,"Act/365 (Fixed)","Continuous",,TRUE)</f>
        <v>3.8500478998964874E-2</v>
      </c>
      <c r="F197" s="77">
        <f>_xll.qlYieldTSZeroRate($C$3,B197,"Act/365 (Fixed)","Compounded",,TRUE)</f>
        <v>3.9251226158126373E-2</v>
      </c>
      <c r="G197" s="77">
        <f>_xll.qlYieldTSForwardRate($C$4,B197,B197,"Act/365 (fixed)","Continuous",,TRUE)</f>
        <v>4.7034186219709909E-2</v>
      </c>
    </row>
    <row r="198" spans="2:7">
      <c r="B198" s="111">
        <f>_xll.qlCalendarAdvance("Null",B197,"1m")</f>
        <v>48976</v>
      </c>
      <c r="C198" s="112">
        <f t="shared" si="4"/>
        <v>14.347945205479451</v>
      </c>
      <c r="D198" s="77">
        <f>_xll.qlYieldTSForwardRate($C$3,B198,B198,"Act/365 (fixed)","Continuous",,TRUE)</f>
        <v>4.7110401461443858E-2</v>
      </c>
      <c r="E198" s="77">
        <f>_xll.qlYieldTSZeroRate($C$3,B198,"Act/365 (Fixed)","Continuous",,TRUE)</f>
        <v>3.8551486599211572E-2</v>
      </c>
      <c r="F198" s="77">
        <f>_xll.qlYieldTSZeroRate($C$3,B198,"Act/365 (Fixed)","Compounded",,TRUE)</f>
        <v>3.9304237221198246E-2</v>
      </c>
      <c r="G198" s="77">
        <f>_xll.qlYieldTSForwardRate($C$4,B198,B198,"Act/365 (fixed)","Continuous",,TRUE)</f>
        <v>4.7010862053542227E-2</v>
      </c>
    </row>
    <row r="199" spans="2:7">
      <c r="B199" s="111">
        <f>_xll.qlCalendarAdvance("Null",B198,"1m")</f>
        <v>49004</v>
      </c>
      <c r="C199" s="112">
        <f t="shared" si="4"/>
        <v>14.424657534246576</v>
      </c>
      <c r="D199" s="77">
        <f>_xll.qlYieldTSForwardRate($C$3,B199,B199,"Act/365 (fixed)","Continuous",,TRUE)</f>
        <v>4.7097627739581233E-2</v>
      </c>
      <c r="E199" s="77">
        <f>_xll.qlYieldTSZeroRate($C$3,B199,"Act/365 (Fixed)","Continuous",,TRUE)</f>
        <v>3.8596970128932609E-2</v>
      </c>
      <c r="F199" s="77">
        <f>_xll.qlYieldTSZeroRate($C$3,B199,"Act/365 (Fixed)","Compounded",,TRUE)</f>
        <v>3.9351509521408534E-2</v>
      </c>
      <c r="G199" s="77">
        <f>_xll.qlYieldTSForwardRate($C$4,B199,B199,"Act/365 (fixed)","Continuous",,TRUE)</f>
        <v>4.6990263583060118E-2</v>
      </c>
    </row>
    <row r="200" spans="2:7">
      <c r="B200" s="111">
        <f>_xll.qlCalendarAdvance("Null",B199,"1m")</f>
        <v>49035</v>
      </c>
      <c r="C200" s="112">
        <f t="shared" si="4"/>
        <v>14.509589041095891</v>
      </c>
      <c r="D200" s="77">
        <f>_xll.qlYieldTSForwardRate($C$3,B200,B200,"Act/365 (fixed)","Continuous",,TRUE)</f>
        <v>4.7083485398933166E-2</v>
      </c>
      <c r="E200" s="77">
        <f>_xll.qlYieldTSZeroRate($C$3,B200,"Act/365 (Fixed)","Continuous",,TRUE)</f>
        <v>3.8646687119048298E-2</v>
      </c>
      <c r="F200" s="77">
        <f>_xll.qlYieldTSZeroRate($C$3,B200,"Act/365 (Fixed)","Compounded",,TRUE)</f>
        <v>3.9403184234678923E-2</v>
      </c>
      <c r="G200" s="77">
        <f>_xll.qlYieldTSForwardRate($C$4,B200,B200,"Act/365 (fixed)","Continuous",,TRUE)</f>
        <v>4.6968036469637389E-2</v>
      </c>
    </row>
    <row r="201" spans="2:7">
      <c r="B201" s="111">
        <f>_xll.qlCalendarAdvance("Null",B200,"1m")</f>
        <v>49065</v>
      </c>
      <c r="C201" s="112">
        <f t="shared" si="4"/>
        <v>14.591780821917808</v>
      </c>
      <c r="D201" s="77">
        <f>_xll.qlYieldTSForwardRate($C$3,B201,B201,"Act/365 (fixed)","Continuous",,TRUE)</f>
        <v>4.7069799268963014E-2</v>
      </c>
      <c r="E201" s="77">
        <f>_xll.qlYieldTSZeroRate($C$3,B201,"Act/365 (Fixed)","Continuous",,TRUE)</f>
        <v>3.8694170907351264E-2</v>
      </c>
      <c r="F201" s="77">
        <f>_xll.qlYieldTSZeroRate($C$3,B201,"Act/365 (Fixed)","Compounded",,TRUE)</f>
        <v>3.9452540207235653E-2</v>
      </c>
      <c r="G201" s="77">
        <f>_xll.qlYieldTSForwardRate($C$4,B201,B201,"Act/365 (fixed)","Continuous",,TRUE)</f>
        <v>4.6947163992870085E-2</v>
      </c>
    </row>
    <row r="202" spans="2:7">
      <c r="B202" s="111">
        <f>_xll.qlCalendarAdvance("Null",B201,"1m")</f>
        <v>49096</v>
      </c>
      <c r="C202" s="112">
        <f t="shared" si="4"/>
        <v>14.676712328767124</v>
      </c>
      <c r="D202" s="77">
        <f>_xll.qlYieldTSForwardRate($C$3,B202,B202,"Act/365 (fixed)","Continuous",,TRUE)</f>
        <v>4.7055656932716468E-2</v>
      </c>
      <c r="E202" s="77">
        <f>_xll.qlYieldTSZeroRate($C$3,B202,"Act/365 (Fixed)","Continuous",,TRUE)</f>
        <v>3.8742598249714509E-2</v>
      </c>
      <c r="F202" s="77">
        <f>_xll.qlYieldTSZeroRate($C$3,B202,"Act/365 (Fixed)","Compounded",,TRUE)</f>
        <v>3.9502879350156173E-2</v>
      </c>
      <c r="G202" s="77">
        <f>_xll.qlYieldTSForwardRate($C$4,B202,B202,"Act/365 (fixed)","Continuous",,TRUE)</f>
        <v>4.6926317661688761E-2</v>
      </c>
    </row>
    <row r="203" spans="2:7">
      <c r="B203" s="111">
        <f>_xll.qlCalendarAdvance("Null",B202,"1m")</f>
        <v>49126</v>
      </c>
      <c r="C203" s="112">
        <f t="shared" si="4"/>
        <v>14.758904109589041</v>
      </c>
      <c r="D203" s="77">
        <f>_xll.qlYieldTSForwardRate($C$3,B203,B203,"Act/365 (fixed)","Continuous",,TRUE)</f>
        <v>4.7041970804928661E-2</v>
      </c>
      <c r="E203" s="77">
        <f>_xll.qlYieldTSZeroRate($C$3,B203,"Act/365 (Fixed)","Continuous",,TRUE)</f>
        <v>3.8788855251490451E-2</v>
      </c>
      <c r="F203" s="77">
        <f>_xll.qlYieldTSZeroRate($C$3,B203,"Act/365 (Fixed)","Compounded",,TRUE)</f>
        <v>3.9550964748827022E-2</v>
      </c>
      <c r="G203" s="77">
        <f>_xll.qlYieldTSForwardRate($C$4,B203,B203,"Act/365 (fixed)","Continuous",,TRUE)</f>
        <v>4.690690270765021E-2</v>
      </c>
    </row>
    <row r="204" spans="2:7">
      <c r="B204" s="111">
        <f>_xll.qlCalendarAdvance("Null",B203,"1m")</f>
        <v>49157</v>
      </c>
      <c r="C204" s="112">
        <f t="shared" si="4"/>
        <v>14.843835616438357</v>
      </c>
      <c r="D204" s="77">
        <f>_xll.qlYieldTSForwardRate($C$3,B204,B204,"Act/365 (fixed)","Continuous",,TRUE)</f>
        <v>4.7027828466422325E-2</v>
      </c>
      <c r="E204" s="77">
        <f>_xll.qlYieldTSZeroRate($C$3,B204,"Act/365 (Fixed)","Continuous",,TRUE)</f>
        <v>3.8836036383991343E-2</v>
      </c>
      <c r="F204" s="77">
        <f>_xll.qlYieldTSZeroRate($C$3,B204,"Act/365 (Fixed)","Compounded",,TRUE)</f>
        <v>3.9600013097705444E-2</v>
      </c>
      <c r="G204" s="77">
        <f>_xll.qlYieldTSForwardRate($C$4,B204,B204,"Act/365 (fixed)","Continuous",,TRUE)</f>
        <v>4.6887687810384084E-2</v>
      </c>
    </row>
    <row r="205" spans="2:7">
      <c r="B205" s="111">
        <f>_xll.qlCalendarAdvance("Null",B204,"1m")</f>
        <v>49188</v>
      </c>
      <c r="C205" s="112">
        <f t="shared" si="4"/>
        <v>14.92876712328767</v>
      </c>
      <c r="D205" s="77">
        <f>_xll.qlYieldTSForwardRate($C$3,B205,B205,"Act/365 (fixed)","Continuous",,TRUE)</f>
        <v>4.7013686132336863E-2</v>
      </c>
      <c r="E205" s="77">
        <f>_xll.qlYieldTSZeroRate($C$3,B205,"Act/365 (Fixed)","Continuous",,TRUE)</f>
        <v>3.888260022109425E-2</v>
      </c>
      <c r="F205" s="77">
        <f>_xll.qlYieldTSZeroRate($C$3,B205,"Act/365 (Fixed)","Compounded",,TRUE)</f>
        <v>3.9648421990410743E-2</v>
      </c>
      <c r="G205" s="77">
        <f>_xll.qlYieldTSForwardRate($C$4,B205,B205,"Act/365 (fixed)","Continuous",,TRUE)</f>
        <v>4.6869398055370971E-2</v>
      </c>
    </row>
    <row r="206" spans="2:7">
      <c r="B206" s="111">
        <f>_xll.qlCalendarAdvance("Null",B205,"1m")</f>
        <v>49218</v>
      </c>
      <c r="C206" s="112">
        <f t="shared" si="4"/>
        <v>15.010958904109589</v>
      </c>
      <c r="D206" s="77">
        <f>_xll.qlYieldTSForwardRate($C$3,B206,B206,"Act/365 (fixed)","Continuous",,TRUE)</f>
        <v>4.6999997082398347E-2</v>
      </c>
      <c r="E206" s="77">
        <f>_xll.qlYieldTSZeroRate($C$3,B206,"Act/365 (Fixed)","Continuous",,TRUE)</f>
        <v>3.8927084120590136E-2</v>
      </c>
      <c r="F206" s="77">
        <f>_xll.qlYieldTSZeroRate($C$3,B206,"Act/365 (Fixed)","Compounded",,TRUE)</f>
        <v>3.9694670634977891E-2</v>
      </c>
      <c r="G206" s="77">
        <f>_xll.qlYieldTSForwardRate($C$4,B206,B206,"Act/365 (fixed)","Continuous",,TRUE)</f>
        <v>4.6852640123365728E-2</v>
      </c>
    </row>
    <row r="207" spans="2:7">
      <c r="B207" s="111">
        <f>_xll.qlCalendarAdvance("Null",B206,"1m")</f>
        <v>49249</v>
      </c>
      <c r="C207" s="112">
        <f t="shared" si="4"/>
        <v>15.095890410958905</v>
      </c>
      <c r="D207" s="77">
        <f>_xll.qlYieldTSForwardRate($C$3,B207,B207,"Act/365 (fixed)","Continuous",,TRUE)</f>
        <v>4.6966046000093235E-2</v>
      </c>
      <c r="E207" s="77">
        <f>_xll.qlYieldTSZeroRate($C$3,B207,"Act/365 (Fixed)","Continuous",,TRUE)</f>
        <v>3.8972407914654672E-2</v>
      </c>
      <c r="F207" s="77">
        <f>_xll.qlYieldTSZeroRate($C$3,B207,"Act/365 (Fixed)","Compounded",,TRUE)</f>
        <v>3.9741794610030468E-2</v>
      </c>
      <c r="G207" s="77">
        <f>_xll.qlYieldTSForwardRate($C$4,B207,B207,"Act/365 (fixed)","Continuous",,TRUE)</f>
        <v>4.6835368460238322E-2</v>
      </c>
    </row>
    <row r="208" spans="2:7">
      <c r="B208" s="111">
        <f>_xll.qlCalendarAdvance("Null",B207,"1m")</f>
        <v>49279</v>
      </c>
      <c r="C208" s="112">
        <f t="shared" si="4"/>
        <v>15.178082191780822</v>
      </c>
      <c r="D208" s="77">
        <f>_xll.qlYieldTSForwardRate($C$3,B208,B208,"Act/365 (fixed)","Continuous",,TRUE)</f>
        <v>4.693318729206622E-2</v>
      </c>
      <c r="E208" s="77">
        <f>_xll.qlYieldTSZeroRate($C$3,B208,"Act/365 (Fixed)","Continuous",,TRUE)</f>
        <v>3.9015605795884409E-2</v>
      </c>
      <c r="F208" s="77">
        <f>_xll.qlYieldTSZeroRate($C$3,B208,"Act/365 (Fixed)","Compounded",,TRUE)</f>
        <v>3.9786710222706301E-2</v>
      </c>
      <c r="G208" s="77">
        <f>_xll.qlYieldTSForwardRate($C$4,B208,B208,"Act/365 (fixed)","Continuous",,TRUE)</f>
        <v>4.6817801421407824E-2</v>
      </c>
    </row>
    <row r="209" spans="2:7">
      <c r="B209" s="111">
        <f>_xll.qlCalendarAdvance("Null",B208,"1m")</f>
        <v>49310</v>
      </c>
      <c r="C209" s="112">
        <f t="shared" si="4"/>
        <v>15.263013698630138</v>
      </c>
      <c r="D209" s="77">
        <f>_xll.qlYieldTSForwardRate($C$3,B209,B209,"Act/365 (fixed)","Continuous",,TRUE)</f>
        <v>4.6899233296322729E-2</v>
      </c>
      <c r="E209" s="77">
        <f>_xll.qlYieldTSZeroRate($C$3,B209,"Act/365 (Fixed)","Continuous",,TRUE)</f>
        <v>3.9059568951421139E-2</v>
      </c>
      <c r="F209" s="77">
        <f>_xll.qlYieldTSZeroRate($C$3,B209,"Act/365 (Fixed)","Compounded",,TRUE)</f>
        <v>3.9832423532416117E-2</v>
      </c>
      <c r="G209" s="77">
        <f>_xll.qlYieldTSForwardRate($C$4,B209,B209,"Act/365 (fixed)","Continuous",,TRUE)</f>
        <v>4.6798787522247115E-2</v>
      </c>
    </row>
    <row r="210" spans="2:7">
      <c r="B210" s="111">
        <f>_xll.qlCalendarAdvance("Null",B209,"1m")</f>
        <v>49341</v>
      </c>
      <c r="C210" s="112">
        <f t="shared" si="4"/>
        <v>15.347945205479451</v>
      </c>
      <c r="D210" s="77">
        <f>_xll.qlYieldTSForwardRate($C$3,B210,B210,"Act/365 (fixed)","Continuous",,TRUE)</f>
        <v>4.6865279298243509E-2</v>
      </c>
      <c r="E210" s="77">
        <f>_xll.qlYieldTSZeroRate($C$3,B210,"Act/365 (Fixed)","Continuous",,TRUE)</f>
        <v>3.9102857653267181E-2</v>
      </c>
      <c r="F210" s="77">
        <f>_xll.qlYieldTSZeroRate($C$3,B210,"Act/365 (Fixed)","Compounded",,TRUE)</f>
        <v>3.9877437502459312E-2</v>
      </c>
      <c r="G210" s="77">
        <f>_xll.qlYieldTSForwardRate($C$4,B210,B210,"Act/365 (fixed)","Continuous",,TRUE)</f>
        <v>4.6778918195770534E-2</v>
      </c>
    </row>
    <row r="211" spans="2:7">
      <c r="B211" s="111">
        <f>_xll.qlCalendarAdvance("Null",B210,"1m")</f>
        <v>49369</v>
      </c>
      <c r="C211" s="112">
        <f t="shared" si="4"/>
        <v>15.424657534246576</v>
      </c>
      <c r="D211" s="77">
        <f>_xll.qlYieldTSForwardRate($C$3,B211,B211,"Act/365 (fixed)","Continuous",,TRUE)</f>
        <v>4.6834611171778201E-2</v>
      </c>
      <c r="E211" s="77">
        <f>_xll.qlYieldTSZeroRate($C$3,B211,"Act/365 (Fixed)","Continuous",,TRUE)</f>
        <v>3.9141386685647664E-2</v>
      </c>
      <c r="F211" s="77">
        <f>_xll.qlYieldTSZeroRate($C$3,B211,"Act/365 (Fixed)","Compounded",,TRUE)</f>
        <v>3.9917503745772409E-2</v>
      </c>
      <c r="G211" s="77">
        <f>_xll.qlYieldTSForwardRate($C$4,B211,B211,"Act/365 (fixed)","Continuous",,TRUE)</f>
        <v>4.6760253249103066E-2</v>
      </c>
    </row>
    <row r="212" spans="2:7">
      <c r="B212" s="111">
        <f>_xll.qlCalendarAdvance("Null",B211,"1m")</f>
        <v>49400</v>
      </c>
      <c r="C212" s="112">
        <f t="shared" si="4"/>
        <v>15.509589041095891</v>
      </c>
      <c r="D212" s="77">
        <f>_xll.qlYieldTSForwardRate($C$3,B212,B212,"Act/365 (fixed)","Continuous",,TRUE)</f>
        <v>4.6800657173479573E-2</v>
      </c>
      <c r="E212" s="77">
        <f>_xll.qlYieldTSZeroRate($C$3,B212,"Act/365 (Fixed)","Continuous",,TRUE)</f>
        <v>3.9183422310468306E-2</v>
      </c>
      <c r="F212" s="77">
        <f>_xll.qlYieldTSZeroRate($C$3,B212,"Act/365 (Fixed)","Compounded",,TRUE)</f>
        <v>3.9961218246581165E-2</v>
      </c>
      <c r="G212" s="77">
        <f>_xll.qlYieldTSForwardRate($C$4,B212,B212,"Act/365 (fixed)","Continuous",,TRUE)</f>
        <v>4.673881164981477E-2</v>
      </c>
    </row>
    <row r="213" spans="2:7">
      <c r="B213" s="111">
        <f>_xll.qlCalendarAdvance("Null",B212,"1m")</f>
        <v>49430</v>
      </c>
      <c r="C213" s="112">
        <f t="shared" si="4"/>
        <v>15.591780821917808</v>
      </c>
      <c r="D213" s="77">
        <f>_xll.qlYieldTSForwardRate($C$3,B213,B213,"Act/365 (fixed)","Continuous",,TRUE)</f>
        <v>4.6767798464909104E-2</v>
      </c>
      <c r="E213" s="77">
        <f>_xll.qlYieldTSZeroRate($C$3,B213,"Act/365 (Fixed)","Continuous",,TRUE)</f>
        <v>3.9223489814474141E-2</v>
      </c>
      <c r="F213" s="77">
        <f>_xll.qlYieldTSZeroRate($C$3,B213,"Act/365 (Fixed)","Compounded",,TRUE)</f>
        <v>4.0002887731649617E-2</v>
      </c>
      <c r="G213" s="77">
        <f>_xll.qlYieldTSForwardRate($C$4,B213,B213,"Act/365 (fixed)","Continuous",,TRUE)</f>
        <v>4.6717302853435644E-2</v>
      </c>
    </row>
    <row r="214" spans="2:7">
      <c r="B214" s="111">
        <f>_xll.qlCalendarAdvance("Null",B213,"1m")</f>
        <v>49461</v>
      </c>
      <c r="C214" s="112">
        <f t="shared" si="4"/>
        <v>15.676712328767124</v>
      </c>
      <c r="D214" s="77">
        <f>_xll.qlYieldTSForwardRate($C$3,B214,B214,"Act/365 (fixed)","Continuous",,TRUE)</f>
        <v>4.6733844468604055E-2</v>
      </c>
      <c r="E214" s="77">
        <f>_xll.qlYieldTSZeroRate($C$3,B214,"Act/365 (Fixed)","Continuous",,TRUE)</f>
        <v>3.926427053472048E-2</v>
      </c>
      <c r="F214" s="77">
        <f>_xll.qlYieldTSZeroRate($C$3,B214,"Act/365 (Fixed)","Compounded",,TRUE)</f>
        <v>4.0045300663278827E-2</v>
      </c>
      <c r="G214" s="77">
        <f>_xll.qlYieldTSForwardRate($C$4,B214,B214,"Act/365 (fixed)","Continuous",,TRUE)</f>
        <v>4.6694312600087447E-2</v>
      </c>
    </row>
    <row r="215" spans="2:7">
      <c r="B215" s="111">
        <f>_xll.qlCalendarAdvance("Null",B214,"1m")</f>
        <v>49491</v>
      </c>
      <c r="C215" s="112">
        <f t="shared" si="4"/>
        <v>15.758904109589041</v>
      </c>
      <c r="D215" s="77">
        <f>_xll.qlYieldTSForwardRate($C$3,B215,B215,"Act/365 (fixed)","Continuous",,TRUE)</f>
        <v>4.6700985762034478E-2</v>
      </c>
      <c r="E215" s="77">
        <f>_xll.qlYieldTSZeroRate($C$3,B215,"Act/365 (Fixed)","Continuous",,TRUE)</f>
        <v>3.9303142985591247E-2</v>
      </c>
      <c r="F215" s="77">
        <f>_xll.qlYieldTSZeroRate($C$3,B215,"Act/365 (Fixed)","Compounded",,TRUE)</f>
        <v>4.0085730558931498E-2</v>
      </c>
      <c r="G215" s="77">
        <f>_xll.qlYieldTSForwardRate($C$4,B215,B215,"Act/365 (fixed)","Continuous",,TRUE)</f>
        <v>4.6671342945668257E-2</v>
      </c>
    </row>
    <row r="216" spans="2:7">
      <c r="B216" s="111">
        <f>_xll.qlCalendarAdvance("Null",B215,"1m")</f>
        <v>49522</v>
      </c>
      <c r="C216" s="112">
        <f t="shared" si="4"/>
        <v>15.843835616438357</v>
      </c>
      <c r="D216" s="77">
        <f>_xll.qlYieldTSForwardRate($C$3,B216,B216,"Act/365 (fixed)","Continuous",,TRUE)</f>
        <v>4.6667031765502569E-2</v>
      </c>
      <c r="E216" s="77">
        <f>_xll.qlYieldTSZeroRate($C$3,B216,"Act/365 (Fixed)","Continuous",,TRUE)</f>
        <v>3.9342708408222862E-2</v>
      </c>
      <c r="F216" s="77">
        <f>_xll.qlYieldTSZeroRate($C$3,B216,"Act/365 (Fixed)","Compounded",,TRUE)</f>
        <v>4.0126882804531805E-2</v>
      </c>
      <c r="G216" s="77">
        <f>_xll.qlYieldTSForwardRate($C$4,B216,B216,"Act/365 (fixed)","Continuous",,TRUE)</f>
        <v>4.664688224198428E-2</v>
      </c>
    </row>
    <row r="217" spans="2:7">
      <c r="B217" s="111">
        <f>_xll.qlCalendarAdvance("Null",B216,"1m")</f>
        <v>49553</v>
      </c>
      <c r="C217" s="112">
        <f t="shared" si="4"/>
        <v>15.92876712328767</v>
      </c>
      <c r="D217" s="77">
        <f>_xll.qlYieldTSForwardRate($C$3,B217,B217,"Act/365 (fixed)","Continuous",,TRUE)</f>
        <v>4.6633077766634938E-2</v>
      </c>
      <c r="E217" s="77">
        <f>_xll.qlYieldTSZeroRate($C$3,B217,"Act/365 (Fixed)","Continuous",,TRUE)</f>
        <v>3.9381670867294924E-2</v>
      </c>
      <c r="F217" s="77">
        <f>_xll.qlYieldTSZeroRate($C$3,B217,"Act/365 (Fixed)","Compounded",,TRUE)</f>
        <v>4.016740949513764E-2</v>
      </c>
      <c r="G217" s="77">
        <f>_xll.qlYieldTSForwardRate($C$4,B217,B217,"Act/365 (fixed)","Continuous",,TRUE)</f>
        <v>4.6621704228708968E-2</v>
      </c>
    </row>
    <row r="218" spans="2:7">
      <c r="B218" s="111">
        <f>_xll.qlCalendarAdvance("Null",B217,"1m")</f>
        <v>49583</v>
      </c>
      <c r="C218" s="112">
        <f t="shared" ref="C218:C281" si="5">(B218-$B$26)/365</f>
        <v>16.010958904109589</v>
      </c>
      <c r="D218" s="77">
        <f>_xll.qlYieldTSForwardRate($C$3,B218,B218,"Act/365 (fixed)","Continuous",,TRUE)</f>
        <v>4.6600219057513825E-2</v>
      </c>
      <c r="E218" s="77">
        <f>_xll.qlYieldTSZeroRate($C$3,B218,"Act/365 (Fixed)","Continuous",,TRUE)</f>
        <v>3.9418811409104644E-2</v>
      </c>
      <c r="F218" s="77">
        <f>_xll.qlYieldTSZeroRate($C$3,B218,"Act/365 (Fixed)","Compounded",,TRUE)</f>
        <v>4.0206042593721625E-2</v>
      </c>
      <c r="G218" s="77">
        <f>_xll.qlYieldTSForwardRate($C$4,B218,B218,"Act/365 (fixed)","Continuous",,TRUE)</f>
        <v>4.6596674451657778E-2</v>
      </c>
    </row>
    <row r="219" spans="2:7">
      <c r="B219" s="111">
        <f>_xll.qlCalendarAdvance("Null",B218,"1m")</f>
        <v>49614</v>
      </c>
      <c r="C219" s="112">
        <f t="shared" si="5"/>
        <v>16.095890410958905</v>
      </c>
      <c r="D219" s="77">
        <f>_xll.qlYieldTSForwardRate($C$3,B219,B219,"Act/365 (fixed)","Continuous",,TRUE)</f>
        <v>4.6566265062860206E-2</v>
      </c>
      <c r="E219" s="77">
        <f>_xll.qlYieldTSZeroRate($C$3,B219,"Act/365 (Fixed)","Continuous",,TRUE)</f>
        <v>3.9456615213385705E-2</v>
      </c>
      <c r="F219" s="77">
        <f>_xll.qlYieldTSZeroRate($C$3,B219,"Act/365 (Fixed)","Compounded",,TRUE)</f>
        <v>4.0245367082670791E-2</v>
      </c>
      <c r="G219" s="77">
        <f>_xll.qlYieldTSForwardRate($C$4,B219,B219,"Act/365 (fixed)","Continuous",,TRUE)</f>
        <v>4.657014392867774E-2</v>
      </c>
    </row>
    <row r="220" spans="2:7">
      <c r="B220" s="111">
        <f>_xll.qlCalendarAdvance("Null",B219,"1m")</f>
        <v>49644</v>
      </c>
      <c r="C220" s="112">
        <f t="shared" si="5"/>
        <v>16.17808219178082</v>
      </c>
      <c r="D220" s="77">
        <f>_xll.qlYieldTSForwardRate($C$3,B220,B220,"Act/365 (fixed)","Continuous",,TRUE)</f>
        <v>4.6533406351299121E-2</v>
      </c>
      <c r="E220" s="77">
        <f>_xll.qlYieldTSZeroRate($C$3,B220,"Act/365 (Fixed)","Continuous",,TRUE)</f>
        <v>3.9492651896669756E-2</v>
      </c>
      <c r="F220" s="77">
        <f>_xll.qlYieldTSZeroRate($C$3,B220,"Act/365 (Fixed)","Compounded",,TRUE)</f>
        <v>4.0282854750963715E-2</v>
      </c>
      <c r="G220" s="77">
        <f>_xll.qlYieldTSForwardRate($C$4,B220,B220,"Act/365 (fixed)","Continuous",,TRUE)</f>
        <v>4.6543843116363295E-2</v>
      </c>
    </row>
    <row r="221" spans="2:7">
      <c r="B221" s="111">
        <f>_xll.qlCalendarAdvance("Null",B220,"1m")</f>
        <v>49675</v>
      </c>
      <c r="C221" s="112">
        <f t="shared" si="5"/>
        <v>16.263013698630136</v>
      </c>
      <c r="D221" s="77">
        <f>_xll.qlYieldTSForwardRate($C$3,B221,B221,"Act/365 (fixed)","Continuous",,TRUE)</f>
        <v>4.6499452354198216E-2</v>
      </c>
      <c r="E221" s="77">
        <f>_xll.qlYieldTSZeroRate($C$3,B221,"Act/365 (Fixed)","Continuous",,TRUE)</f>
        <v>3.952933267516881E-2</v>
      </c>
      <c r="F221" s="77">
        <f>_xll.qlYieldTSZeroRate($C$3,B221,"Act/365 (Fixed)","Compounded",,TRUE)</f>
        <v>4.0321013835783237E-2</v>
      </c>
      <c r="G221" s="77">
        <f>_xll.qlYieldTSForwardRate($C$4,B221,B221,"Act/365 (fixed)","Continuous",,TRUE)</f>
        <v>4.6516038285183095E-2</v>
      </c>
    </row>
    <row r="222" spans="2:7">
      <c r="B222" s="111">
        <f>_xll.qlCalendarAdvance("Null",B221,"1m")</f>
        <v>49706</v>
      </c>
      <c r="C222" s="112">
        <f t="shared" si="5"/>
        <v>16.347945205479451</v>
      </c>
      <c r="D222" s="77">
        <f>_xll.qlYieldTSForwardRate($C$3,B222,B222,"Act/365 (fixed)","Continuous",,TRUE)</f>
        <v>4.6465498356982014E-2</v>
      </c>
      <c r="E222" s="77">
        <f>_xll.qlYieldTSZeroRate($C$3,B222,"Act/365 (Fixed)","Continuous",,TRUE)</f>
        <v>3.9565455923552394E-2</v>
      </c>
      <c r="F222" s="77">
        <f>_xll.qlYieldTSZeroRate($C$3,B222,"Act/365 (Fixed)","Compounded",,TRUE)</f>
        <v>4.0358594288924632E-2</v>
      </c>
      <c r="G222" s="77">
        <f>_xll.qlYieldTSForwardRate($C$4,B222,B222,"Act/365 (fixed)","Continuous",,TRUE)</f>
        <v>4.6487615824185105E-2</v>
      </c>
    </row>
    <row r="223" spans="2:7">
      <c r="B223" s="111">
        <f>_xll.qlCalendarAdvance("Null",B222,"1m")</f>
        <v>49735</v>
      </c>
      <c r="C223" s="112">
        <f t="shared" si="5"/>
        <v>16.427397260273974</v>
      </c>
      <c r="D223" s="77">
        <f>_xll.qlYieldTSForwardRate($C$3,B223,B223,"Act/365 (fixed)","Continuous",,TRUE)</f>
        <v>4.6433734939410741E-2</v>
      </c>
      <c r="E223" s="77">
        <f>_xll.qlYieldTSZeroRate($C$3,B223,"Act/365 (Fixed)","Continuous",,TRUE)</f>
        <v>3.9598751564149617E-2</v>
      </c>
      <c r="F223" s="77">
        <f>_xll.qlYieldTSZeroRate($C$3,B223,"Act/365 (Fixed)","Compounded",,TRUE)</f>
        <v>4.0393234271449474E-2</v>
      </c>
      <c r="G223" s="77">
        <f>_xll.qlYieldTSForwardRate($C$4,B223,B223,"Act/365 (fixed)","Continuous",,TRUE)</f>
        <v>4.6460485814353948E-2</v>
      </c>
    </row>
    <row r="224" spans="2:7">
      <c r="B224" s="111">
        <f>_xll.qlCalendarAdvance("Null",B223,"1m")</f>
        <v>49766</v>
      </c>
      <c r="C224" s="112">
        <f t="shared" si="5"/>
        <v>16.512328767123286</v>
      </c>
      <c r="D224" s="77">
        <f>_xll.qlYieldTSForwardRate($C$3,B224,B224,"Act/365 (fixed)","Continuous",,TRUE)</f>
        <v>4.6399780939750973E-2</v>
      </c>
      <c r="E224" s="77">
        <f>_xll.qlYieldTSZeroRate($C$3,B224,"Act/365 (Fixed)","Continuous",,TRUE)</f>
        <v>3.9633820121919273E-2</v>
      </c>
      <c r="F224" s="77">
        <f>_xll.qlYieldTSZeroRate($C$3,B224,"Act/365 (Fixed)","Compounded",,TRUE)</f>
        <v>4.0429720001435854E-2</v>
      </c>
      <c r="G224" s="77">
        <f>_xll.qlYieldTSForwardRate($C$4,B224,B224,"Act/365 (fixed)","Continuous",,TRUE)</f>
        <v>4.6430925313268541E-2</v>
      </c>
    </row>
    <row r="225" spans="2:7">
      <c r="B225" s="111">
        <f>_xll.qlCalendarAdvance("Null",B224,"1m")</f>
        <v>49796</v>
      </c>
      <c r="C225" s="112">
        <f t="shared" si="5"/>
        <v>16.594520547945205</v>
      </c>
      <c r="D225" s="77">
        <f>_xll.qlYieldTSForwardRate($C$3,B225,B225,"Act/365 (fixed)","Continuous",,TRUE)</f>
        <v>4.6366922236524583E-2</v>
      </c>
      <c r="E225" s="77">
        <f>_xll.qlYieldTSZeroRate($C$3,B225,"Act/365 (Fixed)","Continuous",,TRUE)</f>
        <v>3.9667250193569863E-2</v>
      </c>
      <c r="F225" s="77">
        <f>_xll.qlYieldTSZeroRate($C$3,B225,"Act/365 (Fixed)","Compounded",,TRUE)</f>
        <v>4.0464502222905763E-2</v>
      </c>
      <c r="G225" s="77">
        <f>_xll.qlYieldTSForwardRate($C$4,B225,B225,"Act/365 (fixed)","Continuous",,TRUE)</f>
        <v>4.6401786557220499E-2</v>
      </c>
    </row>
    <row r="226" spans="2:7">
      <c r="B226" s="111">
        <f>_xll.qlCalendarAdvance("Null",B225,"1m")</f>
        <v>49827</v>
      </c>
      <c r="C226" s="112">
        <f t="shared" si="5"/>
        <v>16.67945205479452</v>
      </c>
      <c r="D226" s="77">
        <f>_xll.qlYieldTSForwardRate($C$3,B226,B226,"Act/365 (fixed)","Continuous",,TRUE)</f>
        <v>4.6332968236637961E-2</v>
      </c>
      <c r="E226" s="77">
        <f>_xll.qlYieldTSZeroRate($C$3,B226,"Act/365 (Fixed)","Continuous",,TRUE)</f>
        <v>3.9701278371345718E-2</v>
      </c>
      <c r="F226" s="77">
        <f>_xll.qlYieldTSZeroRate($C$3,B226,"Act/365 (Fixed)","Compounded",,TRUE)</f>
        <v>4.0499907936349278E-2</v>
      </c>
      <c r="G226" s="77">
        <f>_xll.qlYieldTSForwardRate($C$4,B226,B226,"Act/365 (fixed)","Continuous",,TRUE)</f>
        <v>4.6371146608883897E-2</v>
      </c>
    </row>
    <row r="227" spans="2:7">
      <c r="B227" s="111">
        <f>_xll.qlCalendarAdvance("Null",B226,"1m")</f>
        <v>49857</v>
      </c>
      <c r="C227" s="112">
        <f t="shared" si="5"/>
        <v>16.761643835616439</v>
      </c>
      <c r="D227" s="77">
        <f>_xll.qlYieldTSForwardRate($C$3,B227,B227,"Act/365 (fixed)","Continuous",,TRUE)</f>
        <v>4.630010952875116E-2</v>
      </c>
      <c r="E227" s="77">
        <f>_xll.qlYieldTSZeroRate($C$3,B227,"Act/365 (Fixed)","Continuous",,TRUE)</f>
        <v>3.9733716719718357E-2</v>
      </c>
      <c r="F227" s="77">
        <f>_xll.qlYieldTSZeroRate($C$3,B227,"Act/365 (Fixed)","Compounded",,TRUE)</f>
        <v>4.0533660582281694E-2</v>
      </c>
      <c r="G227" s="77">
        <f>_xll.qlYieldTSForwardRate($C$4,B227,B227,"Act/365 (fixed)","Continuous",,TRUE)</f>
        <v>4.6341001062679625E-2</v>
      </c>
    </row>
    <row r="228" spans="2:7">
      <c r="B228" s="111">
        <f>_xll.qlCalendarAdvance("Null",B227,"1m")</f>
        <v>49888</v>
      </c>
      <c r="C228" s="112">
        <f t="shared" si="5"/>
        <v>16.846575342465755</v>
      </c>
      <c r="D228" s="77">
        <f>_xll.qlYieldTSForwardRate($C$3,B228,B228,"Act/365 (fixed)","Continuous",,TRUE)</f>
        <v>4.6266155530858118E-2</v>
      </c>
      <c r="E228" s="77">
        <f>_xll.qlYieldTSZeroRate($C$3,B228,"Act/365 (Fixed)","Continuous",,TRUE)</f>
        <v>3.9766735404077193E-2</v>
      </c>
      <c r="F228" s="77">
        <f>_xll.qlYieldTSZeroRate($C$3,B228,"Act/365 (Fixed)","Compounded",,TRUE)</f>
        <v>4.0568018202003842E-2</v>
      </c>
      <c r="G228" s="77">
        <f>_xll.qlYieldTSForwardRate($C$4,B228,B228,"Act/365 (fixed)","Continuous",,TRUE)</f>
        <v>4.6309359875260983E-2</v>
      </c>
    </row>
    <row r="229" spans="2:7">
      <c r="B229" s="111">
        <f>_xll.qlCalendarAdvance("Null",B228,"1m")</f>
        <v>49919</v>
      </c>
      <c r="C229" s="112">
        <f t="shared" si="5"/>
        <v>16.931506849315067</v>
      </c>
      <c r="D229" s="77">
        <f>_xll.qlYieldTSForwardRate($C$3,B229,B229,"Act/365 (fixed)","Continuous",,TRUE)</f>
        <v>4.623220153062934E-2</v>
      </c>
      <c r="E229" s="77">
        <f>_xll.qlYieldTSZeroRate($C$3,B229,"Act/365 (Fixed)","Continuous",,TRUE)</f>
        <v>3.9799252513620112E-2</v>
      </c>
      <c r="F229" s="77">
        <f>_xll.qlYieldTSZeroRate($C$3,B229,"Act/365 (Fixed)","Compounded",,TRUE)</f>
        <v>4.0601855016373367E-2</v>
      </c>
      <c r="G229" s="77">
        <f>_xll.qlYieldTSForwardRate($C$4,B229,B229,"Act/365 (fixed)","Continuous",,TRUE)</f>
        <v>4.6277239821901975E-2</v>
      </c>
    </row>
    <row r="230" spans="2:7">
      <c r="B230" s="111">
        <f>_xll.qlCalendarAdvance("Null",B229,"1m")</f>
        <v>49949</v>
      </c>
      <c r="C230" s="112">
        <f t="shared" si="5"/>
        <v>17.013698630136986</v>
      </c>
      <c r="D230" s="77">
        <f>_xll.qlYieldTSForwardRate($C$3,B230,B230,"Act/365 (fixed)","Continuous",,TRUE)</f>
        <v>4.6199342824631881E-2</v>
      </c>
      <c r="E230" s="77">
        <f>_xll.qlYieldTSZeroRate($C$3,B230,"Act/365 (Fixed)","Continuous",,TRUE)</f>
        <v>3.9830250193166043E-2</v>
      </c>
      <c r="F230" s="77">
        <f>_xll.qlYieldTSZeroRate($C$3,B230,"Act/365 (Fixed)","Compounded",,TRUE)</f>
        <v>4.0634111759149549E-2</v>
      </c>
      <c r="G230" s="77">
        <f>_xll.qlYieldTSForwardRate($C$4,B230,B230,"Act/365 (fixed)","Continuous",,TRUE)</f>
        <v>4.6245718988562202E-2</v>
      </c>
    </row>
    <row r="231" spans="2:7">
      <c r="B231" s="111">
        <f>_xll.qlCalendarAdvance("Null",B230,"1m")</f>
        <v>49980</v>
      </c>
      <c r="C231" s="112">
        <f t="shared" si="5"/>
        <v>17.098630136986301</v>
      </c>
      <c r="D231" s="77">
        <f>_xll.qlYieldTSForwardRate($C$3,B231,B231,"Act/365 (fixed)","Continuous",,TRUE)</f>
        <v>4.6165388826396689E-2</v>
      </c>
      <c r="E231" s="77">
        <f>_xll.qlYieldTSZeroRate($C$3,B231,"Act/365 (Fixed)","Continuous",,TRUE)</f>
        <v>3.9861802121486364E-2</v>
      </c>
      <c r="F231" s="77">
        <f>_xll.qlYieldTSZeroRate($C$3,B231,"Act/365 (Fixed)","Compounded",,TRUE)</f>
        <v>4.0666946290045081E-2</v>
      </c>
      <c r="G231" s="77">
        <f>_xll.qlYieldTSForwardRate($C$4,B231,B231,"Act/365 (fixed)","Continuous",,TRUE)</f>
        <v>4.6212715636760618E-2</v>
      </c>
    </row>
    <row r="232" spans="2:7">
      <c r="B232" s="111">
        <f>_xll.qlCalendarAdvance("Null",B231,"1m")</f>
        <v>50010</v>
      </c>
      <c r="C232" s="112">
        <f t="shared" si="5"/>
        <v>17.18082191780822</v>
      </c>
      <c r="D232" s="77">
        <f>_xll.qlYieldTSForwardRate($C$3,B232,B232,"Act/365 (fixed)","Continuous",,TRUE)</f>
        <v>4.6132530122400123E-2</v>
      </c>
      <c r="E232" s="77">
        <f>_xll.qlYieldTSZeroRate($C$3,B232,"Act/365 (Fixed)","Continuous",,TRUE)</f>
        <v>3.9891879417066532E-2</v>
      </c>
      <c r="F232" s="77">
        <f>_xll.qlYieldTSZeroRate($C$3,B232,"Act/365 (Fixed)","Compounded",,TRUE)</f>
        <v>4.0698247208110327E-2</v>
      </c>
      <c r="G232" s="77">
        <f>_xll.qlYieldTSForwardRate($C$4,B232,B232,"Act/365 (fixed)","Continuous",,TRUE)</f>
        <v>4.6180377833834496E-2</v>
      </c>
    </row>
    <row r="233" spans="2:7">
      <c r="B233" s="111">
        <f>_xll.qlCalendarAdvance("Null",B232,"1m")</f>
        <v>50041</v>
      </c>
      <c r="C233" s="112">
        <f t="shared" si="5"/>
        <v>17.265753424657536</v>
      </c>
      <c r="D233" s="77">
        <f>_xll.qlYieldTSForwardRate($C$3,B233,B233,"Act/365 (fixed)","Continuous",,TRUE)</f>
        <v>4.609857612393807E-2</v>
      </c>
      <c r="E233" s="77">
        <f>_xll.qlYieldTSZeroRate($C$3,B233,"Act/365 (Fixed)","Continuous",,TRUE)</f>
        <v>3.9922494124276904E-2</v>
      </c>
      <c r="F233" s="77">
        <f>_xll.qlYieldTSZeroRate($C$3,B233,"Act/365 (Fixed)","Compounded",,TRUE)</f>
        <v>4.0730108367950546E-2</v>
      </c>
      <c r="G233" s="77">
        <f>_xll.qlYieldTSForwardRate($C$4,B233,B233,"Act/365 (fixed)","Continuous",,TRUE)</f>
        <v>4.6146569380660918E-2</v>
      </c>
    </row>
    <row r="234" spans="2:7">
      <c r="B234" s="111">
        <f>_xll.qlCalendarAdvance("Null",B233,"1m")</f>
        <v>50072</v>
      </c>
      <c r="C234" s="112">
        <f t="shared" si="5"/>
        <v>17.350684931506848</v>
      </c>
      <c r="D234" s="77">
        <f>_xll.qlYieldTSForwardRate($C$3,B234,B234,"Act/365 (fixed)","Continuous",,TRUE)</f>
        <v>4.6064622125360735E-2</v>
      </c>
      <c r="E234" s="77">
        <f>_xll.qlYieldTSZeroRate($C$3,B234,"Act/365 (Fixed)","Continuous",,TRUE)</f>
        <v>3.995264290921046E-2</v>
      </c>
      <c r="F234" s="77">
        <f>_xll.qlYieldTSZeroRate($C$3,B234,"Act/365 (Fixed)","Compounded",,TRUE)</f>
        <v>4.0761485589151603E-2</v>
      </c>
      <c r="G234" s="77">
        <f>_xll.qlYieldTSForwardRate($C$4,B234,B234,"Act/365 (fixed)","Continuous",,TRUE)</f>
        <v>4.6112381750211019E-2</v>
      </c>
    </row>
    <row r="235" spans="2:7">
      <c r="B235" s="111">
        <f>_xll.qlCalendarAdvance("Null",B234,"1m")</f>
        <v>50100</v>
      </c>
      <c r="C235" s="112">
        <f t="shared" si="5"/>
        <v>17.427397260273974</v>
      </c>
      <c r="D235" s="77">
        <f>_xll.qlYieldTSForwardRate($C$3,B235,B235,"Act/365 (fixed)","Continuous",,TRUE)</f>
        <v>4.6033953996439982E-2</v>
      </c>
      <c r="E235" s="77">
        <f>_xll.qlYieldTSZeroRate($C$3,B235,"Act/365 (Fixed)","Continuous",,TRUE)</f>
        <v>3.9979479265798978E-2</v>
      </c>
      <c r="F235" s="77">
        <f>_xll.qlYieldTSZeroRate($C$3,B235,"Act/365 (Fixed)","Compounded",,TRUE)</f>
        <v>4.0789416210278873E-2</v>
      </c>
      <c r="G235" s="77">
        <f>_xll.qlYieldTSForwardRate($C$4,B235,B235,"Act/365 (fixed)","Continuous",,TRUE)</f>
        <v>4.6081193484346569E-2</v>
      </c>
    </row>
    <row r="236" spans="2:7">
      <c r="B236" s="111">
        <f>_xll.qlCalendarAdvance("Null",B235,"1m")</f>
        <v>50131</v>
      </c>
      <c r="C236" s="112">
        <f t="shared" si="5"/>
        <v>17.512328767123286</v>
      </c>
      <c r="D236" s="77">
        <f>_xll.qlYieldTSForwardRate($C$3,B236,B236,"Act/365 (fixed)","Continuous",,TRUE)</f>
        <v>4.5999999997643232E-2</v>
      </c>
      <c r="E236" s="77">
        <f>_xll.qlYieldTSZeroRate($C$3,B236,"Act/365 (Fixed)","Continuous",,TRUE)</f>
        <v>4.0008759996356898E-2</v>
      </c>
      <c r="F236" s="77">
        <f>_xll.qlYieldTSZeroRate($C$3,B236,"Act/365 (Fixed)","Compounded",,TRUE)</f>
        <v>4.0819891730913049E-2</v>
      </c>
      <c r="G236" s="77">
        <f>_xll.qlYieldTSForwardRate($C$4,B236,B236,"Act/365 (fixed)","Continuous",,TRUE)</f>
        <v>4.604633998493713E-2</v>
      </c>
    </row>
    <row r="237" spans="2:7">
      <c r="B237" s="111">
        <f>_xll.qlCalendarAdvance("Null",B236,"1m")</f>
        <v>50161</v>
      </c>
      <c r="C237" s="112">
        <f t="shared" si="5"/>
        <v>17.594520547945205</v>
      </c>
      <c r="D237" s="77">
        <f>_xll.qlYieldTSForwardRate($C$3,B237,B237,"Act/365 (fixed)","Continuous",,TRUE)</f>
        <v>4.5967141293103218E-2</v>
      </c>
      <c r="E237" s="77">
        <f>_xll.qlYieldTSZeroRate($C$3,B237,"Act/365 (Fixed)","Continuous",,TRUE)</f>
        <v>4.0036670977281225E-2</v>
      </c>
      <c r="F237" s="77">
        <f>_xll.qlYieldTSZeroRate($C$3,B237,"Act/365 (Fixed)","Compounded",,TRUE)</f>
        <v>4.084894244047188E-2</v>
      </c>
      <c r="G237" s="77">
        <f>_xll.qlYieldTSForwardRate($C$4,B237,B237,"Act/365 (fixed)","Continuous",,TRUE)</f>
        <v>4.6012305382141287E-2</v>
      </c>
    </row>
    <row r="238" spans="2:7">
      <c r="B238" s="111">
        <f>_xll.qlCalendarAdvance("Null",B237,"1m")</f>
        <v>50192</v>
      </c>
      <c r="C238" s="112">
        <f t="shared" si="5"/>
        <v>17.67945205479452</v>
      </c>
      <c r="D238" s="77">
        <f>_xll.qlYieldTSForwardRate($C$3,B238,B238,"Act/365 (fixed)","Continuous",,TRUE)</f>
        <v>4.5933187294079608E-2</v>
      </c>
      <c r="E238" s="77">
        <f>_xll.qlYieldTSZeroRate($C$3,B238,"Act/365 (Fixed)","Continuous",,TRUE)</f>
        <v>4.0065079204896901E-2</v>
      </c>
      <c r="F238" s="77">
        <f>_xll.qlYieldTSZeroRate($C$3,B238,"Act/365 (Fixed)","Compounded",,TRUE)</f>
        <v>4.0878511534143014E-2</v>
      </c>
      <c r="G238" s="77">
        <f>_xll.qlYieldTSForwardRate($C$4,B238,B238,"Act/365 (fixed)","Continuous",,TRUE)</f>
        <v>4.597684036335916E-2</v>
      </c>
    </row>
    <row r="239" spans="2:7">
      <c r="B239" s="111">
        <f>_xll.qlCalendarAdvance("Null",B238,"1m")</f>
        <v>50222</v>
      </c>
      <c r="C239" s="112">
        <f t="shared" si="5"/>
        <v>17.761643835616439</v>
      </c>
      <c r="D239" s="77">
        <f>_xll.qlYieldTSForwardRate($C$3,B239,B239,"Act/365 (fixed)","Continuous",,TRUE)</f>
        <v>4.5900328584879184E-2</v>
      </c>
      <c r="E239" s="77">
        <f>_xll.qlYieldTSZeroRate($C$3,B239,"Act/365 (Fixed)","Continuous",,TRUE)</f>
        <v>4.009215777378148E-2</v>
      </c>
      <c r="F239" s="77">
        <f>_xll.qlYieldTSZeroRate($C$3,B239,"Act/365 (Fixed)","Compounded",,TRUE)</f>
        <v>4.0906697416233095E-2</v>
      </c>
      <c r="G239" s="77">
        <f>_xll.qlYieldTSForwardRate($C$4,B239,B239,"Act/365 (fixed)","Continuous",,TRUE)</f>
        <v>4.5942251808211848E-2</v>
      </c>
    </row>
    <row r="240" spans="2:7">
      <c r="B240" s="111">
        <f>_xll.qlCalendarAdvance("Null",B239,"1m")</f>
        <v>50253</v>
      </c>
      <c r="C240" s="112">
        <f t="shared" si="5"/>
        <v>17.846575342465755</v>
      </c>
      <c r="D240" s="77">
        <f>_xll.qlYieldTSForwardRate($C$3,B240,B240,"Act/365 (fixed)","Continuous",,TRUE)</f>
        <v>4.5866374590069592E-2</v>
      </c>
      <c r="E240" s="77">
        <f>_xll.qlYieldTSZeroRate($C$3,B240,"Act/365 (Fixed)","Continuous",,TRUE)</f>
        <v>4.0119717953125363E-2</v>
      </c>
      <c r="F240" s="77">
        <f>_xll.qlYieldTSZeroRate($C$3,B240,"Act/365 (Fixed)","Compounded",,TRUE)</f>
        <v>4.0935385386815071E-2</v>
      </c>
      <c r="G240" s="77">
        <f>_xll.qlYieldTSForwardRate($C$4,B240,B240,"Act/365 (fixed)","Continuous",,TRUE)</f>
        <v>4.590625347157478E-2</v>
      </c>
    </row>
    <row r="241" spans="2:7">
      <c r="B241" s="111">
        <f>_xll.qlCalendarAdvance("Null",B240,"1m")</f>
        <v>50284</v>
      </c>
      <c r="C241" s="112">
        <f t="shared" si="5"/>
        <v>17.931506849315067</v>
      </c>
      <c r="D241" s="77">
        <f>_xll.qlYieldTSForwardRate($C$3,B241,B241,"Act/365 (fixed)","Continuous",,TRUE)</f>
        <v>4.5832420592924278E-2</v>
      </c>
      <c r="E241" s="77">
        <f>_xll.qlYieldTSZeroRate($C$3,B241,"Act/365 (Fixed)","Continuous",,TRUE)</f>
        <v>4.0146856237121435E-2</v>
      </c>
      <c r="F241" s="77">
        <f>_xll.qlYieldTSZeroRate($C$3,B241,"Act/365 (Fixed)","Compounded",,TRUE)</f>
        <v>4.0963634970246243E-2</v>
      </c>
      <c r="G241" s="77">
        <f>_xll.qlYieldTSForwardRate($C$4,B241,B241,"Act/365 (fixed)","Continuous",,TRUE)</f>
        <v>4.58700140709681E-2</v>
      </c>
    </row>
    <row r="242" spans="2:7">
      <c r="B242" s="111">
        <f>_xll.qlCalendarAdvance("Null",B241,"1m")</f>
        <v>50314</v>
      </c>
      <c r="C242" s="112">
        <f t="shared" si="5"/>
        <v>18.013698630136986</v>
      </c>
      <c r="D242" s="77">
        <f>_xll.qlYieldTSForwardRate($C$3,B242,B242,"Act/365 (fixed)","Continuous",,TRUE)</f>
        <v>4.5799561881172311E-2</v>
      </c>
      <c r="E242" s="77">
        <f>_xll.qlYieldTSZeroRate($C$3,B242,"Act/365 (Fixed)","Continuous",,TRUE)</f>
        <v>4.0172723012789374E-2</v>
      </c>
      <c r="F242" s="77">
        <f>_xll.qlYieldTSZeroRate($C$3,B242,"Act/365 (Fixed)","Compounded",,TRUE)</f>
        <v>4.0990561691322647E-2</v>
      </c>
      <c r="G242" s="77">
        <f>_xll.qlYieldTSForwardRate($C$4,B242,B242,"Act/365 (fixed)","Continuous",,TRUE)</f>
        <v>4.583473318576689E-2</v>
      </c>
    </row>
    <row r="243" spans="2:7">
      <c r="B243" s="111">
        <f>_xll.qlCalendarAdvance("Null",B242,"1m")</f>
        <v>50345</v>
      </c>
      <c r="C243" s="112">
        <f t="shared" si="5"/>
        <v>18.098630136986301</v>
      </c>
      <c r="D243" s="77">
        <f>_xll.qlYieldTSForwardRate($C$3,B243,B243,"Act/365 (fixed)","Continuous",,TRUE)</f>
        <v>4.5765607886020569E-2</v>
      </c>
      <c r="E243" s="77">
        <f>_xll.qlYieldTSZeroRate($C$3,B243,"Act/365 (Fixed)","Continuous",,TRUE)</f>
        <v>4.0199048431808201E-2</v>
      </c>
      <c r="F243" s="77">
        <f>_xll.qlYieldTSZeroRate($C$3,B243,"Act/365 (Fixed)","Compounded",,TRUE)</f>
        <v>4.1017966564774522E-2</v>
      </c>
      <c r="G243" s="77">
        <f>_xll.qlYieldTSForwardRate($C$4,B243,B243,"Act/365 (fixed)","Continuous",,TRUE)</f>
        <v>4.5798078407960949E-2</v>
      </c>
    </row>
    <row r="244" spans="2:7">
      <c r="B244" s="111">
        <f>_xll.qlCalendarAdvance("Null",B243,"1m")</f>
        <v>50375</v>
      </c>
      <c r="C244" s="112">
        <f t="shared" si="5"/>
        <v>18.18082191780822</v>
      </c>
      <c r="D244" s="77">
        <f>_xll.qlYieldTSForwardRate($C$3,B244,B244,"Act/365 (fixed)","Continuous",,TRUE)</f>
        <v>4.5732749178489941E-2</v>
      </c>
      <c r="E244" s="77">
        <f>_xll.qlYieldTSZeroRate($C$3,B244,"Act/365 (Fixed)","Continuous",,TRUE)</f>
        <v>4.0224139435879186E-2</v>
      </c>
      <c r="F244" s="77">
        <f>_xll.qlYieldTSZeroRate($C$3,B244,"Act/365 (Fixed)","Compounded",,TRUE)</f>
        <v>4.1044087078505154E-2</v>
      </c>
      <c r="G244" s="77">
        <f>_xll.qlYieldTSForwardRate($C$4,B244,B244,"Act/365 (fixed)","Continuous",,TRUE)</f>
        <v>4.5762433384342945E-2</v>
      </c>
    </row>
    <row r="245" spans="2:7">
      <c r="B245" s="111">
        <f>_xll.qlCalendarAdvance("Null",B244,"1m")</f>
        <v>50406</v>
      </c>
      <c r="C245" s="112">
        <f t="shared" si="5"/>
        <v>18.265753424657536</v>
      </c>
      <c r="D245" s="77">
        <f>_xll.qlYieldTSForwardRate($C$3,B245,B245,"Act/365 (fixed)","Continuous",,TRUE)</f>
        <v>4.5698795180890921E-2</v>
      </c>
      <c r="E245" s="77">
        <f>_xll.qlYieldTSZeroRate($C$3,B245,"Act/365 (Fixed)","Continuous",,TRUE)</f>
        <v>4.024967425139684E-2</v>
      </c>
      <c r="F245" s="77">
        <f>_xll.qlYieldTSZeroRate($C$3,B245,"Act/365 (Fixed)","Compounded",,TRUE)</f>
        <v>4.107067028661171E-2</v>
      </c>
      <c r="G245" s="77">
        <f>_xll.qlYieldTSForwardRate($C$4,B245,B245,"Act/365 (fixed)","Continuous",,TRUE)</f>
        <v>4.572544143308116E-2</v>
      </c>
    </row>
    <row r="246" spans="2:7">
      <c r="B246" s="111">
        <f>_xll.qlCalendarAdvance("Null",B245,"1m")</f>
        <v>50437</v>
      </c>
      <c r="C246" s="112">
        <f t="shared" si="5"/>
        <v>18.350684931506848</v>
      </c>
      <c r="D246" s="77">
        <f>_xll.qlYieldTSForwardRate($C$3,B246,B246,"Act/365 (fixed)","Continuous",,TRUE)</f>
        <v>4.5664841183176604E-2</v>
      </c>
      <c r="E246" s="77">
        <f>_xll.qlYieldTSZeroRate($C$3,B246,"Act/365 (Fixed)","Continuous",,TRUE)</f>
        <v>4.0274815556539126E-2</v>
      </c>
      <c r="F246" s="77">
        <f>_xll.qlYieldTSZeroRate($C$3,B246,"Act/365 (Fixed)","Compounded",,TRUE)</f>
        <v>4.1096844491033568E-2</v>
      </c>
      <c r="G246" s="77">
        <f>_xll.qlYieldTSForwardRate($C$4,B246,B246,"Act/365 (fixed)","Continuous",,TRUE)</f>
        <v>4.5688308102087634E-2</v>
      </c>
    </row>
    <row r="247" spans="2:7">
      <c r="B247" s="111">
        <f>_xll.qlCalendarAdvance("Null",B246,"1m")</f>
        <v>50465</v>
      </c>
      <c r="C247" s="112">
        <f t="shared" si="5"/>
        <v>18.427397260273974</v>
      </c>
      <c r="D247" s="77">
        <f>_xll.qlYieldTSForwardRate($C$3,B247,B247,"Act/365 (fixed)","Continuous",,TRUE)</f>
        <v>4.5634173055250221E-2</v>
      </c>
      <c r="E247" s="77">
        <f>_xll.qlYieldTSZeroRate($C$3,B247,"Act/365 (Fixed)","Continuous",,TRUE)</f>
        <v>4.0297190127422236E-2</v>
      </c>
      <c r="F247" s="77">
        <f>_xll.qlYieldTSZeroRate($C$3,B247,"Act/365 (Fixed)","Compounded",,TRUE)</f>
        <v>4.1120138846776566E-2</v>
      </c>
      <c r="G247" s="77">
        <f>_xll.qlYieldTSForwardRate($C$4,B247,B247,"Act/365 (fixed)","Continuous",,TRUE)</f>
        <v>4.5654663597576861E-2</v>
      </c>
    </row>
    <row r="248" spans="2:7">
      <c r="B248" s="111">
        <f>_xll.qlCalendarAdvance("Null",B247,"1m")</f>
        <v>50496</v>
      </c>
      <c r="C248" s="112">
        <f t="shared" si="5"/>
        <v>18.512328767123286</v>
      </c>
      <c r="D248" s="77">
        <f>_xll.qlYieldTSForwardRate($C$3,B248,B248,"Act/365 (fixed)","Continuous",,TRUE)</f>
        <v>4.5600219059536928E-2</v>
      </c>
      <c r="E248" s="77">
        <f>_xll.qlYieldTSZeroRate($C$3,B248,"Act/365 (Fixed)","Continuous",,TRUE)</f>
        <v>4.0321597435963821E-2</v>
      </c>
      <c r="F248" s="77">
        <f>_xll.qlYieldTSZeroRate($C$3,B248,"Act/365 (Fixed)","Compounded",,TRUE)</f>
        <v>4.1145550097342998E-2</v>
      </c>
      <c r="G248" s="77">
        <f>_xll.qlYieldTSForwardRate($C$4,B248,B248,"Act/365 (fixed)","Continuous",,TRUE)</f>
        <v>4.5617316980127769E-2</v>
      </c>
    </row>
    <row r="249" spans="2:7">
      <c r="B249" s="111">
        <f>_xll.qlCalendarAdvance("Null",B248,"1m")</f>
        <v>50526</v>
      </c>
      <c r="C249" s="112">
        <f t="shared" si="5"/>
        <v>18.594520547945205</v>
      </c>
      <c r="D249" s="77">
        <f>_xll.qlYieldTSForwardRate($C$3,B249,B249,"Act/365 (fixed)","Continuous",,TRUE)</f>
        <v>4.5567360351462853E-2</v>
      </c>
      <c r="E249" s="77">
        <f>_xll.qlYieldTSZeroRate($C$3,B249,"Act/365 (Fixed)","Continuous",,TRUE)</f>
        <v>4.0344857457777474E-2</v>
      </c>
      <c r="F249" s="77">
        <f>_xll.qlYieldTSZeroRate($C$3,B249,"Act/365 (Fixed)","Compounded",,TRUE)</f>
        <v>4.116976744719647E-2</v>
      </c>
      <c r="G249" s="77">
        <f>_xll.qlYieldTSForwardRate($C$4,B249,B249,"Act/365 (fixed)","Continuous",,TRUE)</f>
        <v>4.5581096101350513E-2</v>
      </c>
    </row>
    <row r="250" spans="2:7">
      <c r="B250" s="111">
        <f>_xll.qlCalendarAdvance("Null",B249,"1m")</f>
        <v>50557</v>
      </c>
      <c r="C250" s="112">
        <f t="shared" si="5"/>
        <v>18.67945205479452</v>
      </c>
      <c r="D250" s="77">
        <f>_xll.qlYieldTSForwardRate($C$3,B250,B250,"Act/365 (fixed)","Continuous",,TRUE)</f>
        <v>4.5533406351081829E-2</v>
      </c>
      <c r="E250" s="77">
        <f>_xll.qlYieldTSZeroRate($C$3,B250,"Act/365 (Fixed)","Continuous",,TRUE)</f>
        <v>4.0368525879999263E-2</v>
      </c>
      <c r="F250" s="77">
        <f>_xll.qlYieldTSZeroRate($C$3,B250,"Act/365 (Fixed)","Compounded",,TRUE)</f>
        <v>4.1194410584487917E-2</v>
      </c>
      <c r="G250" s="77">
        <f>_xll.qlYieldTSForwardRate($C$4,B250,B250,"Act/365 (fixed)","Continuous",,TRUE)</f>
        <v>4.5543605892475518E-2</v>
      </c>
    </row>
    <row r="251" spans="2:7">
      <c r="B251" s="111">
        <f>_xll.qlCalendarAdvance("Null",B250,"1m")</f>
        <v>50587</v>
      </c>
      <c r="C251" s="112">
        <f t="shared" si="5"/>
        <v>18.761643835616439</v>
      </c>
      <c r="D251" s="77">
        <f>_xll.qlYieldTSForwardRate($C$3,B251,B251,"Act/365 (fixed)","Continuous",,TRUE)</f>
        <v>4.5500547645008646E-2</v>
      </c>
      <c r="E251" s="77">
        <f>_xll.qlYieldTSZeroRate($C$3,B251,"Act/365 (Fixed)","Continuous",,TRUE)</f>
        <v>4.0391080426372974E-2</v>
      </c>
      <c r="F251" s="77">
        <f>_xll.qlYieldTSZeroRate($C$3,B251,"Act/365 (Fixed)","Compounded",,TRUE)</f>
        <v>4.1217894516939246E-2</v>
      </c>
      <c r="G251" s="77">
        <f>_xll.qlYieldTSForwardRate($C$4,B251,B251,"Act/365 (fixed)","Continuous",,TRUE)</f>
        <v>4.5507283890337487E-2</v>
      </c>
    </row>
    <row r="252" spans="2:7">
      <c r="B252" s="111">
        <f>_xll.qlCalendarAdvance("Null",B251,"1m")</f>
        <v>50618</v>
      </c>
      <c r="C252" s="112">
        <f t="shared" si="5"/>
        <v>18.846575342465755</v>
      </c>
      <c r="D252" s="77">
        <f>_xll.qlYieldTSForwardRate($C$3,B252,B252,"Act/365 (fixed)","Continuous",,TRUE)</f>
        <v>4.546659364884164E-2</v>
      </c>
      <c r="E252" s="77">
        <f>_xll.qlYieldTSZeroRate($C$3,B252,"Act/365 (Fixed)","Continuous",,TRUE)</f>
        <v>4.0414029575495704E-2</v>
      </c>
      <c r="F252" s="77">
        <f>_xll.qlYieldTSZeroRate($C$3,B252,"Act/365 (Fixed)","Compounded",,TRUE)</f>
        <v>4.1241789855857469E-2</v>
      </c>
      <c r="G252" s="77">
        <f>_xll.qlYieldTSForwardRate($C$4,B252,B252,"Act/365 (fixed)","Continuous",,TRUE)</f>
        <v>4.5469728287126518E-2</v>
      </c>
    </row>
    <row r="253" spans="2:7">
      <c r="B253" s="111">
        <f>_xll.qlCalendarAdvance("Null",B252,"1m")</f>
        <v>50649</v>
      </c>
      <c r="C253" s="112">
        <f t="shared" si="5"/>
        <v>18.931506849315067</v>
      </c>
      <c r="D253" s="77">
        <f>_xll.qlYieldTSForwardRate($C$3,B253,B253,"Act/365 (fixed)","Continuous",,TRUE)</f>
        <v>4.5432639648118472E-2</v>
      </c>
      <c r="E253" s="77">
        <f>_xll.qlYieldTSZeroRate($C$3,B253,"Act/365 (Fixed)","Continuous",,TRUE)</f>
        <v>4.0436620487110816E-2</v>
      </c>
      <c r="F253" s="77">
        <f>_xll.qlYieldTSZeroRate($C$3,B253,"Act/365 (Fixed)","Compounded",,TRUE)</f>
        <v>4.126531272280265E-2</v>
      </c>
      <c r="G253" s="77">
        <f>_xll.qlYieldTSForwardRate($C$4,B253,B253,"Act/365 (fixed)","Continuous",,TRUE)</f>
        <v>4.5432169419733645E-2</v>
      </c>
    </row>
    <row r="254" spans="2:7">
      <c r="B254" s="111">
        <f>_xll.qlCalendarAdvance("Null",B253,"1m")</f>
        <v>50679</v>
      </c>
      <c r="C254" s="112">
        <f t="shared" si="5"/>
        <v>19.013698630136986</v>
      </c>
      <c r="D254" s="77">
        <f>_xll.qlYieldTSForwardRate($C$3,B254,B254,"Act/365 (fixed)","Continuous",,TRUE)</f>
        <v>4.539978094171418E-2</v>
      </c>
      <c r="E254" s="77">
        <f>_xll.qlYieldTSZeroRate($C$3,B254,"Act/365 (Fixed)","Continuous",,TRUE)</f>
        <v>4.0458146091470831E-2</v>
      </c>
      <c r="F254" s="77">
        <f>_xll.qlYieldTSZeroRate($C$3,B254,"Act/365 (Fixed)","Compounded",,TRUE)</f>
        <v>4.1287726829195792E-2</v>
      </c>
      <c r="G254" s="77">
        <f>_xll.qlYieldTSForwardRate($C$4,B254,B254,"Act/365 (fixed)","Continuous",,TRUE)</f>
        <v>4.5395838046951069E-2</v>
      </c>
    </row>
    <row r="255" spans="2:7">
      <c r="B255" s="111">
        <f>_xll.qlCalendarAdvance("Null",B254,"1m")</f>
        <v>50710</v>
      </c>
      <c r="C255" s="112">
        <f t="shared" si="5"/>
        <v>19.098630136986301</v>
      </c>
      <c r="D255" s="77">
        <f>_xll.qlYieldTSForwardRate($C$3,B255,B255,"Act/365 (fixed)","Continuous",,TRUE)</f>
        <v>4.5365826942984598E-2</v>
      </c>
      <c r="E255" s="77">
        <f>_xll.qlYieldTSZeroRate($C$3,B255,"Act/365 (Fixed)","Continuous",,TRUE)</f>
        <v>4.0480046018798156E-2</v>
      </c>
      <c r="F255" s="77">
        <f>_xll.qlYieldTSZeroRate($C$3,B255,"Act/365 (Fixed)","Compounded",,TRUE)</f>
        <v>4.1310531204446388E-2</v>
      </c>
      <c r="G255" s="77">
        <f>_xll.qlYieldTSForwardRate($C$4,B255,B255,"Act/365 (fixed)","Continuous",,TRUE)</f>
        <v>4.5358331728118526E-2</v>
      </c>
    </row>
    <row r="256" spans="2:7">
      <c r="B256" s="111">
        <f>_xll.qlCalendarAdvance("Null",B255,"1m")</f>
        <v>50740</v>
      </c>
      <c r="C256" s="112">
        <f t="shared" si="5"/>
        <v>19.18082191780822</v>
      </c>
      <c r="D256" s="77">
        <f>_xll.qlYieldTSForwardRate($C$3,B256,B256,"Act/365 (fixed)","Continuous",,TRUE)</f>
        <v>4.5332968236360772E-2</v>
      </c>
      <c r="E256" s="77">
        <f>_xll.qlYieldTSZeroRate($C$3,B256,"Act/365 (Fixed)","Continuous",,TRUE)</f>
        <v>4.0500911687580736E-2</v>
      </c>
      <c r="F256" s="77">
        <f>_xll.qlYieldTSZeroRate($C$3,B256,"Act/365 (Fixed)","Compounded",,TRUE)</f>
        <v>4.1332259071772626E-2</v>
      </c>
      <c r="G256" s="77">
        <f>_xll.qlYieldTSForwardRate($C$4,B256,B256,"Act/365 (fixed)","Continuous",,TRUE)</f>
        <v>4.5322089048162692E-2</v>
      </c>
    </row>
    <row r="257" spans="2:7">
      <c r="B257" s="111">
        <f>_xll.qlCalendarAdvance("Null",B256,"1m")</f>
        <v>50771</v>
      </c>
      <c r="C257" s="112">
        <f t="shared" si="5"/>
        <v>19.265753424657536</v>
      </c>
      <c r="D257" s="77">
        <f>_xll.qlYieldTSForwardRate($C$3,B257,B257,"Act/365 (fixed)","Continuous",,TRUE)</f>
        <v>4.529901423962477E-2</v>
      </c>
      <c r="E257" s="77">
        <f>_xll.qlYieldTSZeroRate($C$3,B257,"Act/365 (Fixed)","Continuous",,TRUE)</f>
        <v>4.052213857410706E-2</v>
      </c>
      <c r="F257" s="77">
        <f>_xll.qlYieldTSZeroRate($C$3,B257,"Act/365 (Fixed)","Compounded",,TRUE)</f>
        <v>4.1354363548075979E-2</v>
      </c>
      <c r="G257" s="77">
        <f>_xll.qlYieldTSForwardRate($C$4,B257,B257,"Act/365 (fixed)","Continuous",,TRUE)</f>
        <v>4.5284713483867922E-2</v>
      </c>
    </row>
    <row r="258" spans="2:7">
      <c r="B258" s="111">
        <f>_xll.qlCalendarAdvance("Null",B257,"1m")</f>
        <v>50802</v>
      </c>
      <c r="C258" s="112">
        <f t="shared" si="5"/>
        <v>19.350684931506848</v>
      </c>
      <c r="D258" s="77">
        <f>_xll.qlYieldTSForwardRate($C$3,B258,B258,"Act/365 (fixed)","Continuous",,TRUE)</f>
        <v>4.5265060242773478E-2</v>
      </c>
      <c r="E258" s="77">
        <f>_xll.qlYieldTSZeroRate($C$3,B258,"Act/365 (Fixed)","Continuous",,TRUE)</f>
        <v>4.0543030101593755E-2</v>
      </c>
      <c r="F258" s="77">
        <f>_xll.qlYieldTSZeroRate($C$3,B258,"Act/365 (Fixed)","Compounded",,TRUE)</f>
        <v>4.137611925863971E-2</v>
      </c>
      <c r="G258" s="77">
        <f>_xll.qlYieldTSForwardRate($C$4,B258,B258,"Act/365 (fixed)","Continuous",,TRUE)</f>
        <v>4.5247434335205554E-2</v>
      </c>
    </row>
    <row r="259" spans="2:7">
      <c r="B259" s="111">
        <f>_xll.qlCalendarAdvance("Null",B258,"1m")</f>
        <v>50830</v>
      </c>
      <c r="C259" s="112">
        <f t="shared" si="5"/>
        <v>19.427397260273974</v>
      </c>
      <c r="D259" s="77">
        <f>_xll.qlYieldTSForwardRate($C$3,B259,B259,"Act/365 (fixed)","Continuous",,TRUE)</f>
        <v>4.5234392113621034E-2</v>
      </c>
      <c r="E259" s="77">
        <f>_xll.qlYieldTSZeroRate($C$3,B259,"Act/365 (Fixed)","Continuous",,TRUE)</f>
        <v>4.0561615278596107E-2</v>
      </c>
      <c r="F259" s="77">
        <f>_xll.qlYieldTSZeroRate($C$3,B259,"Act/365 (Fixed)","Compounded",,TRUE)</f>
        <v>4.139547359799356E-2</v>
      </c>
      <c r="G259" s="77">
        <f>_xll.qlYieldTSForwardRate($C$4,B259,B259,"Act/365 (fixed)","Continuous",,TRUE)</f>
        <v>4.5213862515184264E-2</v>
      </c>
    </row>
    <row r="260" spans="2:7">
      <c r="B260" s="111">
        <f>_xll.qlCalendarAdvance("Null",B259,"1m")</f>
        <v>50861</v>
      </c>
      <c r="C260" s="112">
        <f t="shared" si="5"/>
        <v>19.512328767123286</v>
      </c>
      <c r="D260" s="77">
        <f>_xll.qlYieldTSForwardRate($C$3,B260,B260,"Act/365 (fixed)","Continuous",,TRUE)</f>
        <v>4.5200438116550327E-2</v>
      </c>
      <c r="E260" s="77">
        <f>_xll.qlYieldTSZeroRate($C$3,B260,"Act/365 (Fixed)","Continuous",,TRUE)</f>
        <v>4.0581880624696733E-2</v>
      </c>
      <c r="F260" s="77">
        <f>_xll.qlYieldTSZeroRate($C$3,B260,"Act/365 (Fixed)","Compounded",,TRUE)</f>
        <v>4.1416578051537423E-2</v>
      </c>
      <c r="G260" s="77">
        <f>_xll.qlYieldTSForwardRate($C$4,B260,B260,"Act/365 (fixed)","Continuous",,TRUE)</f>
        <v>4.5176822664867868E-2</v>
      </c>
    </row>
    <row r="261" spans="2:7">
      <c r="B261" s="111">
        <f>_xll.qlCalendarAdvance("Null",B260,"1m")</f>
        <v>50891</v>
      </c>
      <c r="C261" s="112">
        <f t="shared" si="5"/>
        <v>19.594520547945205</v>
      </c>
      <c r="D261" s="77">
        <f>_xll.qlYieldTSForwardRate($C$3,B261,B261,"Act/365 (fixed)","Continuous",,TRUE)</f>
        <v>4.5167579407162615E-2</v>
      </c>
      <c r="E261" s="77">
        <f>_xll.qlYieldTSZeroRate($C$3,B261,"Act/365 (Fixed)","Continuous",,TRUE)</f>
        <v>4.0601184853461945E-2</v>
      </c>
      <c r="F261" s="77">
        <f>_xll.qlYieldTSZeroRate($C$3,B261,"Act/365 (Fixed)","Compounded",,TRUE)</f>
        <v>4.1436681989444946E-2</v>
      </c>
      <c r="G261" s="77">
        <f>_xll.qlYieldTSForwardRate($C$4,B261,B261,"Act/365 (fixed)","Continuous",,TRUE)</f>
        <v>4.5141125072432918E-2</v>
      </c>
    </row>
    <row r="262" spans="2:7">
      <c r="B262" s="111">
        <f>_xll.qlCalendarAdvance("Null",B261,"1m")</f>
        <v>50922</v>
      </c>
      <c r="C262" s="112">
        <f t="shared" si="5"/>
        <v>19.67945205479452</v>
      </c>
      <c r="D262" s="77">
        <f>_xll.qlYieldTSForwardRate($C$3,B262,B262,"Act/365 (fixed)","Continuous",,TRUE)</f>
        <v>4.5133625409865048E-2</v>
      </c>
      <c r="E262" s="77">
        <f>_xll.qlYieldTSZeroRate($C$3,B262,"Act/365 (Fixed)","Continuous",,TRUE)</f>
        <v>4.0620818981854184E-2</v>
      </c>
      <c r="F262" s="77">
        <f>_xll.qlYieldTSZeroRate($C$3,B262,"Act/365 (Fixed)","Compounded",,TRUE)</f>
        <v>4.1457129891709021E-2</v>
      </c>
      <c r="G262" s="77">
        <f>_xll.qlYieldTSForwardRate($C$4,B262,B262,"Act/365 (fixed)","Continuous",,TRUE)</f>
        <v>4.5104409554277289E-2</v>
      </c>
    </row>
    <row r="263" spans="2:7">
      <c r="B263" s="111">
        <f>_xll.qlCalendarAdvance("Null",B262,"1m")</f>
        <v>50952</v>
      </c>
      <c r="C263" s="112">
        <f t="shared" si="5"/>
        <v>19.761643835616439</v>
      </c>
      <c r="D263" s="77">
        <f>_xll.qlYieldTSForwardRate($C$3,B263,B263,"Act/365 (fixed)","Continuous",,TRUE)</f>
        <v>4.5100766702478243E-2</v>
      </c>
      <c r="E263" s="77">
        <f>_xll.qlYieldTSZeroRate($C$3,B263,"Act/365 (Fixed)","Continuous",,TRUE)</f>
        <v>4.0639520120389183E-2</v>
      </c>
      <c r="F263" s="77">
        <f>_xll.qlYieldTSZeroRate($C$3,B263,"Act/365 (Fixed)","Compounded",,TRUE)</f>
        <v>4.1476606507890423E-2</v>
      </c>
      <c r="G263" s="77">
        <f>_xll.qlYieldTSForwardRate($C$4,B263,B263,"Act/365 (fixed)","Continuous",,TRUE)</f>
        <v>4.5069063669771148E-2</v>
      </c>
    </row>
    <row r="264" spans="2:7">
      <c r="B264" s="111">
        <f>_xll.qlCalendarAdvance("Null",B263,"1m")</f>
        <v>50983</v>
      </c>
      <c r="C264" s="112">
        <f t="shared" si="5"/>
        <v>19.846575342465755</v>
      </c>
      <c r="D264" s="77">
        <f>_xll.qlYieldTSForwardRate($C$3,B264,B264,"Act/365 (fixed)","Continuous",,TRUE)</f>
        <v>4.5066812704953822E-2</v>
      </c>
      <c r="E264" s="77">
        <f>_xll.qlYieldTSZeroRate($C$3,B264,"Act/365 (Fixed)","Continuous",,TRUE)</f>
        <v>4.0658538943843137E-2</v>
      </c>
      <c r="F264" s="77">
        <f>_xll.qlYieldTSZeroRate($C$3,B264,"Act/365 (Fixed)","Compounded",,TRUE)</f>
        <v>4.1496414355961297E-2</v>
      </c>
      <c r="G264" s="77">
        <f>_xll.qlYieldTSForwardRate($C$4,B264,B264,"Act/365 (fixed)","Continuous",,TRUE)</f>
        <v>4.5032750685320713E-2</v>
      </c>
    </row>
    <row r="265" spans="2:7">
      <c r="B265" s="111">
        <f>_xll.qlCalendarAdvance("Null",B264,"1m")</f>
        <v>51014</v>
      </c>
      <c r="C265" s="112">
        <f t="shared" si="5"/>
        <v>19.931506849315067</v>
      </c>
      <c r="D265" s="77">
        <f>_xll.qlYieldTSForwardRate($C$3,B265,B265,"Act/365 (fixed)","Continuous",,TRUE)</f>
        <v>4.5032858707314112E-2</v>
      </c>
      <c r="E265" s="77">
        <f>_xll.qlYieldTSZeroRate($C$3,B265,"Act/365 (Fixed)","Continuous",,TRUE)</f>
        <v>4.0677250998776636E-2</v>
      </c>
      <c r="F265" s="77">
        <f>_xll.qlYieldTSZeroRate($C$3,B265,"Act/365 (Fixed)","Compounded",,TRUE)</f>
        <v>4.1515903076416283E-2</v>
      </c>
      <c r="G265" s="77">
        <f>_xll.qlYieldTSForwardRate($C$4,B265,B265,"Act/365 (fixed)","Continuous",,TRUE)</f>
        <v>4.4996672236517488E-2</v>
      </c>
    </row>
    <row r="266" spans="2:7">
      <c r="B266" s="111">
        <f>_xll.qlCalendarAdvance("Null",B265,"1m")</f>
        <v>51044</v>
      </c>
      <c r="C266" s="112">
        <f t="shared" si="5"/>
        <v>20.013698630136986</v>
      </c>
      <c r="D266" s="77">
        <f>_xll.qlYieldTSForwardRate($C$3,B266,B266,"Act/365 (fixed)","Continuous",,TRUE)</f>
        <v>4.5000000001816629E-2</v>
      </c>
      <c r="E266" s="77">
        <f>_xll.qlYieldTSZeroRate($C$3,B266,"Act/365 (Fixed)","Continuous",,TRUE)</f>
        <v>4.0695071033088746E-2</v>
      </c>
      <c r="F266" s="77">
        <f>_xll.qlYieldTSZeroRate($C$3,B266,"Act/365 (Fixed)","Compounded",,TRUE)</f>
        <v>4.1534463090915352E-2</v>
      </c>
      <c r="G266" s="77">
        <f>_xll.qlYieldTSForwardRate($C$4,B266,B266,"Act/365 (fixed)","Continuous",,TRUE)</f>
        <v>4.49619999342337E-2</v>
      </c>
    </row>
    <row r="267" spans="2:7">
      <c r="B267" s="111">
        <f>_xll.qlCalendarAdvance("Null",B266,"1m")</f>
        <v>51075</v>
      </c>
      <c r="C267" s="112">
        <f t="shared" si="5"/>
        <v>20.098630136986301</v>
      </c>
      <c r="D267" s="77">
        <f>_xll.qlYieldTSForwardRate($C$3,B267,B267,"Act/365 (fixed)","Continuous",,TRUE)</f>
        <v>4.4966064586779493E-2</v>
      </c>
      <c r="E267" s="77">
        <f>_xll.qlYieldTSZeroRate($C$3,B267,"Act/365 (Fixed)","Continuous",,TRUE)</f>
        <v>4.0713190825764453E-2</v>
      </c>
      <c r="F267" s="77">
        <f>_xll.qlYieldTSZeroRate($C$3,B267,"Act/365 (Fixed)","Compounded",,TRUE)</f>
        <v>4.1553335650434065E-2</v>
      </c>
      <c r="G267" s="77">
        <f>_xll.qlYieldTSForwardRate($C$4,B267,B267,"Act/365 (fixed)","Continuous",,TRUE)</f>
        <v>4.492627444791393E-2</v>
      </c>
    </row>
    <row r="268" spans="2:7">
      <c r="B268" s="111">
        <f>_xll.qlCalendarAdvance("Null",B267,"1m")</f>
        <v>51105</v>
      </c>
      <c r="C268" s="112">
        <f t="shared" si="5"/>
        <v>20.18082191780822</v>
      </c>
      <c r="D268" s="77">
        <f>_xll.qlYieldTSForwardRate($C$3,B268,B268,"Act/365 (fixed)","Continuous",,TRUE)</f>
        <v>4.4933223866594721E-2</v>
      </c>
      <c r="E268" s="77">
        <f>_xll.qlYieldTSZeroRate($C$3,B268,"Act/365 (Fixed)","Continuous",,TRUE)</f>
        <v>4.0730444912377567E-2</v>
      </c>
      <c r="F268" s="77">
        <f>_xll.qlYieldTSZeroRate($C$3,B268,"Act/365 (Fixed)","Compounded",,TRUE)</f>
        <v>4.157130685693744E-2</v>
      </c>
      <c r="G268" s="77">
        <f>_xll.qlYieldTSForwardRate($C$4,B268,B268,"Act/365 (fixed)","Continuous",,TRUE)</f>
        <v>4.4891659041840205E-2</v>
      </c>
    </row>
    <row r="269" spans="2:7">
      <c r="B269" s="111">
        <f>_xll.qlCalendarAdvance("Null",B268,"1m")</f>
        <v>51136</v>
      </c>
      <c r="C269" s="112">
        <f t="shared" si="5"/>
        <v>20.265753424657536</v>
      </c>
      <c r="D269" s="77">
        <f>_xll.qlYieldTSForwardRate($C$3,B269,B269,"Act/365 (fixed)","Continuous",,TRUE)</f>
        <v>4.4899288449110529E-2</v>
      </c>
      <c r="E269" s="77">
        <f>_xll.qlYieldTSZeroRate($C$3,B269,"Act/365 (Fixed)","Continuous",,TRUE)</f>
        <v>4.0747987179324034E-2</v>
      </c>
      <c r="F269" s="77">
        <f>_xll.qlYieldTSZeroRate($C$3,B269,"Act/365 (Fixed)","Compounded",,TRUE)</f>
        <v>4.158957853910894E-2</v>
      </c>
      <c r="G269" s="77">
        <f>_xll.qlYieldTSForwardRate($C$4,B269,B269,"Act/365 (fixed)","Continuous",,TRUE)</f>
        <v>4.4855860176517694E-2</v>
      </c>
    </row>
    <row r="270" spans="2:7">
      <c r="B270" s="111">
        <f>_xll.qlCalendarAdvance("Null",B269,"1m")</f>
        <v>51167</v>
      </c>
      <c r="C270" s="112">
        <f t="shared" si="5"/>
        <v>20.350684931506848</v>
      </c>
      <c r="D270" s="77">
        <f>_xll.qlYieldTSForwardRate($C$3,B270,B270,"Act/365 (fixed)","Continuous",,TRUE)</f>
        <v>4.4865353035952064E-2</v>
      </c>
      <c r="E270" s="77">
        <f>_xll.qlYieldTSZeroRate($C$3,B270,"Act/365 (Fixed)","Continuous",,TRUE)</f>
        <v>4.0765241398564349E-2</v>
      </c>
      <c r="F270" s="77">
        <f>_xll.qlYieldTSZeroRate($C$3,B270,"Act/365 (Fixed)","Compounded",,TRUE)</f>
        <v>4.1607550509101143E-2</v>
      </c>
      <c r="G270" s="77">
        <f>_xll.qlYieldTSForwardRate($C$4,B270,B270,"Act/365 (fixed)","Continuous",,TRUE)</f>
        <v>4.4820045603702063E-2</v>
      </c>
    </row>
    <row r="271" spans="2:7">
      <c r="B271" s="111">
        <f>_xll.qlCalendarAdvance("Null",B270,"1m")</f>
        <v>51196</v>
      </c>
      <c r="C271" s="112">
        <f t="shared" si="5"/>
        <v>20.43013698630137</v>
      </c>
      <c r="D271" s="77">
        <f>_xll.qlYieldTSForwardRate($C$3,B271,B271,"Act/365 (fixed)","Continuous",,TRUE)</f>
        <v>4.4833607005974108E-2</v>
      </c>
      <c r="E271" s="77">
        <f>_xll.qlYieldTSZeroRate($C$3,B271,"Act/365 (Fixed)","Continuous",,TRUE)</f>
        <v>4.078112485304692E-2</v>
      </c>
      <c r="F271" s="77">
        <f>_xll.qlYieldTSZeroRate($C$3,B271,"Act/365 (Fixed)","Compounded",,TRUE)</f>
        <v>4.1624094966609571E-2</v>
      </c>
      <c r="G271" s="77">
        <f>_xll.qlYieldTSForwardRate($C$4,B271,B271,"Act/365 (fixed)","Continuous",,TRUE)</f>
        <v>4.4786540306511649E-2</v>
      </c>
    </row>
    <row r="272" spans="2:7">
      <c r="B272" s="111">
        <f>_xll.qlCalendarAdvance("Null",B271,"1m")</f>
        <v>51227</v>
      </c>
      <c r="C272" s="112">
        <f t="shared" si="5"/>
        <v>20.515068493150686</v>
      </c>
      <c r="D272" s="77">
        <f>_xll.qlYieldTSForwardRate($C$3,B272,B272,"Act/365 (fixed)","Continuous",,TRUE)</f>
        <v>4.4799671592592745E-2</v>
      </c>
      <c r="E272" s="77">
        <f>_xll.qlYieldTSZeroRate($C$3,B272,"Act/365 (Fixed)","Continuous",,TRUE)</f>
        <v>4.0797831710396935E-2</v>
      </c>
      <c r="F272" s="77">
        <f>_xll.qlYieldTSZeroRate($C$3,B272,"Act/365 (Fixed)","Compounded",,TRUE)</f>
        <v>4.1641497377145953E-2</v>
      </c>
      <c r="G272" s="77">
        <f>_xll.qlYieldTSForwardRate($C$4,B272,B272,"Act/365 (fixed)","Continuous",,TRUE)</f>
        <v>4.4750736635789073E-2</v>
      </c>
    </row>
    <row r="273" spans="2:7">
      <c r="B273" s="111">
        <f>_xll.qlCalendarAdvance("Null",B272,"1m")</f>
        <v>51257</v>
      </c>
      <c r="C273" s="112">
        <f t="shared" si="5"/>
        <v>20.597260273972601</v>
      </c>
      <c r="D273" s="77">
        <f>_xll.qlYieldTSForwardRate($C$3,B273,B273,"Act/365 (fixed)","Continuous",,TRUE)</f>
        <v>4.4766830869641082E-2</v>
      </c>
      <c r="E273" s="77">
        <f>_xll.qlYieldTSZeroRate($C$3,B273,"Act/365 (Fixed)","Continuous",,TRUE)</f>
        <v>4.0813735220058267E-2</v>
      </c>
      <c r="F273" s="77">
        <f>_xll.qlYieldTSZeroRate($C$3,B273,"Act/365 (Fixed)","Compounded",,TRUE)</f>
        <v>4.165806326449073E-2</v>
      </c>
      <c r="G273" s="77">
        <f>_xll.qlYieldTSForwardRate($C$4,B273,B273,"Act/365 (fixed)","Continuous",,TRUE)</f>
        <v>4.4716113455360869E-2</v>
      </c>
    </row>
    <row r="274" spans="2:7">
      <c r="B274" s="111">
        <f>_xll.qlCalendarAdvance("Null",B273,"1m")</f>
        <v>51288</v>
      </c>
      <c r="C274" s="112">
        <f t="shared" si="5"/>
        <v>20.682191780821917</v>
      </c>
      <c r="D274" s="77">
        <f>_xll.qlYieldTSForwardRate($C$3,B274,B274,"Act/365 (fixed)","Continuous",,TRUE)</f>
        <v>4.4732895456033116E-2</v>
      </c>
      <c r="E274" s="77">
        <f>_xll.qlYieldTSZeroRate($C$3,B274,"Act/365 (Fixed)","Continuous",,TRUE)</f>
        <v>4.0829898945883084E-2</v>
      </c>
      <c r="F274" s="77">
        <f>_xll.qlYieldTSZeroRate($C$3,B274,"Act/365 (Fixed)","Compounded",,TRUE)</f>
        <v>4.1674900475904275E-2</v>
      </c>
      <c r="G274" s="77">
        <f>_xll.qlYieldTSForwardRate($C$4,B274,B274,"Act/365 (fixed)","Continuous",,TRUE)</f>
        <v>4.4680376712771905E-2</v>
      </c>
    </row>
    <row r="275" spans="2:7">
      <c r="B275" s="111">
        <f>_xll.qlCalendarAdvance("Null",B274,"1m")</f>
        <v>51318</v>
      </c>
      <c r="C275" s="112">
        <f t="shared" si="5"/>
        <v>20.764383561643836</v>
      </c>
      <c r="D275" s="77">
        <f>_xll.qlYieldTSForwardRate($C$3,B275,B275,"Act/365 (fixed)","Continuous",,TRUE)</f>
        <v>4.4700054732862156E-2</v>
      </c>
      <c r="E275" s="77">
        <f>_xll.qlYieldTSZeroRate($C$3,B275,"Act/365 (Fixed)","Continuous",,TRUE)</f>
        <v>4.0845283202974668E-2</v>
      </c>
      <c r="F275" s="77">
        <f>_xll.qlYieldTSZeroRate($C$3,B275,"Act/365 (Fixed)","Compounded",,TRUE)</f>
        <v>4.1690925993648875E-2</v>
      </c>
      <c r="G275" s="77">
        <f>_xll.qlYieldTSForwardRate($C$4,B275,B275,"Act/365 (fixed)","Continuous",,TRUE)</f>
        <v>4.464584554697356E-2</v>
      </c>
    </row>
    <row r="276" spans="2:7">
      <c r="B276" s="111">
        <f>_xll.qlCalendarAdvance("Null",B275,"1m")</f>
        <v>51349</v>
      </c>
      <c r="C276" s="112">
        <f t="shared" si="5"/>
        <v>20.849315068493151</v>
      </c>
      <c r="D276" s="77">
        <f>_xll.qlYieldTSForwardRate($C$3,B276,B276,"Act/365 (fixed)","Continuous",,TRUE)</f>
        <v>4.4666119321248011E-2</v>
      </c>
      <c r="E276" s="77">
        <f>_xll.qlYieldTSZeroRate($C$3,B276,"Act/365 (Fixed)","Continuous",,TRUE)</f>
        <v>4.0860916832222115E-2</v>
      </c>
      <c r="F276" s="77">
        <f>_xll.qlYieldTSZeroRate($C$3,B276,"Act/365 (Fixed)","Compounded",,TRUE)</f>
        <v>4.1707211530677135E-2</v>
      </c>
      <c r="G276" s="77">
        <f>_xll.qlYieldTSForwardRate($C$4,B276,B276,"Act/365 (fixed)","Continuous",,TRUE)</f>
        <v>4.4610232038339477E-2</v>
      </c>
    </row>
    <row r="277" spans="2:7">
      <c r="B277" s="111">
        <f>_xll.qlCalendarAdvance("Null",B276,"1m")</f>
        <v>51380</v>
      </c>
      <c r="C277" s="112">
        <f t="shared" si="5"/>
        <v>20.934246575342467</v>
      </c>
      <c r="D277" s="77">
        <f>_xll.qlYieldTSForwardRate($C$3,B277,B277,"Act/365 (fixed)","Continuous",,TRUE)</f>
        <v>4.463218390729827E-2</v>
      </c>
      <c r="E277" s="77">
        <f>_xll.qlYieldTSZeroRate($C$3,B277,"Act/365 (Fixed)","Continuous",,TRUE)</f>
        <v>4.0876285930279428E-2</v>
      </c>
      <c r="F277" s="77">
        <f>_xll.qlYieldTSZeroRate($C$3,B277,"Act/365 (Fixed)","Compounded",,TRUE)</f>
        <v>4.1723221753989126E-2</v>
      </c>
      <c r="G277" s="77">
        <f>_xll.qlYieldTSForwardRate($C$4,B277,B277,"Act/365 (fixed)","Continuous",,TRUE)</f>
        <v>4.4574702732958306E-2</v>
      </c>
    </row>
    <row r="278" spans="2:7">
      <c r="B278" s="111">
        <f>_xll.qlCalendarAdvance("Null",B277,"1m")</f>
        <v>51410</v>
      </c>
      <c r="C278" s="112">
        <f t="shared" si="5"/>
        <v>21.016438356164382</v>
      </c>
      <c r="D278" s="77">
        <f>_xll.qlYieldTSForwardRate($C$3,B278,B278,"Act/365 (fixed)","Continuous",,TRUE)</f>
        <v>4.4599343186017014E-2</v>
      </c>
      <c r="E278" s="77">
        <f>_xll.qlYieldTSZeroRate($C$3,B278,"Act/365 (Fixed)","Continuous",,TRUE)</f>
        <v>4.0890910402772644E-2</v>
      </c>
      <c r="F278" s="77">
        <f>_xll.qlYieldTSZeroRate($C$3,B278,"Act/365 (Fixed)","Compounded",,TRUE)</f>
        <v>4.173845651799124E-2</v>
      </c>
      <c r="G278" s="77">
        <f>_xll.qlYieldTSForwardRate($C$4,B278,B278,"Act/365 (fixed)","Continuous",,TRUE)</f>
        <v>4.4540413398938036E-2</v>
      </c>
    </row>
    <row r="279" spans="2:7">
      <c r="B279" s="111">
        <f>_xll.qlCalendarAdvance("Null",B278,"1m")</f>
        <v>51441</v>
      </c>
      <c r="C279" s="112">
        <f t="shared" si="5"/>
        <v>21.101369863013698</v>
      </c>
      <c r="D279" s="77">
        <f>_xll.qlYieldTSForwardRate($C$3,B279,B279,"Act/365 (fixed)","Continuous",,TRUE)</f>
        <v>4.4565407771840662E-2</v>
      </c>
      <c r="E279" s="77">
        <f>_xll.qlYieldTSZeroRate($C$3,B279,"Act/365 (Fixed)","Continuous",,TRUE)</f>
        <v>4.0905768286096558E-2</v>
      </c>
      <c r="F279" s="77">
        <f>_xll.qlYieldTSZeroRate($C$3,B279,"Act/365 (Fixed)","Compounded",,TRUE)</f>
        <v>4.1753934661417968E-2</v>
      </c>
      <c r="G279" s="77">
        <f>_xll.qlYieldTSForwardRate($C$4,B279,B279,"Act/365 (fixed)","Continuous",,TRUE)</f>
        <v>4.4505092243656424E-2</v>
      </c>
    </row>
    <row r="280" spans="2:7">
      <c r="B280" s="111">
        <f>_xll.qlCalendarAdvance("Null",B279,"1m")</f>
        <v>51471</v>
      </c>
      <c r="C280" s="112">
        <f t="shared" si="5"/>
        <v>21.183561643835617</v>
      </c>
      <c r="D280" s="77">
        <f>_xll.qlYieldTSForwardRate($C$3,B280,B280,"Act/365 (fixed)","Continuous",,TRUE)</f>
        <v>4.4532567048119663E-2</v>
      </c>
      <c r="E280" s="77">
        <f>_xll.qlYieldTSZeroRate($C$3,B280,"Act/365 (Fixed)","Continuous",,TRUE)</f>
        <v>4.0919903900911457E-2</v>
      </c>
      <c r="F280" s="77">
        <f>_xll.qlYieldTSZeroRate($C$3,B280,"Act/365 (Fixed)","Compounded",,TRUE)</f>
        <v>4.1768660597850227E-2</v>
      </c>
      <c r="G280" s="77">
        <f>_xll.qlYieldTSForwardRate($C$4,B280,B280,"Act/365 (fixed)","Continuous",,TRUE)</f>
        <v>4.4471031594339544E-2</v>
      </c>
    </row>
    <row r="281" spans="2:7">
      <c r="B281" s="111">
        <f>_xll.qlCalendarAdvance("Null",B280,"1m")</f>
        <v>51502</v>
      </c>
      <c r="C281" s="112">
        <f t="shared" si="5"/>
        <v>21.268493150684932</v>
      </c>
      <c r="D281" s="77">
        <f>_xll.qlYieldTSForwardRate($C$3,B281,B281,"Act/365 (fixed)","Continuous",,TRUE)</f>
        <v>4.4498631635937147E-2</v>
      </c>
      <c r="E281" s="77">
        <f>_xll.qlYieldTSZeroRate($C$3,B281,"Act/365 (Fixed)","Continuous",,TRUE)</f>
        <v>4.0934262597125619E-2</v>
      </c>
      <c r="F281" s="77">
        <f>_xll.qlYieldTSZeroRate($C$3,B281,"Act/365 (Fixed)","Compounded",,TRUE)</f>
        <v>4.1783619144965423E-2</v>
      </c>
      <c r="G281" s="77">
        <f>_xll.qlYieldTSForwardRate($C$4,B281,B281,"Act/365 (fixed)","Continuous",,TRUE)</f>
        <v>4.4435974899423518E-2</v>
      </c>
    </row>
    <row r="282" spans="2:7">
      <c r="B282" s="111">
        <f>_xll.qlCalendarAdvance("Null",B281,"1m")</f>
        <v>51533</v>
      </c>
      <c r="C282" s="112">
        <f t="shared" ref="C282:C345" si="6">(B282-$B$26)/365</f>
        <v>21.353424657534248</v>
      </c>
      <c r="D282" s="77">
        <f>_xll.qlYieldTSForwardRate($C$3,B282,B282,"Act/365 (fixed)","Continuous",,TRUE)</f>
        <v>4.4464696223639466E-2</v>
      </c>
      <c r="E282" s="77">
        <f>_xll.qlYieldTSZeroRate($C$3,B282,"Act/365 (Fixed)","Continuous",,TRUE)</f>
        <v>4.0948372096909706E-2</v>
      </c>
      <c r="F282" s="77">
        <f>_xll.qlYieldTSZeroRate($C$3,B282,"Act/365 (Fixed)","Compounded",,TRUE)</f>
        <v>4.1798318294413495E-2</v>
      </c>
      <c r="G282" s="77">
        <f>_xll.qlYieldTSForwardRate($C$4,B282,B282,"Act/365 (fixed)","Continuous",,TRUE)</f>
        <v>4.4401074174483905E-2</v>
      </c>
    </row>
    <row r="283" spans="2:7">
      <c r="B283" s="111">
        <f>_xll.qlCalendarAdvance("Null",B282,"1m")</f>
        <v>51561</v>
      </c>
      <c r="C283" s="112">
        <f t="shared" si="6"/>
        <v>21.43013698630137</v>
      </c>
      <c r="D283" s="77">
        <f>_xll.qlYieldTSForwardRate($C$3,B283,B283,"Act/365 (fixed)","Continuous",,TRUE)</f>
        <v>4.4434044882970883E-2</v>
      </c>
      <c r="E283" s="77">
        <f>_xll.qlYieldTSZeroRate($C$3,B283,"Act/365 (Fixed)","Continuous",,TRUE)</f>
        <v>4.0960904436051299E-2</v>
      </c>
      <c r="F283" s="77">
        <f>_xll.qlYieldTSZeroRate($C$3,B283,"Act/365 (Fixed)","Compounded",,TRUE)</f>
        <v>4.1811374546067981E-2</v>
      </c>
      <c r="G283" s="77">
        <f>_xll.qlYieldTSForwardRate($C$4,B283,B283,"Act/365 (fixed)","Continuous",,TRUE)</f>
        <v>4.4369697097371888E-2</v>
      </c>
    </row>
    <row r="284" spans="2:7">
      <c r="B284" s="111">
        <f>_xll.qlCalendarAdvance("Null",B283,"1m")</f>
        <v>51592</v>
      </c>
      <c r="C284" s="112">
        <f t="shared" si="6"/>
        <v>21.515068493150686</v>
      </c>
      <c r="D284" s="77">
        <f>_xll.qlYieldTSForwardRate($C$3,B284,B284,"Act/365 (fixed)","Continuous",,TRUE)</f>
        <v>4.4400109468233584E-2</v>
      </c>
      <c r="E284" s="77">
        <f>_xll.qlYieldTSZeroRate($C$3,B284,"Act/365 (Fixed)","Continuous",,TRUE)</f>
        <v>4.0974547802271728E-2</v>
      </c>
      <c r="F284" s="77">
        <f>_xll.qlYieldTSZeroRate($C$3,B284,"Act/365 (Fixed)","Compounded",,TRUE)</f>
        <v>4.1825588457146123E-2</v>
      </c>
      <c r="G284" s="77">
        <f>_xll.qlYieldTSForwardRate($C$4,B284,B284,"Act/365 (fixed)","Continuous",,TRUE)</f>
        <v>4.4335133398889892E-2</v>
      </c>
    </row>
    <row r="285" spans="2:7">
      <c r="B285" s="111">
        <f>_xll.qlCalendarAdvance("Null",B284,"1m")</f>
        <v>51622</v>
      </c>
      <c r="C285" s="112">
        <f t="shared" si="6"/>
        <v>21.597260273972601</v>
      </c>
      <c r="D285" s="77">
        <f>_xll.qlYieldTSForwardRate($C$3,B285,B285,"Act/365 (fixed)","Continuous",,TRUE)</f>
        <v>4.4367268746190174E-2</v>
      </c>
      <c r="E285" s="77">
        <f>_xll.qlYieldTSZeroRate($C$3,B285,"Act/365 (Fixed)","Continuous",,TRUE)</f>
        <v>4.0987521827283352E-2</v>
      </c>
      <c r="F285" s="77">
        <f>_xll.qlYieldTSZeroRate($C$3,B285,"Act/365 (Fixed)","Compounded",,TRUE)</f>
        <v>4.1839105216071593E-2</v>
      </c>
      <c r="G285" s="77">
        <f>_xll.qlYieldTSForwardRate($C$4,B285,B285,"Act/365 (fixed)","Continuous",,TRUE)</f>
        <v>4.4301873218469109E-2</v>
      </c>
    </row>
    <row r="286" spans="2:7">
      <c r="B286" s="111">
        <f>_xll.qlCalendarAdvance("Null",B285,"1m")</f>
        <v>51653</v>
      </c>
      <c r="C286" s="112">
        <f t="shared" si="6"/>
        <v>21.682191780821917</v>
      </c>
      <c r="D286" s="77">
        <f>_xll.qlYieldTSForwardRate($C$3,B286,B286,"Act/365 (fixed)","Continuous",,TRUE)</f>
        <v>4.4333333333446703E-2</v>
      </c>
      <c r="E286" s="77">
        <f>_xll.qlYieldTSZeroRate($C$3,B286,"Act/365 (Fixed)","Continuous",,TRUE)</f>
        <v>4.1000694199736336E-2</v>
      </c>
      <c r="F286" s="77">
        <f>_xll.qlYieldTSZeroRate($C$3,B286,"Act/365 (Fixed)","Compounded",,TRUE)</f>
        <v>4.1852828799187503E-2</v>
      </c>
      <c r="G286" s="77">
        <f>_xll.qlYieldTSForwardRate($C$4,B286,B286,"Act/365 (fixed)","Continuous",,TRUE)</f>
        <v>4.4267713359369742E-2</v>
      </c>
    </row>
    <row r="287" spans="2:7">
      <c r="B287" s="111">
        <f>_xll.qlCalendarAdvance("Null",B286,"1m")</f>
        <v>51683</v>
      </c>
      <c r="C287" s="112">
        <f t="shared" si="6"/>
        <v>21.764383561643836</v>
      </c>
      <c r="D287" s="77">
        <f>_xll.qlYieldTSForwardRate($C$3,B287,B287,"Act/365 (fixed)","Continuous",,TRUE)</f>
        <v>4.4300492611183996E-2</v>
      </c>
      <c r="E287" s="77">
        <f>_xll.qlYieldTSZeroRate($C$3,B287,"Act/365 (Fixed)","Continuous",,TRUE)</f>
        <v>4.101321768452617E-2</v>
      </c>
      <c r="F287" s="77">
        <f>_xll.qlYieldTSZeroRate($C$3,B287,"Act/365 (Fixed)","Compounded",,TRUE)</f>
        <v>4.1865876508943467E-2</v>
      </c>
      <c r="G287" s="77">
        <f>_xll.qlYieldTSForwardRate($C$4,B287,B287,"Act/365 (fixed)","Continuous",,TRUE)</f>
        <v>4.4234871226914538E-2</v>
      </c>
    </row>
    <row r="288" spans="2:7">
      <c r="B288" s="111">
        <f>_xll.qlCalendarAdvance("Null",B287,"1m")</f>
        <v>51714</v>
      </c>
      <c r="C288" s="112">
        <f t="shared" si="6"/>
        <v>21.849315068493151</v>
      </c>
      <c r="D288" s="77">
        <f>_xll.qlYieldTSForwardRate($C$3,B288,B288,"Act/365 (fixed)","Continuous",,TRUE)</f>
        <v>4.426655719599349E-2</v>
      </c>
      <c r="E288" s="77">
        <f>_xll.qlYieldTSZeroRate($C$3,B288,"Act/365 (Fixed)","Continuous",,TRUE)</f>
        <v>4.1025929850521191E-2</v>
      </c>
      <c r="F288" s="77">
        <f>_xll.qlYieldTSZeroRate($C$3,B288,"Act/365 (Fixed)","Compounded",,TRUE)</f>
        <v>4.1879120965092831E-2</v>
      </c>
      <c r="G288" s="77">
        <f>_xll.qlYieldTSForwardRate($C$4,B288,B288,"Act/365 (fixed)","Continuous",,TRUE)</f>
        <v>4.4201171508587211E-2</v>
      </c>
    </row>
    <row r="289" spans="2:7">
      <c r="B289" s="111">
        <f>_xll.qlCalendarAdvance("Null",B288,"1m")</f>
        <v>51745</v>
      </c>
      <c r="C289" s="112">
        <f t="shared" si="6"/>
        <v>21.934246575342467</v>
      </c>
      <c r="D289" s="77">
        <f>_xll.qlYieldTSForwardRate($C$3,B289,B289,"Act/365 (fixed)","Continuous",,TRUE)</f>
        <v>4.4232621785128684E-2</v>
      </c>
      <c r="E289" s="77">
        <f>_xll.qlYieldTSZeroRate($C$3,B289,"Act/365 (Fixed)","Continuous",,TRUE)</f>
        <v>4.1038412169888398E-2</v>
      </c>
      <c r="F289" s="77">
        <f>_xll.qlYieldTSZeroRate($C$3,B289,"Act/365 (Fixed)","Compounded",,TRUE)</f>
        <v>4.1892126114189798E-2</v>
      </c>
      <c r="G289" s="77">
        <f>_xll.qlYieldTSForwardRate($C$4,B289,B289,"Act/365 (fixed)","Continuous",,TRUE)</f>
        <v>4.4167727204706804E-2</v>
      </c>
    </row>
    <row r="290" spans="2:7">
      <c r="B290" s="111">
        <f>_xll.qlCalendarAdvance("Null",B289,"1m")</f>
        <v>51775</v>
      </c>
      <c r="C290" s="112">
        <f t="shared" si="6"/>
        <v>22.016438356164382</v>
      </c>
      <c r="D290" s="77">
        <f>_xll.qlYieldTSForwardRate($C$3,B290,B290,"Act/365 (fixed)","Continuous",,TRUE)</f>
        <v>4.4199781060314795E-2</v>
      </c>
      <c r="E290" s="77">
        <f>_xll.qlYieldTSZeroRate($C$3,B290,"Act/365 (Fixed)","Continuous",,TRUE)</f>
        <v>4.1050275494626622E-2</v>
      </c>
      <c r="F290" s="77">
        <f>_xll.qlYieldTSZeroRate($C$3,B290,"Act/365 (Fixed)","Compounded",,TRUE)</f>
        <v>4.1904486492141624E-2</v>
      </c>
      <c r="G290" s="77">
        <f>_xll.qlYieldTSForwardRate($C$4,B290,B290,"Act/365 (fixed)","Continuous",,TRUE)</f>
        <v>4.4135618641887767E-2</v>
      </c>
    </row>
    <row r="291" spans="2:7">
      <c r="B291" s="111">
        <f>_xll.qlCalendarAdvance("Null",B290,"1m")</f>
        <v>51806</v>
      </c>
      <c r="C291" s="112">
        <f t="shared" si="6"/>
        <v>22.101369863013698</v>
      </c>
      <c r="D291" s="77">
        <f>_xll.qlYieldTSForwardRate($C$3,B291,B291,"Act/365 (fixed)","Continuous",,TRUE)</f>
        <v>4.416584564700296E-2</v>
      </c>
      <c r="E291" s="77">
        <f>_xll.qlYieldTSZeroRate($C$3,B291,"Act/365 (Fixed)","Continuous",,TRUE)</f>
        <v>4.1062313262530251E-2</v>
      </c>
      <c r="F291" s="77">
        <f>_xll.qlYieldTSZeroRate($C$3,B291,"Act/365 (Fixed)","Compounded",,TRUE)</f>
        <v>4.1917028772018083E-2</v>
      </c>
      <c r="G291" s="77">
        <f>_xll.qlYieldTSForwardRate($C$4,B291,B291,"Act/365 (fixed)","Continuous",,TRUE)</f>
        <v>4.4102719403819074E-2</v>
      </c>
    </row>
    <row r="292" spans="2:7">
      <c r="B292" s="111">
        <f>_xll.qlCalendarAdvance("Null",B291,"1m")</f>
        <v>51836</v>
      </c>
      <c r="C292" s="112">
        <f t="shared" si="6"/>
        <v>22.183561643835617</v>
      </c>
      <c r="D292" s="77">
        <f>_xll.qlYieldTSForwardRate($C$3,B292,B292,"Act/365 (fixed)","Continuous",,TRUE)</f>
        <v>4.4133004926410639E-2</v>
      </c>
      <c r="E292" s="77">
        <f>_xll.qlYieldTSZeroRate($C$3,B292,"Act/365 (Fixed)","Continuous",,TRUE)</f>
        <v>4.1073751247060912E-2</v>
      </c>
      <c r="F292" s="77">
        <f>_xll.qlYieldTSZeroRate($C$3,B292,"Act/365 (Fixed)","Compounded",,TRUE)</f>
        <v>4.1928946271031498E-2</v>
      </c>
      <c r="G292" s="77">
        <f>_xll.qlYieldTSForwardRate($C$4,B292,B292,"Act/365 (fixed)","Continuous",,TRUE)</f>
        <v>4.4071165561280851E-2</v>
      </c>
    </row>
    <row r="293" spans="2:7">
      <c r="B293" s="111">
        <f>_xll.qlCalendarAdvance("Null",B292,"1m")</f>
        <v>51867</v>
      </c>
      <c r="C293" s="112">
        <f t="shared" si="6"/>
        <v>22.268493150684932</v>
      </c>
      <c r="D293" s="77">
        <f>_xll.qlYieldTSForwardRate($C$3,B293,B293,"Act/365 (fixed)","Continuous",,TRUE)</f>
        <v>4.4099069512872187E-2</v>
      </c>
      <c r="E293" s="77">
        <f>_xll.qlYieldTSZeroRate($C$3,B293,"Act/365 (Fixed)","Continuous",,TRUE)</f>
        <v>4.1085354453894725E-2</v>
      </c>
      <c r="F293" s="77">
        <f>_xll.qlYieldTSZeroRate($C$3,B293,"Act/365 (Fixed)","Compounded",,TRUE)</f>
        <v>4.1941036058241066E-2</v>
      </c>
      <c r="G293" s="77">
        <f>_xll.qlYieldTSForwardRate($C$4,B293,B293,"Act/365 (fixed)","Continuous",,TRUE)</f>
        <v>4.4038867683755326E-2</v>
      </c>
    </row>
    <row r="294" spans="2:7">
      <c r="B294" s="111">
        <f>_xll.qlCalendarAdvance("Null",B293,"1m")</f>
        <v>51898</v>
      </c>
      <c r="C294" s="112">
        <f t="shared" si="6"/>
        <v>22.353424657534248</v>
      </c>
      <c r="D294" s="77">
        <f>_xll.qlYieldTSForwardRate($C$3,B294,B294,"Act/365 (fixed)","Continuous",,TRUE)</f>
        <v>4.4065134099218577E-2</v>
      </c>
      <c r="E294" s="77">
        <f>_xll.qlYieldTSZeroRate($C$3,B294,"Act/365 (Fixed)","Continuous",,TRUE)</f>
        <v>4.1096740551201091E-2</v>
      </c>
      <c r="F294" s="77">
        <f>_xll.qlYieldTSZeroRate($C$3,B294,"Act/365 (Fixed)","Compounded",,TRUE)</f>
        <v>4.1952899767805807E-2</v>
      </c>
      <c r="G294" s="77">
        <f>_xll.qlYieldTSForwardRate($C$4,B294,B294,"Act/365 (fixed)","Continuous",,TRUE)</f>
        <v>4.4006896998513199E-2</v>
      </c>
    </row>
    <row r="295" spans="2:7">
      <c r="B295" s="111">
        <f>_xll.qlCalendarAdvance("Null",B294,"1m")</f>
        <v>51926</v>
      </c>
      <c r="C295" s="112">
        <f t="shared" si="6"/>
        <v>22.43013698630137</v>
      </c>
      <c r="D295" s="77">
        <f>_xll.qlYieldTSForwardRate($C$3,B295,B295,"Act/365 (fixed)","Continuous",,TRUE)</f>
        <v>4.4034482757325286E-2</v>
      </c>
      <c r="E295" s="77">
        <f>_xll.qlYieldTSZeroRate($C$3,B295,"Act/365 (Fixed)","Continuous",,TRUE)</f>
        <v>4.1106840209266526E-2</v>
      </c>
      <c r="F295" s="77">
        <f>_xll.qlYieldTSZeroRate($C$3,B295,"Act/365 (Fixed)","Compounded",,TRUE)</f>
        <v>4.1963423188954962E-2</v>
      </c>
      <c r="G295" s="77">
        <f>_xll.qlYieldTSForwardRate($C$4,B295,B295,"Act/365 (fixed)","Continuous",,TRUE)</f>
        <v>4.3978313566516505E-2</v>
      </c>
    </row>
    <row r="296" spans="2:7">
      <c r="B296" s="111">
        <f>_xll.qlCalendarAdvance("Null",B295,"1m")</f>
        <v>51957</v>
      </c>
      <c r="C296" s="112">
        <f t="shared" si="6"/>
        <v>22.515068493150686</v>
      </c>
      <c r="D296" s="77">
        <f>_xll.qlYieldTSForwardRate($C$3,B296,B296,"Act/365 (fixed)","Continuous",,TRUE)</f>
        <v>4.4000547345672922E-2</v>
      </c>
      <c r="E296" s="77">
        <f>_xll.qlYieldTSZeroRate($C$3,B296,"Act/365 (Fixed)","Continuous",,TRUE)</f>
        <v>4.1117819878300925E-2</v>
      </c>
      <c r="F296" s="77">
        <f>_xll.qlYieldTSZeroRate($C$3,B296,"Act/365 (Fixed)","Compounded",,TRUE)</f>
        <v>4.1974863665293904E-2</v>
      </c>
      <c r="G296" s="77">
        <f>_xll.qlYieldTSForwardRate($C$4,B296,B296,"Act/365 (fixed)","Continuous",,TRUE)</f>
        <v>4.3947005770131151E-2</v>
      </c>
    </row>
    <row r="297" spans="2:7">
      <c r="B297" s="111">
        <f>_xll.qlCalendarAdvance("Null",B296,"1m")</f>
        <v>51987</v>
      </c>
      <c r="C297" s="112">
        <f t="shared" si="6"/>
        <v>22.597260273972601</v>
      </c>
      <c r="D297" s="77">
        <f>_xll.qlYieldTSForwardRate($C$3,B297,B297,"Act/365 (fixed)","Continuous",,TRUE)</f>
        <v>4.3967706622317325E-2</v>
      </c>
      <c r="E297" s="77">
        <f>_xll.qlYieldTSZeroRate($C$3,B297,"Act/365 (Fixed)","Continuous",,TRUE)</f>
        <v>4.1128245340616001E-2</v>
      </c>
      <c r="F297" s="77">
        <f>_xll.qlYieldTSZeroRate($C$3,B297,"Act/365 (Fixed)","Compounded",,TRUE)</f>
        <v>4.1985726791594624E-2</v>
      </c>
      <c r="G297" s="77">
        <f>_xll.qlYieldTSForwardRate($C$4,B297,B297,"Act/365 (fixed)","Continuous",,TRUE)</f>
        <v>4.3917059474131666E-2</v>
      </c>
    </row>
    <row r="298" spans="2:7">
      <c r="B298" s="111">
        <f>_xll.qlCalendarAdvance("Null",B297,"1m")</f>
        <v>52018</v>
      </c>
      <c r="C298" s="112">
        <f t="shared" si="6"/>
        <v>22.682191780821917</v>
      </c>
      <c r="D298" s="77">
        <f>_xll.qlYieldTSForwardRate($C$3,B298,B298,"Act/365 (fixed)","Continuous",,TRUE)</f>
        <v>4.3933771208217932E-2</v>
      </c>
      <c r="E298" s="77">
        <f>_xll.qlYieldTSZeroRate($C$3,B298,"Act/365 (Fixed)","Continuous",,TRUE)</f>
        <v>4.1138813923880267E-2</v>
      </c>
      <c r="F298" s="77">
        <f>_xll.qlYieldTSZeroRate($C$3,B298,"Act/365 (Fixed)","Compounded",,TRUE)</f>
        <v>4.1996739162700969E-2</v>
      </c>
      <c r="G298" s="77">
        <f>_xll.qlYieldTSForwardRate($C$4,B298,B298,"Act/365 (fixed)","Continuous",,TRUE)</f>
        <v>4.3886492421767058E-2</v>
      </c>
    </row>
    <row r="299" spans="2:7">
      <c r="B299" s="111">
        <f>_xll.qlCalendarAdvance("Null",B298,"1m")</f>
        <v>52048</v>
      </c>
      <c r="C299" s="112">
        <f t="shared" si="6"/>
        <v>22.764383561643836</v>
      </c>
      <c r="D299" s="77">
        <f>_xll.qlYieldTSForwardRate($C$3,B299,B299,"Act/365 (fixed)","Continuous",,TRUE)</f>
        <v>4.3900930489083903E-2</v>
      </c>
      <c r="E299" s="77">
        <f>_xll.qlYieldTSZeroRate($C$3,B299,"Act/365 (Fixed)","Continuous",,TRUE)</f>
        <v>4.1148845950325703E-2</v>
      </c>
      <c r="F299" s="77">
        <f>_xll.qlYieldTSZeroRate($C$3,B299,"Act/365 (Fixed)","Compounded",,TRUE)</f>
        <v>4.2007192553978445E-2</v>
      </c>
      <c r="G299" s="77">
        <f>_xll.qlYieldTSForwardRate($C$4,B299,B299,"Act/365 (fixed)","Continuous",,TRUE)</f>
        <v>4.3857290218219006E-2</v>
      </c>
    </row>
    <row r="300" spans="2:7">
      <c r="B300" s="111">
        <f>_xll.qlCalendarAdvance("Null",B299,"1m")</f>
        <v>52079</v>
      </c>
      <c r="C300" s="112">
        <f t="shared" si="6"/>
        <v>22.849315068493151</v>
      </c>
      <c r="D300" s="77">
        <f>_xll.qlYieldTSForwardRate($C$3,B300,B300,"Act/365 (fixed)","Continuous",,TRUE)</f>
        <v>4.3866995076978339E-2</v>
      </c>
      <c r="E300" s="77">
        <f>_xll.qlYieldTSZeroRate($C$3,B300,"Act/365 (Fixed)","Continuous",,TRUE)</f>
        <v>4.1159012451732875E-2</v>
      </c>
      <c r="F300" s="77">
        <f>_xll.qlYieldTSZeroRate($C$3,B300,"Act/365 (Fixed)","Compounded",,TRUE)</f>
        <v>4.2017786175417848E-2</v>
      </c>
      <c r="G300" s="77">
        <f>_xll.qlYieldTSForwardRate($C$4,B300,B300,"Act/365 (fixed)","Continuous",,TRUE)</f>
        <v>4.3827520213492302E-2</v>
      </c>
    </row>
    <row r="301" spans="2:7">
      <c r="B301" s="111">
        <f>_xll.qlCalendarAdvance("Null",B300,"1m")</f>
        <v>52110</v>
      </c>
      <c r="C301" s="112">
        <f t="shared" si="6"/>
        <v>22.934246575342467</v>
      </c>
      <c r="D301" s="77">
        <f>_xll.qlYieldTSForwardRate($C$3,B301,B301,"Act/365 (fixed)","Continuous",,TRUE)</f>
        <v>4.3833059660316726E-2</v>
      </c>
      <c r="E301" s="77">
        <f>_xll.qlYieldTSZeroRate($C$3,B301,"Act/365 (Fixed)","Continuous",,TRUE)</f>
        <v>4.116897798301726E-2</v>
      </c>
      <c r="F301" s="77">
        <f>_xll.qlYieldTSZeroRate($C$3,B301,"Act/365 (Fixed)","Compounded",,TRUE)</f>
        <v>4.2028170488007444E-2</v>
      </c>
      <c r="G301" s="77">
        <f>_xll.qlYieldTSForwardRate($C$4,B301,B301,"Act/365 (fixed)","Continuous",,TRUE)</f>
        <v>4.3798176838871411E-2</v>
      </c>
    </row>
    <row r="302" spans="2:7">
      <c r="B302" s="111">
        <f>_xll.qlCalendarAdvance("Null",B301,"1m")</f>
        <v>52140</v>
      </c>
      <c r="C302" s="112">
        <f t="shared" si="6"/>
        <v>23.016438356164382</v>
      </c>
      <c r="D302" s="77">
        <f>_xll.qlYieldTSForwardRate($C$3,B302,B302,"Act/365 (fixed)","Continuous",,TRUE)</f>
        <v>4.3800218938631529E-2</v>
      </c>
      <c r="E302" s="77">
        <f>_xll.qlYieldTSZeroRate($C$3,B302,"Act/365 (Fixed)","Continuous",,TRUE)</f>
        <v>4.1178432790717708E-2</v>
      </c>
      <c r="F302" s="77">
        <f>_xll.qlYieldTSZeroRate($C$3,B302,"Act/365 (Fixed)","Compounded",,TRUE)</f>
        <v>4.2038022710553236E-2</v>
      </c>
      <c r="G302" s="77">
        <f>_xll.qlYieldTSForwardRate($C$4,B302,B302,"Act/365 (fixed)","Continuous",,TRUE)</f>
        <v>4.3770199936225274E-2</v>
      </c>
    </row>
    <row r="303" spans="2:7">
      <c r="B303" s="111">
        <f>_xll.qlCalendarAdvance("Null",B302,"1m")</f>
        <v>52171</v>
      </c>
      <c r="C303" s="112">
        <f t="shared" si="6"/>
        <v>23.101369863013698</v>
      </c>
      <c r="D303" s="77">
        <f>_xll.qlYieldTSForwardRate($C$3,B303,B303,"Act/365 (fixed)","Continuous",,TRUE)</f>
        <v>4.376628352396375E-2</v>
      </c>
      <c r="E303" s="77">
        <f>_xll.qlYieldTSZeroRate($C$3,B303,"Act/365 (Fixed)","Continuous",,TRUE)</f>
        <v>4.1188009329103048E-2</v>
      </c>
      <c r="F303" s="77">
        <f>_xll.qlYieldTSZeroRate($C$3,B303,"Act/365 (Fixed)","Compounded",,TRUE)</f>
        <v>4.2048001875459429E-2</v>
      </c>
      <c r="G303" s="77">
        <f>_xll.qlYieldTSForwardRate($C$4,B303,B303,"Act/365 (fixed)","Continuous",,TRUE)</f>
        <v>4.3741738532071771E-2</v>
      </c>
    </row>
    <row r="304" spans="2:7">
      <c r="B304" s="111">
        <f>_xll.qlCalendarAdvance("Null",B303,"1m")</f>
        <v>52201</v>
      </c>
      <c r="C304" s="112">
        <f t="shared" si="6"/>
        <v>23.183561643835617</v>
      </c>
      <c r="D304" s="77">
        <f>_xll.qlYieldTSForwardRate($C$3,B304,B304,"Act/365 (fixed)","Continuous",,TRUE)</f>
        <v>4.3733442802059243E-2</v>
      </c>
      <c r="E304" s="77">
        <f>_xll.qlYieldTSZeroRate($C$3,B304,"Act/365 (Fixed)","Continuous",,TRUE)</f>
        <v>4.1197091770019678E-2</v>
      </c>
      <c r="F304" s="77">
        <f>_xll.qlYieldTSZeroRate($C$3,B304,"Act/365 (Fixed)","Compounded",,TRUE)</f>
        <v>4.2057466257848564E-2</v>
      </c>
      <c r="G304" s="77">
        <f>_xll.qlYieldTSForwardRate($C$4,B304,B304,"Act/365 (fixed)","Continuous",,TRUE)</f>
        <v>4.3714642389767883E-2</v>
      </c>
    </row>
    <row r="305" spans="2:7">
      <c r="B305" s="111">
        <f>_xll.qlCalendarAdvance("Null",B304,"1m")</f>
        <v>52232</v>
      </c>
      <c r="C305" s="112">
        <f t="shared" si="6"/>
        <v>23.268493150684932</v>
      </c>
      <c r="D305" s="77">
        <f>_xll.qlYieldTSForwardRate($C$3,B305,B305,"Act/365 (fixed)","Continuous",,TRUE)</f>
        <v>4.3699507389385293E-2</v>
      </c>
      <c r="E305" s="77">
        <f>_xll.qlYieldTSZeroRate($C$3,B305,"Act/365 (Fixed)","Continuous",,TRUE)</f>
        <v>4.1206287682312014E-2</v>
      </c>
      <c r="F305" s="77">
        <f>_xll.qlYieldTSZeroRate($C$3,B305,"Act/365 (Fixed)","Compounded",,TRUE)</f>
        <v>4.2067048970972687E-2</v>
      </c>
      <c r="G305" s="77">
        <f>_xll.qlYieldTSForwardRate($C$4,B305,B305,"Act/365 (fixed)","Continuous",,TRUE)</f>
        <v>4.3687119259701153E-2</v>
      </c>
    </row>
    <row r="306" spans="2:7">
      <c r="B306" s="111">
        <f>_xll.qlCalendarAdvance("Null",B305,"1m")</f>
        <v>52263</v>
      </c>
      <c r="C306" s="112">
        <f t="shared" si="6"/>
        <v>23.353424657534248</v>
      </c>
      <c r="D306" s="77">
        <f>_xll.qlYieldTSForwardRate($C$3,B306,B306,"Act/365 (fixed)","Continuous",,TRUE)</f>
        <v>4.3665571974375754E-2</v>
      </c>
      <c r="E306" s="77">
        <f>_xll.qlYieldTSZeroRate($C$3,B306,"Act/365 (Fixed)","Continuous",,TRUE)</f>
        <v>4.1215293291416544E-2</v>
      </c>
      <c r="F306" s="77">
        <f>_xll.qlYieldTSZeroRate($C$3,B306,"Act/365 (Fixed)","Compounded",,TRUE)</f>
        <v>4.2076433461732954E-2</v>
      </c>
      <c r="G306" s="77">
        <f>_xll.qlYieldTSForwardRate($C$4,B306,B306,"Act/365 (fixed)","Continuous",,TRUE)</f>
        <v>4.3660094530923309E-2</v>
      </c>
    </row>
    <row r="307" spans="2:7">
      <c r="B307" s="111">
        <f>_xll.qlCalendarAdvance("Null",B306,"1m")</f>
        <v>52291</v>
      </c>
      <c r="C307" s="112">
        <f t="shared" si="6"/>
        <v>23.43013698630137</v>
      </c>
      <c r="D307" s="77">
        <f>_xll.qlYieldTSForwardRate($C$3,B307,B307,"Act/365 (fixed)","Continuous",,TRUE)</f>
        <v>4.363492063347818E-2</v>
      </c>
      <c r="E307" s="77">
        <f>_xll.qlYieldTSZeroRate($C$3,B307,"Act/365 (Fixed)","Continuous",,TRUE)</f>
        <v>4.1223265541696252E-2</v>
      </c>
      <c r="F307" s="77">
        <f>_xll.qlYieldTSZeroRate($C$3,B307,"Act/365 (Fixed)","Compounded",,TRUE)</f>
        <v>4.2084741188986641E-2</v>
      </c>
      <c r="G307" s="77">
        <f>_xll.qlYieldTSForwardRate($C$4,B307,B307,"Act/365 (fixed)","Continuous",,TRUE)</f>
        <v>4.3636125579914302E-2</v>
      </c>
    </row>
    <row r="308" spans="2:7">
      <c r="B308" s="111">
        <f>_xll.qlCalendarAdvance("Null",B307,"1m")</f>
        <v>52322</v>
      </c>
      <c r="C308" s="112">
        <f t="shared" si="6"/>
        <v>23.515068493150686</v>
      </c>
      <c r="D308" s="77">
        <f>_xll.qlYieldTSForwardRate($C$3,B308,B308,"Act/365 (fixed)","Continuous",,TRUE)</f>
        <v>4.3600985220469901E-2</v>
      </c>
      <c r="E308" s="77">
        <f>_xll.qlYieldTSZeroRate($C$3,B308,"Act/365 (Fixed)","Continuous",,TRUE)</f>
        <v>4.1231914651446301E-2</v>
      </c>
      <c r="F308" s="77">
        <f>_xll.qlYieldTSZeroRate($C$3,B308,"Act/365 (Fixed)","Compounded",,TRUE)</f>
        <v>4.2093754333259792E-2</v>
      </c>
      <c r="G308" s="77">
        <f>_xll.qlYieldTSForwardRate($C$4,B308,B308,"Act/365 (fixed)","Continuous",,TRUE)</f>
        <v>4.3610089604651119E-2</v>
      </c>
    </row>
    <row r="309" spans="2:7">
      <c r="B309" s="111">
        <f>_xll.qlCalendarAdvance("Null",B308,"1m")</f>
        <v>52352</v>
      </c>
      <c r="C309" s="112">
        <f t="shared" si="6"/>
        <v>23.597260273972601</v>
      </c>
      <c r="D309" s="77">
        <f>_xll.qlYieldTSForwardRate($C$3,B309,B309,"Act/365 (fixed)","Continuous",,TRUE)</f>
        <v>4.3568144500242975E-2</v>
      </c>
      <c r="E309" s="77">
        <f>_xll.qlYieldTSZeroRate($C$3,B309,"Act/365 (Fixed)","Continuous",,TRUE)</f>
        <v>4.1240109183696319E-2</v>
      </c>
      <c r="F309" s="77">
        <f>_xll.qlYieldTSZeroRate($C$3,B309,"Act/365 (Fixed)","Compounded",,TRUE)</f>
        <v>4.2102293839125782E-2</v>
      </c>
      <c r="G309" s="77">
        <f>_xll.qlYieldTSForwardRate($C$4,B309,B309,"Act/365 (fixed)","Continuous",,TRUE)</f>
        <v>4.3585408091065911E-2</v>
      </c>
    </row>
    <row r="310" spans="2:7">
      <c r="B310" s="111">
        <f>_xll.qlCalendarAdvance("Null",B309,"1m")</f>
        <v>52383</v>
      </c>
      <c r="C310" s="112">
        <f t="shared" si="6"/>
        <v>23.682191780821917</v>
      </c>
      <c r="D310" s="77">
        <f>_xll.qlYieldTSForwardRate($C$3,B310,B310,"Act/365 (fixed)","Continuous",,TRUE)</f>
        <v>4.3534209087008092E-2</v>
      </c>
      <c r="E310" s="77">
        <f>_xll.qlYieldTSZeroRate($C$3,B310,"Act/365 (Fixed)","Continuous",,TRUE)</f>
        <v>4.1248397371557805E-2</v>
      </c>
      <c r="F310" s="77">
        <f>_xll.qlYieldTSZeroRate($C$3,B310,"Act/365 (Fixed)","Compounded",,TRUE)</f>
        <v>4.2110931014501363E-2</v>
      </c>
      <c r="G310" s="77">
        <f>_xll.qlYieldTSForwardRate($C$4,B310,B310,"Act/365 (fixed)","Continuous",,TRUE)</f>
        <v>4.3560449766718856E-2</v>
      </c>
    </row>
    <row r="311" spans="2:7">
      <c r="B311" s="111">
        <f>_xll.qlCalendarAdvance("Null",B310,"1m")</f>
        <v>52413</v>
      </c>
      <c r="C311" s="112">
        <f t="shared" si="6"/>
        <v>23.764383561643836</v>
      </c>
      <c r="D311" s="77">
        <f>_xll.qlYieldTSForwardRate($C$3,B311,B311,"Act/365 (fixed)","Continuous",,TRUE)</f>
        <v>4.3501368359900559E-2</v>
      </c>
      <c r="E311" s="77">
        <f>_xll.qlYieldTSZeroRate($C$3,B311,"Act/365 (Fixed)","Continuous",,TRUE)</f>
        <v>4.1256246315596747E-2</v>
      </c>
      <c r="F311" s="77">
        <f>_xll.qlYieldTSZeroRate($C$3,B311,"Act/365 (Fixed)","Compounded",,TRUE)</f>
        <v>4.2119110516981362E-2</v>
      </c>
      <c r="G311" s="77">
        <f>_xll.qlYieldTSForwardRate($C$4,B311,B311,"Act/365 (fixed)","Continuous",,TRUE)</f>
        <v>4.3536838385664245E-2</v>
      </c>
    </row>
    <row r="312" spans="2:7">
      <c r="B312" s="111">
        <f>_xll.qlCalendarAdvance("Null",B311,"1m")</f>
        <v>52444</v>
      </c>
      <c r="C312" s="112">
        <f t="shared" si="6"/>
        <v>23.849315068493151</v>
      </c>
      <c r="D312" s="77">
        <f>_xll.qlYieldTSForwardRate($C$3,B312,B312,"Act/365 (fixed)","Continuous",,TRUE)</f>
        <v>4.3467432948659492E-2</v>
      </c>
      <c r="E312" s="77">
        <f>_xll.qlYieldTSZeroRate($C$3,B312,"Act/365 (Fixed)","Continuous",,TRUE)</f>
        <v>4.126418115586989E-2</v>
      </c>
      <c r="F312" s="77">
        <f>_xll.qlYieldTSZeroRate($C$3,B312,"Act/365 (Fixed)","Compounded",,TRUE)</f>
        <v>4.2127379598475789E-2</v>
      </c>
      <c r="G312" s="77">
        <f>_xll.qlYieldTSForwardRate($C$4,B312,B312,"Act/365 (fixed)","Continuous",,TRUE)</f>
        <v>4.3513014013634298E-2</v>
      </c>
    </row>
    <row r="313" spans="2:7">
      <c r="B313" s="111">
        <f>_xll.qlCalendarAdvance("Null",B312,"1m")</f>
        <v>52475</v>
      </c>
      <c r="C313" s="112">
        <f t="shared" si="6"/>
        <v>23.934246575342467</v>
      </c>
      <c r="D313" s="77">
        <f>_xll.qlYieldTSForwardRate($C$3,B313,B313,"Act/365 (fixed)","Continuous",,TRUE)</f>
        <v>4.343349753730328E-2</v>
      </c>
      <c r="E313" s="77">
        <f>_xll.qlYieldTSZeroRate($C$3,B313,"Act/365 (Fixed)","Continuous",,TRUE)</f>
        <v>4.1271939261034583E-2</v>
      </c>
      <c r="F313" s="77">
        <f>_xll.qlYieldTSZeroRate($C$3,B313,"Act/365 (Fixed)","Compounded",,TRUE)</f>
        <v>4.2135464563643588E-2</v>
      </c>
      <c r="G313" s="77">
        <f>_xll.qlYieldTSForwardRate($C$4,B313,B313,"Act/365 (fixed)","Continuous",,TRUE)</f>
        <v>4.348978749404632E-2</v>
      </c>
    </row>
    <row r="314" spans="2:7">
      <c r="B314" s="111">
        <f>_xll.qlCalendarAdvance("Null",B313,"1m")</f>
        <v>52505</v>
      </c>
      <c r="C314" s="112">
        <f t="shared" si="6"/>
        <v>24.016438356164382</v>
      </c>
      <c r="D314" s="77">
        <f>_xll.qlYieldTSForwardRate($C$3,B314,B314,"Act/365 (fixed)","Continuous",,TRUE)</f>
        <v>4.3400656814305875E-2</v>
      </c>
      <c r="E314" s="77">
        <f>_xll.qlYieldTSZeroRate($C$3,B314,"Act/365 (Fixed)","Continuous",,TRUE)</f>
        <v>4.1279280595444785E-2</v>
      </c>
      <c r="F314" s="77">
        <f>_xll.qlYieldTSZeroRate($C$3,B314,"Act/365 (Fixed)","Compounded",,TRUE)</f>
        <v>4.2143115256672914E-2</v>
      </c>
      <c r="G314" s="77">
        <f>_xll.qlYieldTSForwardRate($C$4,B314,B314,"Act/365 (fixed)","Continuous",,TRUE)</f>
        <v>4.3467893145205064E-2</v>
      </c>
    </row>
    <row r="315" spans="2:7">
      <c r="B315" s="111">
        <f>_xll.qlCalendarAdvance("Null",B314,"1m")</f>
        <v>52536</v>
      </c>
      <c r="C315" s="112">
        <f t="shared" si="6"/>
        <v>24.101369863013698</v>
      </c>
      <c r="D315" s="77">
        <f>_xll.qlYieldTSForwardRate($C$3,B315,B315,"Act/365 (fixed)","Continuous",,TRUE)</f>
        <v>4.3366721398282168E-2</v>
      </c>
      <c r="E315" s="77">
        <f>_xll.qlYieldTSZeroRate($C$3,B315,"Act/365 (Fixed)","Continuous",,TRUE)</f>
        <v>4.1286696380812962E-2</v>
      </c>
      <c r="F315" s="77">
        <f>_xll.qlYieldTSZeroRate($C$3,B315,"Act/365 (Fixed)","Compounded",,TRUE)</f>
        <v>4.2150843594994436E-2</v>
      </c>
      <c r="G315" s="77">
        <f>_xll.qlYieldTSForwardRate($C$4,B315,B315,"Act/365 (fixed)","Continuous",,TRUE)</f>
        <v>4.3445885498548449E-2</v>
      </c>
    </row>
    <row r="316" spans="2:7">
      <c r="B316" s="111">
        <f>_xll.qlCalendarAdvance("Null",B315,"1m")</f>
        <v>52566</v>
      </c>
      <c r="C316" s="112">
        <f t="shared" si="6"/>
        <v>24.183561643835617</v>
      </c>
      <c r="D316" s="77">
        <f>_xll.qlYieldTSForwardRate($C$3,B316,B316,"Act/365 (fixed)","Continuous",,TRUE)</f>
        <v>4.3333880677285913E-2</v>
      </c>
      <c r="E316" s="77">
        <f>_xll.qlYieldTSZeroRate($C$3,B316,"Act/365 (Fixed)","Continuous",,TRUE)</f>
        <v>4.1293709878011814E-2</v>
      </c>
      <c r="F316" s="77">
        <f>_xll.qlYieldTSZeroRate($C$3,B316,"Act/365 (Fixed)","Compounded",,TRUE)</f>
        <v>4.2158152742648003E-2</v>
      </c>
      <c r="G316" s="77">
        <f>_xll.qlYieldTSForwardRate($C$4,B316,B316,"Act/365 (fixed)","Continuous",,TRUE)</f>
        <v>4.3425197950137003E-2</v>
      </c>
    </row>
    <row r="317" spans="2:7">
      <c r="B317" s="111">
        <f>_xll.qlCalendarAdvance("Null",B316,"1m")</f>
        <v>52597</v>
      </c>
      <c r="C317" s="112">
        <f t="shared" si="6"/>
        <v>24.268493150684932</v>
      </c>
      <c r="D317" s="77">
        <f>_xll.qlYieldTSForwardRate($C$3,B317,B317,"Act/365 (fixed)","Continuous",,TRUE)</f>
        <v>4.3299945263256034E-2</v>
      </c>
      <c r="E317" s="77">
        <f>_xll.qlYieldTSZeroRate($C$3,B317,"Act/365 (Fixed)","Continuous",,TRUE)</f>
        <v>4.1300790403628919E-2</v>
      </c>
      <c r="F317" s="77">
        <f>_xll.qlYieldTSZeroRate($C$3,B317,"Act/365 (Fixed)","Compounded",,TRUE)</f>
        <v>4.2165531796269251E-2</v>
      </c>
      <c r="G317" s="77">
        <f>_xll.qlYieldTSForwardRate($C$4,B317,B317,"Act/365 (fixed)","Continuous",,TRUE)</f>
        <v>4.3404465484474589E-2</v>
      </c>
    </row>
    <row r="318" spans="2:7">
      <c r="B318" s="111">
        <f>_xll.qlCalendarAdvance("Null",B317,"1m")</f>
        <v>52628</v>
      </c>
      <c r="C318" s="112">
        <f t="shared" si="6"/>
        <v>24.353424657534248</v>
      </c>
      <c r="D318" s="77">
        <f>_xll.qlYieldTSForwardRate($C$3,B318,B318,"Act/365 (fixed)","Continuous",,TRUE)</f>
        <v>4.3266009851331437E-2</v>
      </c>
      <c r="E318" s="77">
        <f>_xll.qlYieldTSZeroRate($C$3,B318,"Act/365 (Fixed)","Continuous",,TRUE)</f>
        <v>4.1307703194922822E-2</v>
      </c>
      <c r="F318" s="77">
        <f>_xll.qlYieldTSZeroRate($C$3,B318,"Act/365 (Fixed)","Compounded",,TRUE)</f>
        <v>4.2172736093985197E-2</v>
      </c>
      <c r="G318" s="77">
        <f>_xll.qlYieldTSForwardRate($C$4,B318,B318,"Act/365 (fixed)","Continuous",,TRUE)</f>
        <v>4.3384402640220074E-2</v>
      </c>
    </row>
    <row r="319" spans="2:7">
      <c r="B319" s="111">
        <f>_xll.qlCalendarAdvance("Null",B318,"1m")</f>
        <v>52657</v>
      </c>
      <c r="C319" s="112">
        <f t="shared" si="6"/>
        <v>24.432876712328767</v>
      </c>
      <c r="D319" s="77">
        <f>_xll.qlYieldTSForwardRate($C$3,B319,B319,"Act/365 (fixed)","Continuous",,TRUE)</f>
        <v>4.3234263820717073E-2</v>
      </c>
      <c r="E319" s="77">
        <f>_xll.qlYieldTSZeroRate($C$3,B319,"Act/365 (Fixed)","Continuous",,TRUE)</f>
        <v>4.131401969812995E-2</v>
      </c>
      <c r="F319" s="77">
        <f>_xll.qlYieldTSZeroRate($C$3,B319,"Act/365 (Fixed)","Compounded",,TRUE)</f>
        <v>4.2179319002205728E-2</v>
      </c>
      <c r="G319" s="77">
        <f>_xll.qlYieldTSForwardRate($C$4,B319,B319,"Act/365 (fixed)","Continuous",,TRUE)</f>
        <v>4.3366253259230873E-2</v>
      </c>
    </row>
    <row r="320" spans="2:7">
      <c r="B320" s="111">
        <f>_xll.qlCalendarAdvance("Null",B319,"1m")</f>
        <v>52688</v>
      </c>
      <c r="C320" s="112">
        <f t="shared" si="6"/>
        <v>24.517808219178082</v>
      </c>
      <c r="D320" s="77">
        <f>_xll.qlYieldTSForwardRate($C$3,B320,B320,"Act/365 (fixed)","Continuous",,TRUE)</f>
        <v>4.3200328408569584E-2</v>
      </c>
      <c r="E320" s="77">
        <f>_xll.qlYieldTSZeroRate($C$3,B320,"Act/365 (Fixed)","Continuous",,TRUE)</f>
        <v>4.1320612788853753E-2</v>
      </c>
      <c r="F320" s="77">
        <f>_xll.qlYieldTSZeroRate($C$3,B320,"Act/365 (Fixed)","Compounded",,TRUE)</f>
        <v>4.2186190207657459E-2</v>
      </c>
      <c r="G320" s="77">
        <f>_xll.qlYieldTSForwardRate($C$4,B320,B320,"Act/365 (fixed)","Continuous",,TRUE)</f>
        <v>4.3347527763774145E-2</v>
      </c>
    </row>
    <row r="321" spans="2:7">
      <c r="B321" s="111">
        <f>_xll.qlCalendarAdvance("Null",B320,"1m")</f>
        <v>52718</v>
      </c>
      <c r="C321" s="112">
        <f t="shared" si="6"/>
        <v>24.6</v>
      </c>
      <c r="D321" s="77">
        <f>_xll.qlYieldTSForwardRate($C$3,B321,B321,"Act/365 (fixed)","Continuous",,TRUE)</f>
        <v>4.3167487684806438E-2</v>
      </c>
      <c r="E321" s="77">
        <f>_xll.qlYieldTSZeroRate($C$3,B321,"Act/365 (Fixed)","Continuous",,TRUE)</f>
        <v>4.1326838299235051E-2</v>
      </c>
      <c r="F321" s="77">
        <f>_xll.qlYieldTSZeroRate($C$3,B321,"Act/365 (Fixed)","Compounded",,TRUE)</f>
        <v>4.2192678368799807E-2</v>
      </c>
      <c r="G321" s="77">
        <f>_xll.qlYieldTSForwardRate($C$4,B321,B321,"Act/365 (fixed)","Continuous",,TRUE)</f>
        <v>4.3330084370480339E-2</v>
      </c>
    </row>
    <row r="322" spans="2:7">
      <c r="B322" s="111">
        <f>_xll.qlCalendarAdvance("Null",B321,"1m")</f>
        <v>52749</v>
      </c>
      <c r="C322" s="112">
        <f t="shared" si="6"/>
        <v>24.684931506849313</v>
      </c>
      <c r="D322" s="77">
        <f>_xll.qlYieldTSForwardRate($C$3,B322,B322,"Act/365 (fixed)","Continuous",,TRUE)</f>
        <v>4.3133552272432332E-2</v>
      </c>
      <c r="E322" s="77">
        <f>_xll.qlYieldTSZeroRate($C$3,B322,"Act/365 (Fixed)","Continuous",,TRUE)</f>
        <v>4.1333112897686229E-2</v>
      </c>
      <c r="F322" s="77">
        <f>_xll.qlYieldTSZeroRate($C$3,B322,"Act/365 (Fixed)","Compounded",,TRUE)</f>
        <v>4.2199217729881333E-2</v>
      </c>
      <c r="G322" s="77">
        <f>_xll.qlYieldTSForwardRate($C$4,B322,B322,"Act/365 (fixed)","Continuous",,TRUE)</f>
        <v>4.3312774354331715E-2</v>
      </c>
    </row>
    <row r="323" spans="2:7">
      <c r="B323" s="111">
        <f>_xll.qlCalendarAdvance("Null",B322,"1m")</f>
        <v>52779</v>
      </c>
      <c r="C323" s="112">
        <f t="shared" si="6"/>
        <v>24.767123287671232</v>
      </c>
      <c r="D323" s="77">
        <f>_xll.qlYieldTSForwardRate($C$3,B323,B323,"Act/365 (fixed)","Continuous",,TRUE)</f>
        <v>4.3100711548449896E-2</v>
      </c>
      <c r="E323" s="77">
        <f>_xll.qlYieldTSZeroRate($C$3,B323,"Act/365 (Fixed)","Continuous",,TRUE)</f>
        <v>4.1339033314763261E-2</v>
      </c>
      <c r="F323" s="77">
        <f>_xll.qlYieldTSZeroRate($C$3,B323,"Act/365 (Fixed)","Compounded",,TRUE)</f>
        <v>4.2205388002192867E-2</v>
      </c>
      <c r="G323" s="77">
        <f>_xll.qlYieldTSForwardRate($C$4,B323,B323,"Act/365 (fixed)","Continuous",,TRUE)</f>
        <v>4.3296728032937354E-2</v>
      </c>
    </row>
    <row r="324" spans="2:7">
      <c r="B324" s="111">
        <f>_xll.qlCalendarAdvance("Null",B323,"1m")</f>
        <v>52810</v>
      </c>
      <c r="C324" s="112">
        <f t="shared" si="6"/>
        <v>24.852054794520548</v>
      </c>
      <c r="D324" s="77">
        <f>_xll.qlYieldTSForwardRate($C$3,B324,B324,"Act/365 (fixed)","Continuous",,TRUE)</f>
        <v>4.3066776135849187E-2</v>
      </c>
      <c r="E324" s="77">
        <f>_xll.qlYieldTSZeroRate($C$3,B324,"Act/365 (Fixed)","Continuous",,TRUE)</f>
        <v>4.1344995835582966E-2</v>
      </c>
      <c r="F324" s="77">
        <f>_xll.qlYieldTSZeroRate($C$3,B324,"Act/365 (Fixed)","Compounded",,TRUE)</f>
        <v>4.221160219204334E-2</v>
      </c>
      <c r="G324" s="77">
        <f>_xll.qlYieldTSForwardRate($C$4,B324,B324,"Act/365 (fixed)","Continuous",,TRUE)</f>
        <v>4.328088980193856E-2</v>
      </c>
    </row>
    <row r="325" spans="2:7">
      <c r="B325" s="111">
        <f>_xll.qlCalendarAdvance("Null",B324,"1m")</f>
        <v>52841</v>
      </c>
      <c r="C325" s="112">
        <f t="shared" si="6"/>
        <v>24.936986301369863</v>
      </c>
      <c r="D325" s="77">
        <f>_xll.qlYieldTSForwardRate($C$3,B325,B325,"Act/365 (fixed)","Continuous",,TRUE)</f>
        <v>4.3032840723133313E-2</v>
      </c>
      <c r="E325" s="77">
        <f>_xll.qlYieldTSZeroRate($C$3,B325,"Act/365 (Fixed)","Continuous",,TRUE)</f>
        <v>4.1350802162807718E-2</v>
      </c>
      <c r="F325" s="77">
        <f>_xll.qlYieldTSZeroRate($C$3,B325,"Act/365 (Fixed)","Compounded",,TRUE)</f>
        <v>4.2217653631211549E-2</v>
      </c>
      <c r="G325" s="77">
        <f>_xll.qlYieldTSForwardRate($C$4,B325,B325,"Act/365 (fixed)","Continuous",,TRUE)</f>
        <v>4.3265821105352091E-2</v>
      </c>
    </row>
    <row r="326" spans="2:7">
      <c r="B326" s="111">
        <f>_xll.qlCalendarAdvance("Null",B325,"1m")</f>
        <v>52871</v>
      </c>
      <c r="C326" s="112">
        <f t="shared" si="6"/>
        <v>25.019178082191782</v>
      </c>
      <c r="D326" s="77">
        <f>_xll.qlYieldTSForwardRate($C$3,B326,B326,"Act/365 (fixed)","Continuous",,TRUE)</f>
        <v>4.3000004994802263E-2</v>
      </c>
      <c r="E326" s="77">
        <f>_xll.qlYieldTSZeroRate($C$3,B326,"Act/365 (Fixed)","Continuous",,TRUE)</f>
        <v>4.1356273970292741E-2</v>
      </c>
      <c r="F326" s="77">
        <f>_xll.qlYieldTSZeroRate($C$3,B326,"Act/365 (Fixed)","Compounded",,TRUE)</f>
        <v>4.2223356461172035E-2</v>
      </c>
      <c r="G326" s="77">
        <f>_xll.qlYieldTSForwardRate($C$4,B326,B326,"Act/365 (fixed)","Continuous",,TRUE)</f>
        <v>4.3251984890857693E-2</v>
      </c>
    </row>
    <row r="327" spans="2:7">
      <c r="B327" s="111">
        <f>_xll.qlCalendarAdvance("Null",B326,"1m")</f>
        <v>52902</v>
      </c>
      <c r="C327" s="112">
        <f t="shared" si="6"/>
        <v>25.104109589041094</v>
      </c>
      <c r="D327" s="77">
        <f>_xll.qlYieldTSForwardRate($C$3,B327,B327,"Act/365 (fixed)","Continuous",,TRUE)</f>
        <v>4.2999999998820135E-2</v>
      </c>
      <c r="E327" s="77">
        <f>_xll.qlYieldTSZeroRate($C$3,B327,"Act/365 (Fixed)","Continuous",,TRUE)</f>
        <v>4.1361834977268731E-2</v>
      </c>
      <c r="F327" s="77">
        <f>_xll.qlYieldTSZeroRate($C$3,B327,"Act/365 (Fixed)","Compounded",,TRUE)</f>
        <v>4.2229152288643101E-2</v>
      </c>
      <c r="G327" s="77">
        <f>_xll.qlYieldTSForwardRate($C$4,B327,B327,"Act/365 (fixed)","Continuous",,TRUE)</f>
        <v>4.3238163404499111E-2</v>
      </c>
    </row>
    <row r="328" spans="2:7">
      <c r="B328" s="111">
        <f>_xll.qlCalendarAdvance("Null",B327,"1m")</f>
        <v>52932</v>
      </c>
      <c r="C328" s="112">
        <f t="shared" si="6"/>
        <v>25.186301369863013</v>
      </c>
      <c r="D328" s="77">
        <f>_xll.qlYieldTSForwardRate($C$3,B328,B328,"Act/365 (fixed)","Continuous",,TRUE)</f>
        <v>4.2999999998820135E-2</v>
      </c>
      <c r="E328" s="77">
        <f>_xll.qlYieldTSZeroRate($C$3,B328,"Act/365 (Fixed)","Continuous",,TRUE)</f>
        <v>4.1367180887274375E-2</v>
      </c>
      <c r="F328" s="77">
        <f>_xll.qlYieldTSZeroRate($C$3,B328,"Act/365 (Fixed)","Compounded",,TRUE)</f>
        <v>4.2234723966789289E-2</v>
      </c>
      <c r="G328" s="77">
        <f>_xll.qlYieldTSForwardRate($C$4,B328,B328,"Act/365 (fixed)","Continuous",,TRUE)</f>
        <v>4.3224966824433705E-2</v>
      </c>
    </row>
    <row r="329" spans="2:7">
      <c r="B329" s="111">
        <f>_xll.qlCalendarAdvance("Null",B328,"1m")</f>
        <v>52963</v>
      </c>
      <c r="C329" s="112">
        <f t="shared" si="6"/>
        <v>25.271232876712329</v>
      </c>
      <c r="D329" s="77">
        <f>_xll.qlYieldTSForwardRate($C$3,B329,B329,"Act/365 (fixed)","Continuous",,TRUE)</f>
        <v>4.3000000001040574E-2</v>
      </c>
      <c r="E329" s="77">
        <f>_xll.qlYieldTSZeroRate($C$3,B329,"Act/365 (Fixed)","Continuous",,TRUE)</f>
        <v>4.1372668462349667E-2</v>
      </c>
      <c r="F329" s="77">
        <f>_xll.qlYieldTSZeroRate($C$3,B329,"Act/365 (Fixed)","Compounded",,TRUE)</f>
        <v>4.2240443323775967E-2</v>
      </c>
      <c r="G329" s="77">
        <f>_xll.qlYieldTSForwardRate($C$4,B329,B329,"Act/365 (fixed)","Continuous",,TRUE)</f>
        <v>4.3211521382273951E-2</v>
      </c>
    </row>
    <row r="330" spans="2:7">
      <c r="B330" s="111">
        <f>_xll.qlCalendarAdvance("Null",B329,"1m")</f>
        <v>52994</v>
      </c>
      <c r="C330" s="112">
        <f t="shared" si="6"/>
        <v>25.356164383561644</v>
      </c>
      <c r="D330" s="77">
        <f>_xll.qlYieldTSForwardRate($C$3,B330,B330,"Act/365 (fixed)","Continuous",,TRUE)</f>
        <v>4.2999999998820135E-2</v>
      </c>
      <c r="E330" s="77">
        <f>_xll.qlYieldTSZeroRate($C$3,B330,"Act/365 (Fixed)","Continuous",,TRUE)</f>
        <v>4.1378119275711868E-2</v>
      </c>
      <c r="F330" s="77">
        <f>_xll.qlYieldTSZeroRate($C$3,B330,"Act/365 (Fixed)","Compounded",,TRUE)</f>
        <v>4.2246124397394169E-2</v>
      </c>
      <c r="G330" s="77">
        <f>_xll.qlYieldTSForwardRate($C$4,B330,B330,"Act/365 (fixed)","Continuous",,TRUE)</f>
        <v>4.3198276214582831E-2</v>
      </c>
    </row>
    <row r="331" spans="2:7">
      <c r="B331" s="111">
        <f>_xll.qlCalendarAdvance("Null",B330,"1m")</f>
        <v>53022</v>
      </c>
      <c r="C331" s="112">
        <f t="shared" si="6"/>
        <v>25.432876712328767</v>
      </c>
      <c r="D331" s="77">
        <f>_xll.qlYieldTSForwardRate($C$3,B331,B331,"Act/365 (fixed)","Continuous",,TRUE)</f>
        <v>4.3000000001040574E-2</v>
      </c>
      <c r="E331" s="77">
        <f>_xll.qlYieldTSZeroRate($C$3,B331,"Act/365 (Fixed)","Continuous",,TRUE)</f>
        <v>4.1383011299872159E-2</v>
      </c>
      <c r="F331" s="77">
        <f>_xll.qlYieldTSZeroRate($C$3,B331,"Act/365 (Fixed)","Compounded",,TRUE)</f>
        <v>4.2251223103087154E-2</v>
      </c>
      <c r="G331" s="77">
        <f>_xll.qlYieldTSForwardRate($C$4,B331,B331,"Act/365 (fixed)","Continuous",,TRUE)</f>
        <v>4.3186490106774292E-2</v>
      </c>
    </row>
    <row r="332" spans="2:7">
      <c r="B332" s="111">
        <f>_xll.qlCalendarAdvance("Null",B331,"1m")</f>
        <v>53053</v>
      </c>
      <c r="C332" s="112">
        <f t="shared" si="6"/>
        <v>25.517808219178082</v>
      </c>
      <c r="D332" s="77">
        <f>_xll.qlYieldTSForwardRate($C$3,B332,B332,"Act/365 (fixed)","Continuous",,TRUE)</f>
        <v>4.3000000001040574E-2</v>
      </c>
      <c r="E332" s="77">
        <f>_xll.qlYieldTSZeroRate($C$3,B332,"Act/365 (Fixed)","Continuous",,TRUE)</f>
        <v>4.1388393160480291E-2</v>
      </c>
      <c r="F332" s="77">
        <f>_xll.qlYieldTSZeroRate($C$3,B332,"Act/365 (Fixed)","Compounded",,TRUE)</f>
        <v>4.22568323689827E-2</v>
      </c>
      <c r="G332" s="77">
        <f>_xll.qlYieldTSForwardRate($C$4,B332,B332,"Act/365 (fixed)","Continuous",,TRUE)</f>
        <v>4.3173643152125261E-2</v>
      </c>
    </row>
    <row r="333" spans="2:7">
      <c r="B333" s="111">
        <f>_xll.qlCalendarAdvance("Null",B332,"1m")</f>
        <v>53083</v>
      </c>
      <c r="C333" s="112">
        <f t="shared" si="6"/>
        <v>25.6</v>
      </c>
      <c r="D333" s="77">
        <f>_xll.qlYieldTSForwardRate($C$3,B333,B333,"Act/365 (fixed)","Continuous",,TRUE)</f>
        <v>4.3000000001040574E-2</v>
      </c>
      <c r="E333" s="77">
        <f>_xll.qlYieldTSZeroRate($C$3,B333,"Act/365 (Fixed)","Continuous",,TRUE)</f>
        <v>4.1393567411891416E-2</v>
      </c>
      <c r="F333" s="77">
        <f>_xll.qlYieldTSZeroRate($C$3,B333,"Act/365 (Fixed)","Compounded",,TRUE)</f>
        <v>4.2262225281820553E-2</v>
      </c>
      <c r="G333" s="77">
        <f>_xll.qlYieldTSForwardRate($C$4,B333,B333,"Act/365 (fixed)","Continuous",,TRUE)</f>
        <v>4.3161418303805592E-2</v>
      </c>
    </row>
    <row r="334" spans="2:7">
      <c r="B334" s="111">
        <f>_xll.qlCalendarAdvance("Null",B333,"1m")</f>
        <v>53114</v>
      </c>
      <c r="C334" s="112">
        <f t="shared" si="6"/>
        <v>25.684931506849313</v>
      </c>
      <c r="D334" s="77">
        <f>_xll.qlYieldTSForwardRate($C$3,B334,B334,"Act/365 (fixed)","Continuous",,TRUE)</f>
        <v>4.3000000001040574E-2</v>
      </c>
      <c r="E334" s="77">
        <f>_xll.qlYieldTSZeroRate($C$3,B334,"Act/365 (Fixed)","Continuous",,TRUE)</f>
        <v>4.1398879348982752E-2</v>
      </c>
      <c r="F334" s="77">
        <f>_xll.qlYieldTSZeroRate($C$3,B334,"Act/365 (Fixed)","Compounded",,TRUE)</f>
        <v>4.226776172789859E-2</v>
      </c>
      <c r="G334" s="77">
        <f>_xll.qlYieldTSForwardRate($C$4,B334,B334,"Act/365 (fixed)","Continuous",,TRUE)</f>
        <v>4.3149006579096948E-2</v>
      </c>
    </row>
    <row r="335" spans="2:7">
      <c r="B335" s="111">
        <f>_xll.qlCalendarAdvance("Null",B334,"1m")</f>
        <v>53144</v>
      </c>
      <c r="C335" s="112">
        <f t="shared" si="6"/>
        <v>25.767123287671232</v>
      </c>
      <c r="D335" s="77">
        <f>_xll.qlYieldTSForwardRate($C$3,B335,B335,"Act/365 (fixed)","Continuous",,TRUE)</f>
        <v>4.3000000001040574E-2</v>
      </c>
      <c r="E335" s="77">
        <f>_xll.qlYieldTSZeroRate($C$3,B335,"Act/365 (Fixed)","Continuous",,TRUE)</f>
        <v>4.1403986591888708E-2</v>
      </c>
      <c r="F335" s="77">
        <f>_xll.qlYieldTSZeroRate($C$3,B335,"Act/365 (Fixed)","Compounded",,TRUE)</f>
        <v>4.227308485612391E-2</v>
      </c>
      <c r="G335" s="77">
        <f>_xll.qlYieldTSForwardRate($C$4,B335,B335,"Act/365 (fixed)","Continuous",,TRUE)</f>
        <v>4.3137214487154033E-2</v>
      </c>
    </row>
    <row r="336" spans="2:7">
      <c r="B336" s="111">
        <f>_xll.qlCalendarAdvance("Null",B335,"1m")</f>
        <v>53175</v>
      </c>
      <c r="C336" s="112">
        <f t="shared" si="6"/>
        <v>25.852054794520548</v>
      </c>
      <c r="D336" s="77">
        <f>_xll.qlYieldTSForwardRate($C$3,B336,B336,"Act/365 (fixed)","Continuous",,TRUE)</f>
        <v>4.2999999996599696E-2</v>
      </c>
      <c r="E336" s="77">
        <f>_xll.qlYieldTSZeroRate($C$3,B336,"Act/365 (Fixed)","Continuous",,TRUE)</f>
        <v>4.1409229959380386E-2</v>
      </c>
      <c r="F336" s="77">
        <f>_xll.qlYieldTSZeroRate($C$3,B336,"Act/365 (Fixed)","Compounded",,TRUE)</f>
        <v>4.2278549891262118E-2</v>
      </c>
      <c r="G336" s="77">
        <f>_xll.qlYieldTSForwardRate($C$4,B336,B336,"Act/365 (fixed)","Continuous",,TRUE)</f>
        <v>4.3125261899828481E-2</v>
      </c>
    </row>
    <row r="337" spans="2:7">
      <c r="B337" s="111">
        <f>_xll.qlCalendarAdvance("Null",B336,"1m")</f>
        <v>53206</v>
      </c>
      <c r="C337" s="112">
        <f t="shared" si="6"/>
        <v>25.936986301369863</v>
      </c>
      <c r="D337" s="77">
        <f>_xll.qlYieldTSForwardRate($C$3,B337,B337,"Act/365 (fixed)","Continuous",,TRUE)</f>
        <v>4.3000000001040574E-2</v>
      </c>
      <c r="E337" s="77">
        <f>_xll.qlYieldTSZeroRate($C$3,B337,"Act/365 (Fixed)","Continuous",,TRUE)</f>
        <v>4.1414438987716629E-2</v>
      </c>
      <c r="F337" s="77">
        <f>_xll.qlYieldTSZeroRate($C$3,B337,"Act/365 (Fixed)","Compounded",,TRUE)</f>
        <v>4.2283979163903362E-2</v>
      </c>
      <c r="G337" s="77">
        <f>_xll.qlYieldTSForwardRate($C$4,B337,B337,"Act/365 (fixed)","Continuous",,TRUE)</f>
        <v>4.311355180191534E-2</v>
      </c>
    </row>
    <row r="338" spans="2:7">
      <c r="B338" s="111">
        <f>_xll.qlCalendarAdvance("Null",B337,"1m")</f>
        <v>53236</v>
      </c>
      <c r="C338" s="112">
        <f t="shared" si="6"/>
        <v>26.019178082191782</v>
      </c>
      <c r="D338" s="77">
        <f>_xll.qlYieldTSForwardRate($C$3,B338,B338,"Act/365 (fixed)","Continuous",,TRUE)</f>
        <v>4.3000000001040574E-2</v>
      </c>
      <c r="E338" s="77">
        <f>_xll.qlYieldTSZeroRate($C$3,B338,"Act/365 (Fixed)","Continuous",,TRUE)</f>
        <v>4.1419447604160609E-2</v>
      </c>
      <c r="F338" s="77">
        <f>_xll.qlYieldTSZeroRate($C$3,B338,"Act/365 (Fixed)","Compounded",,TRUE)</f>
        <v>4.2289199577654202E-2</v>
      </c>
      <c r="G338" s="77">
        <f>_xll.qlYieldTSForwardRate($C$4,B338,B338,"Act/365 (fixed)","Continuous",,TRUE)</f>
        <v>4.3102456154273029E-2</v>
      </c>
    </row>
    <row r="339" spans="2:7">
      <c r="B339" s="111">
        <f>_xll.qlCalendarAdvance("Null",B338,"1m")</f>
        <v>53267</v>
      </c>
      <c r="C339" s="112">
        <f t="shared" si="6"/>
        <v>26.104109589041094</v>
      </c>
      <c r="D339" s="77">
        <f>_xll.qlYieldTSForwardRate($C$3,B339,B339,"Act/365 (fixed)","Continuous",,TRUE)</f>
        <v>4.3000000001040574E-2</v>
      </c>
      <c r="E339" s="77">
        <f>_xll.qlYieldTSZeroRate($C$3,B339,"Act/365 (Fixed)","Continuous",,TRUE)</f>
        <v>4.1424590039537502E-2</v>
      </c>
      <c r="F339" s="77">
        <f>_xll.qlYieldTSZeroRate($C$3,B339,"Act/365 (Fixed)","Compounded",,TRUE)</f>
        <v>4.2294559496288464E-2</v>
      </c>
      <c r="G339" s="77">
        <f>_xll.qlYieldTSForwardRate($C$4,B339,B339,"Act/365 (fixed)","Continuous",,TRUE)</f>
        <v>4.309124125363633E-2</v>
      </c>
    </row>
    <row r="340" spans="2:7">
      <c r="B340" s="111">
        <f>_xll.qlCalendarAdvance("Null",B339,"1m")</f>
        <v>53297</v>
      </c>
      <c r="C340" s="112">
        <f t="shared" si="6"/>
        <v>26.186301369863013</v>
      </c>
      <c r="D340" s="77">
        <f>_xll.qlYieldTSForwardRate($C$3,B340,B340,"Act/365 (fixed)","Continuous",,TRUE)</f>
        <v>4.3000000001040574E-2</v>
      </c>
      <c r="E340" s="77">
        <f>_xll.qlYieldTSZeroRate($C$3,B340,"Act/365 (Fixed)","Continuous",,TRUE)</f>
        <v>4.1429534829118361E-2</v>
      </c>
      <c r="F340" s="77">
        <f>_xll.qlYieldTSZeroRate($C$3,B340,"Act/365 (Fixed)","Compounded",,TRUE)</f>
        <v>4.2299713436309005E-2</v>
      </c>
      <c r="G340" s="77">
        <f>_xll.qlYieldTSForwardRate($C$4,B340,B340,"Act/365 (fixed)","Continuous",,TRUE)</f>
        <v>4.308063639126565E-2</v>
      </c>
    </row>
    <row r="341" spans="2:7">
      <c r="B341" s="111">
        <f>_xll.qlCalendarAdvance("Null",B340,"1m")</f>
        <v>53328</v>
      </c>
      <c r="C341" s="112">
        <f t="shared" si="6"/>
        <v>26.271232876712329</v>
      </c>
      <c r="D341" s="77">
        <f>_xll.qlYieldTSForwardRate($C$3,B341,B341,"Act/365 (fixed)","Continuous",,TRUE)</f>
        <v>4.3000000001040574E-2</v>
      </c>
      <c r="E341" s="77">
        <f>_xll.qlYieldTSZeroRate($C$3,B341,"Act/365 (Fixed)","Continuous",,TRUE)</f>
        <v>4.1434611940422708E-2</v>
      </c>
      <c r="F341" s="77">
        <f>_xll.qlYieldTSZeroRate($C$3,B341,"Act/365 (Fixed)","Compounded",,TRUE)</f>
        <v>4.2305005321400468E-2</v>
      </c>
      <c r="G341" s="77">
        <f>_xll.qlYieldTSForwardRate($C$4,B341,B341,"Act/365 (fixed)","Continuous",,TRUE)</f>
        <v>4.3069940590907463E-2</v>
      </c>
    </row>
    <row r="342" spans="2:7">
      <c r="B342" s="111">
        <f>_xll.qlCalendarAdvance("Null",B341,"1m")</f>
        <v>53359</v>
      </c>
      <c r="C342" s="112">
        <f t="shared" si="6"/>
        <v>26.356164383561644</v>
      </c>
      <c r="D342" s="77">
        <f>_xll.qlYieldTSForwardRate($C$3,B342,B342,"Act/365 (fixed)","Continuous",,TRUE)</f>
        <v>4.2999999998820135E-2</v>
      </c>
      <c r="E342" s="77">
        <f>_xll.qlYieldTSZeroRate($C$3,B342,"Act/365 (Fixed)","Continuous",,TRUE)</f>
        <v>4.1439656330219683E-2</v>
      </c>
      <c r="F342" s="77">
        <f>_xll.qlYieldTSZeroRate($C$3,B342,"Act/365 (Fixed)","Compounded",,TRUE)</f>
        <v>4.231026312739572E-2</v>
      </c>
      <c r="G342" s="77">
        <f>_xll.qlYieldTSForwardRate($C$4,B342,B342,"Act/365 (fixed)","Continuous",,TRUE)</f>
        <v>4.3059517759897491E-2</v>
      </c>
    </row>
    <row r="343" spans="2:7">
      <c r="B343" s="111">
        <f>_xll.qlCalendarAdvance("Null",B342,"1m")</f>
        <v>53387</v>
      </c>
      <c r="C343" s="112">
        <f t="shared" si="6"/>
        <v>26.432876712328767</v>
      </c>
      <c r="D343" s="77">
        <f>_xll.qlYieldTSForwardRate($C$3,B343,B343,"Act/365 (fixed)","Continuous",,TRUE)</f>
        <v>4.2999999998820135E-2</v>
      </c>
      <c r="E343" s="77">
        <f>_xll.qlYieldTSZeroRate($C$3,B343,"Act/365 (Fixed)","Continuous",,TRUE)</f>
        <v>4.1444184690787034E-2</v>
      </c>
      <c r="F343" s="77">
        <f>_xll.qlYieldTSZeroRate($C$3,B343,"Act/365 (Fixed)","Compounded",,TRUE)</f>
        <v>4.2314983094777103E-2</v>
      </c>
      <c r="G343" s="77">
        <f>_xll.qlYieldTSForwardRate($C$4,B343,B343,"Act/365 (fixed)","Continuous",,TRUE)</f>
        <v>4.3050343342648109E-2</v>
      </c>
    </row>
    <row r="344" spans="2:7">
      <c r="B344" s="111">
        <f>_xll.qlCalendarAdvance("Null",B343,"1m")</f>
        <v>53418</v>
      </c>
      <c r="C344" s="112">
        <f t="shared" si="6"/>
        <v>26.517808219178082</v>
      </c>
      <c r="D344" s="77">
        <f>_xll.qlYieldTSForwardRate($C$3,B344,B344,"Act/365 (fixed)","Continuous",,TRUE)</f>
        <v>4.2999999998820135E-2</v>
      </c>
      <c r="E344" s="77">
        <f>_xll.qlYieldTSZeroRate($C$3,B344,"Act/365 (Fixed)","Continuous",,TRUE)</f>
        <v>4.144916767194063E-2</v>
      </c>
      <c r="F344" s="77">
        <f>_xll.qlYieldTSZeroRate($C$3,B344,"Act/365 (Fixed)","Compounded",,TRUE)</f>
        <v>4.2320176943634547E-2</v>
      </c>
      <c r="G344" s="77">
        <f>_xll.qlYieldTSForwardRate($C$4,B344,B344,"Act/365 (fixed)","Continuous",,TRUE)</f>
        <v>4.3040457086757425E-2</v>
      </c>
    </row>
    <row r="345" spans="2:7">
      <c r="B345" s="111">
        <f>_xll.qlCalendarAdvance("Null",B344,"1m")</f>
        <v>53448</v>
      </c>
      <c r="C345" s="112">
        <f t="shared" si="6"/>
        <v>26.6</v>
      </c>
      <c r="D345" s="77">
        <f>_xll.qlYieldTSForwardRate($C$3,B345,B345,"Act/365 (fixed)","Continuous",,TRUE)</f>
        <v>4.2999999998820135E-2</v>
      </c>
      <c r="E345" s="77">
        <f>_xll.qlYieldTSZeroRate($C$3,B345,"Act/365 (Fixed)","Continuous",,TRUE)</f>
        <v>4.1453959614451884E-2</v>
      </c>
      <c r="F345" s="77">
        <f>_xll.qlYieldTSZeroRate($C$3,B345,"Act/365 (Fixed)","Compounded",,TRUE)</f>
        <v>4.2325171693967878E-2</v>
      </c>
      <c r="G345" s="77">
        <f>_xll.qlYieldTSForwardRate($C$4,B345,B345,"Act/365 (fixed)","Continuous",,TRUE)</f>
        <v>4.3031166647242845E-2</v>
      </c>
    </row>
    <row r="346" spans="2:7">
      <c r="B346" s="111">
        <f>_xll.qlCalendarAdvance("Null",B345,"1m")</f>
        <v>53479</v>
      </c>
      <c r="C346" s="112">
        <f t="shared" ref="C346:C386" si="7">(B346-$B$26)/365</f>
        <v>26.684931506849313</v>
      </c>
      <c r="D346" s="77">
        <f>_xll.qlYieldTSForwardRate($C$3,B346,B346,"Act/365 (fixed)","Continuous",,TRUE)</f>
        <v>4.3000000001040574E-2</v>
      </c>
      <c r="E346" s="77">
        <f>_xll.qlYieldTSZeroRate($C$3,B346,"Act/365 (Fixed)","Continuous",,TRUE)</f>
        <v>4.1458880276869954E-2</v>
      </c>
      <c r="F346" s="77">
        <f>_xll.qlYieldTSZeroRate($C$3,B346,"Act/365 (Fixed)","Compounded",,TRUE)</f>
        <v>4.2330300636886697E-2</v>
      </c>
      <c r="G346" s="77">
        <f>_xll.qlYieldTSForwardRate($C$4,B346,B346,"Act/365 (fixed)","Continuous",,TRUE)</f>
        <v>4.3021858672932616E-2</v>
      </c>
    </row>
    <row r="347" spans="2:7">
      <c r="B347" s="111">
        <f>_xll.qlCalendarAdvance("Null",B346,"1m")</f>
        <v>53509</v>
      </c>
      <c r="C347" s="112">
        <f t="shared" si="7"/>
        <v>26.767123287671232</v>
      </c>
      <c r="D347" s="77">
        <f>_xll.qlYieldTSForwardRate($C$3,B347,B347,"Act/365 (fixed)","Continuous",,TRUE)</f>
        <v>4.2999999996599696E-2</v>
      </c>
      <c r="E347" s="77">
        <f>_xll.qlYieldTSZeroRate($C$3,B347,"Act/365 (Fixed)","Continuous",,TRUE)</f>
        <v>4.1463612476633917E-2</v>
      </c>
      <c r="F347" s="77">
        <f>_xll.qlYieldTSZeroRate($C$3,B347,"Act/365 (Fixed)","Compounded",,TRUE)</f>
        <v>4.2335233163760089E-2</v>
      </c>
      <c r="G347" s="77">
        <f>_xll.qlYieldTSForwardRate($C$4,B347,B347,"Act/365 (fixed)","Continuous",,TRUE)</f>
        <v>4.3013139425146951E-2</v>
      </c>
    </row>
    <row r="348" spans="2:7">
      <c r="B348" s="111">
        <f>_xll.qlCalendarAdvance("Null",B347,"1m")</f>
        <v>53540</v>
      </c>
      <c r="C348" s="112">
        <f t="shared" si="7"/>
        <v>26.852054794520548</v>
      </c>
      <c r="D348" s="77">
        <f>_xll.qlYieldTSForwardRate($C$3,B348,B348,"Act/365 (fixed)","Continuous",,TRUE)</f>
        <v>4.3000000001040574E-2</v>
      </c>
      <c r="E348" s="77">
        <f>_xll.qlYieldTSZeroRate($C$3,B348,"Act/365 (Fixed)","Continuous",,TRUE)</f>
        <v>4.146847198211543E-2</v>
      </c>
      <c r="F348" s="77">
        <f>_xll.qlYieldTSZeroRate($C$3,B348,"Act/365 (Fixed)","Compounded",,TRUE)</f>
        <v>4.2340298409846433E-2</v>
      </c>
      <c r="G348" s="77">
        <f>_xll.qlYieldTSForwardRate($C$4,B348,B348,"Act/365 (fixed)","Continuous",,TRUE)</f>
        <v>4.3004433637639734E-2</v>
      </c>
    </row>
    <row r="349" spans="2:7">
      <c r="B349" s="111">
        <f>_xll.qlCalendarAdvance("Null",B348,"1m")</f>
        <v>53571</v>
      </c>
      <c r="C349" s="112">
        <f t="shared" si="7"/>
        <v>26.936986301369863</v>
      </c>
      <c r="D349" s="77">
        <f>_xll.qlYieldTSForwardRate($C$3,B349,B349,"Act/365 (fixed)","Continuous",,TRUE)</f>
        <v>4.3000000001040574E-2</v>
      </c>
      <c r="E349" s="77">
        <f>_xll.qlYieldTSZeroRate($C$3,B349,"Act/365 (Fixed)","Continuous",,TRUE)</f>
        <v>4.1473300843847982E-2</v>
      </c>
      <c r="F349" s="77">
        <f>_xll.qlYieldTSZeroRate($C$3,B349,"Act/365 (Fixed)","Compounded",,TRUE)</f>
        <v>4.2345331739178427E-2</v>
      </c>
      <c r="G349" s="77">
        <f>_xll.qlYieldTSForwardRate($C$4,B349,B349,"Act/365 (fixed)","Continuous",,TRUE)</f>
        <v>4.2996043041086444E-2</v>
      </c>
    </row>
    <row r="350" spans="2:7">
      <c r="B350" s="111">
        <f>_xll.qlCalendarAdvance("Null",B349,"1m")</f>
        <v>53601</v>
      </c>
      <c r="C350" s="112">
        <f t="shared" si="7"/>
        <v>27.019178082191782</v>
      </c>
      <c r="D350" s="77">
        <f>_xll.qlYieldTSForwardRate($C$3,B350,B350,"Act/365 (fixed)","Continuous",,TRUE)</f>
        <v>4.3000000001040574E-2</v>
      </c>
      <c r="E350" s="77">
        <f>_xll.qlYieldTSZeroRate($C$3,B350,"Act/365 (Fixed)","Continuous",,TRUE)</f>
        <v>4.1477945031100527E-2</v>
      </c>
      <c r="F350" s="77">
        <f>_xll.qlYieldTSZeroRate($C$3,B350,"Act/365 (Fixed)","Compounded",,TRUE)</f>
        <v>4.2350172597321656E-2</v>
      </c>
      <c r="G350" s="77">
        <f>_xll.qlYieldTSForwardRate($C$4,B350,B350,"Act/365 (fixed)","Continuous",,TRUE)</f>
        <v>4.2988229031934416E-2</v>
      </c>
    </row>
    <row r="351" spans="2:7">
      <c r="B351" s="111">
        <f>_xll.qlCalendarAdvance("Null",B350,"1m")</f>
        <v>53632</v>
      </c>
      <c r="C351" s="112">
        <f t="shared" si="7"/>
        <v>27.104109589041094</v>
      </c>
      <c r="D351" s="77">
        <f>_xll.qlYieldTSForwardRate($C$3,B351,B351,"Act/365 (fixed)","Continuous",,TRUE)</f>
        <v>4.3000000001040574E-2</v>
      </c>
      <c r="E351" s="77">
        <f>_xll.qlYieldTSZeroRate($C$3,B351,"Act/365 (Fixed)","Continuous",,TRUE)</f>
        <v>4.1482714434116379E-2</v>
      </c>
      <c r="F351" s="77">
        <f>_xll.qlYieldTSZeroRate($C$3,B351,"Act/365 (Fixed)","Compounded",,TRUE)</f>
        <v>4.2355143997233835E-2</v>
      </c>
      <c r="G351" s="77">
        <f>_xll.qlYieldTSForwardRate($C$4,B351,B351,"Act/365 (fixed)","Continuous",,TRUE)</f>
        <v>4.2980476679857181E-2</v>
      </c>
    </row>
    <row r="352" spans="2:7">
      <c r="B352" s="111">
        <f>_xll.qlCalendarAdvance("Null",B351,"1m")</f>
        <v>53662</v>
      </c>
      <c r="C352" s="112">
        <f t="shared" si="7"/>
        <v>27.186301369863013</v>
      </c>
      <c r="D352" s="77">
        <f>_xll.qlYieldTSForwardRate($C$3,B352,B352,"Act/365 (fixed)","Continuous",,TRUE)</f>
        <v>4.3000000001040574E-2</v>
      </c>
      <c r="E352" s="77">
        <f>_xll.qlYieldTSZeroRate($C$3,B352,"Act/365 (Fixed)","Continuous",,TRUE)</f>
        <v>4.1487301612084387E-2</v>
      </c>
      <c r="F352" s="77">
        <f>_xll.qlYieldTSZeroRate($C$3,B352,"Act/365 (Fixed)","Compounded",,TRUE)</f>
        <v>4.2359925476751936E-2</v>
      </c>
      <c r="G352" s="77">
        <f>_xll.qlYieldTSForwardRate($C$4,B352,B352,"Act/365 (fixed)","Continuous",,TRUE)</f>
        <v>4.2973291893549571E-2</v>
      </c>
    </row>
    <row r="353" spans="2:7">
      <c r="B353" s="111">
        <f>_xll.qlCalendarAdvance("Null",B352,"1m")</f>
        <v>53693</v>
      </c>
      <c r="C353" s="112">
        <f t="shared" si="7"/>
        <v>27.271232876712329</v>
      </c>
      <c r="D353" s="77">
        <f>_xll.qlYieldTSForwardRate($C$3,B353,B353,"Act/365 (fixed)","Continuous",,TRUE)</f>
        <v>4.2999999998820135E-2</v>
      </c>
      <c r="E353" s="77">
        <f>_xll.qlYieldTSZeroRate($C$3,B353,"Act/365 (Fixed)","Continuous",,TRUE)</f>
        <v>4.1492012647851448E-2</v>
      </c>
      <c r="F353" s="77">
        <f>_xll.qlYieldTSZeroRate($C$3,B353,"Act/365 (Fixed)","Compounded",,TRUE)</f>
        <v>4.2364836083210067E-2</v>
      </c>
      <c r="G353" s="77">
        <f>_xll.qlYieldTSForwardRate($C$4,B353,B353,"Act/365 (fixed)","Continuous",,TRUE)</f>
        <v>4.2966201695611647E-2</v>
      </c>
    </row>
    <row r="354" spans="2:7">
      <c r="B354" s="111">
        <f>_xll.qlCalendarAdvance("Null",B353,"1m")</f>
        <v>53724</v>
      </c>
      <c r="C354" s="112">
        <f t="shared" si="7"/>
        <v>27.356164383561644</v>
      </c>
      <c r="D354" s="77">
        <f>_xll.qlYieldTSForwardRate($C$3,B354,B354,"Act/365 (fixed)","Continuous",,TRUE)</f>
        <v>4.3000000001040574E-2</v>
      </c>
      <c r="E354" s="77">
        <f>_xll.qlYieldTSZeroRate($C$3,B354,"Act/365 (Fixed)","Continuous",,TRUE)</f>
        <v>4.1496694431318308E-2</v>
      </c>
      <c r="F354" s="77">
        <f>_xll.qlYieldTSZeroRate($C$3,B354,"Act/365 (Fixed)","Compounded",,TRUE)</f>
        <v>4.236971622108987E-2</v>
      </c>
      <c r="G354" s="77">
        <f>_xll.qlYieldTSForwardRate($C$4,B354,B354,"Act/365 (fixed)","Continuous",,TRUE)</f>
        <v>4.2959457159681573E-2</v>
      </c>
    </row>
    <row r="355" spans="2:7">
      <c r="B355" s="111">
        <f>_xll.qlCalendarAdvance("Null",B354,"1m")</f>
        <v>53752</v>
      </c>
      <c r="C355" s="112">
        <f t="shared" si="7"/>
        <v>27.432876712328767</v>
      </c>
      <c r="D355" s="77">
        <f>_xll.qlYieldTSForwardRate($C$3,B355,B355,"Act/365 (fixed)","Continuous",,TRUE)</f>
        <v>4.2999999998820135E-2</v>
      </c>
      <c r="E355" s="77">
        <f>_xll.qlYieldTSZeroRate($C$3,B355,"Act/365 (Fixed)","Continuous",,TRUE)</f>
        <v>4.150089822198276E-2</v>
      </c>
      <c r="F355" s="77">
        <f>_xll.qlYieldTSZeroRate($C$3,B355,"Act/365 (Fixed)","Compounded",,TRUE)</f>
        <v>4.2374098134382088E-2</v>
      </c>
      <c r="G355" s="77">
        <f>_xll.qlYieldTSForwardRate($C$4,B355,B355,"Act/365 (fixed)","Continuous",,TRUE)</f>
        <v>4.2953667564657121E-2</v>
      </c>
    </row>
    <row r="356" spans="2:7">
      <c r="B356" s="111">
        <f>_xll.qlCalendarAdvance("Null",B355,"1m")</f>
        <v>53783</v>
      </c>
      <c r="C356" s="112">
        <f t="shared" si="7"/>
        <v>27.517808219178082</v>
      </c>
      <c r="D356" s="77">
        <f>_xll.qlYieldTSForwardRate($C$3,B356,B356,"Act/365 (fixed)","Continuous",,TRUE)</f>
        <v>4.2999999998820135E-2</v>
      </c>
      <c r="E356" s="77">
        <f>_xll.qlYieldTSZeroRate($C$3,B356,"Act/365 (Fixed)","Continuous",,TRUE)</f>
        <v>4.1505525079322314E-2</v>
      </c>
      <c r="F356" s="77">
        <f>_xll.qlYieldTSZeroRate($C$3,B356,"Act/365 (Fixed)","Compounded",,TRUE)</f>
        <v>4.2378921061786201E-2</v>
      </c>
      <c r="G356" s="77">
        <f>_xll.qlYieldTSForwardRate($C$4,B356,B356,"Act/365 (fixed)","Continuous",,TRUE)</f>
        <v>4.2947597970364598E-2</v>
      </c>
    </row>
    <row r="357" spans="2:7">
      <c r="B357" s="111">
        <f>_xll.qlCalendarAdvance("Null",B356,"1m")</f>
        <v>53813</v>
      </c>
      <c r="C357" s="112">
        <f t="shared" si="7"/>
        <v>27.6</v>
      </c>
      <c r="D357" s="77">
        <f>_xll.qlYieldTSForwardRate($C$3,B357,B357,"Act/365 (fixed)","Continuous",,TRUE)</f>
        <v>4.3000000001040574E-2</v>
      </c>
      <c r="E357" s="77">
        <f>_xll.qlYieldTSZeroRate($C$3,B357,"Act/365 (Fixed)","Continuous",,TRUE)</f>
        <v>4.1509975570450004E-2</v>
      </c>
      <c r="F357" s="77">
        <f>_xll.qlYieldTSZeroRate($C$3,B357,"Act/365 (Fixed)","Compounded",,TRUE)</f>
        <v>4.2383560170249135E-2</v>
      </c>
      <c r="G357" s="77">
        <f>_xll.qlYieldTSForwardRate($C$4,B357,B357,"Act/365 (fixed)","Continuous",,TRUE)</f>
        <v>4.2942070293583628E-2</v>
      </c>
    </row>
    <row r="358" spans="2:7">
      <c r="B358" s="111">
        <f>_xll.qlCalendarAdvance("Null",B357,"1m")</f>
        <v>53844</v>
      </c>
      <c r="C358" s="112">
        <f t="shared" si="7"/>
        <v>27.684931506849313</v>
      </c>
      <c r="D358" s="77">
        <f>_xll.qlYieldTSForwardRate($C$3,B358,B358,"Act/365 (fixed)","Continuous",,TRUE)</f>
        <v>4.3000000001040574E-2</v>
      </c>
      <c r="E358" s="77">
        <f>_xll.qlYieldTSZeroRate($C$3,B358,"Act/365 (Fixed)","Continuous",,TRUE)</f>
        <v>4.1514546649847932E-2</v>
      </c>
      <c r="F358" s="77">
        <f>_xll.qlYieldTSZeroRate($C$3,B358,"Act/365 (Fixed)","Compounded",,TRUE)</f>
        <v>4.2388324999155902E-2</v>
      </c>
      <c r="G358" s="77">
        <f>_xll.qlYieldTSForwardRate($C$4,B358,B358,"Act/365 (fixed)","Continuous",,TRUE)</f>
        <v>4.293672202807005E-2</v>
      </c>
    </row>
    <row r="359" spans="2:7">
      <c r="B359" s="111">
        <f>_xll.qlCalendarAdvance("Null",B358,"1m")</f>
        <v>53874</v>
      </c>
      <c r="C359" s="112">
        <f t="shared" si="7"/>
        <v>27.767123287671232</v>
      </c>
      <c r="D359" s="77">
        <f>_xll.qlYieldTSForwardRate($C$3,B359,B359,"Act/365 (fixed)","Continuous",,TRUE)</f>
        <v>4.2999999998820135E-2</v>
      </c>
      <c r="E359" s="77">
        <f>_xll.qlYieldTSZeroRate($C$3,B359,"Act/365 (Fixed)","Continuous",,TRUE)</f>
        <v>4.1518943650391056E-2</v>
      </c>
      <c r="F359" s="77">
        <f>_xll.qlYieldTSZeroRate($C$3,B359,"Act/365 (Fixed)","Compounded",,TRUE)</f>
        <v>4.2392908391263751E-2</v>
      </c>
      <c r="G359" s="77">
        <f>_xll.qlYieldTSForwardRate($C$4,B359,B359,"Act/365 (fixed)","Continuous",,TRUE)</f>
        <v>4.2931903982809834E-2</v>
      </c>
    </row>
    <row r="360" spans="2:7">
      <c r="B360" s="111">
        <f>_xll.qlCalendarAdvance("Null",B359,"1m")</f>
        <v>53905</v>
      </c>
      <c r="C360" s="112">
        <f t="shared" si="7"/>
        <v>27.852054794520548</v>
      </c>
      <c r="D360" s="77">
        <f>_xll.qlYieldTSForwardRate($C$3,B360,B360,"Act/365 (fixed)","Continuous",,TRUE)</f>
        <v>4.2999999998820135E-2</v>
      </c>
      <c r="E360" s="77">
        <f>_xll.qlYieldTSZeroRate($C$3,B360,"Act/365 (Fixed)","Continuous",,TRUE)</f>
        <v>4.1523459954427827E-2</v>
      </c>
      <c r="F360" s="77">
        <f>_xll.qlYieldTSZeroRate($C$3,B360,"Act/365 (Fixed)","Compounded",,TRUE)</f>
        <v>4.2397616165194663E-2</v>
      </c>
      <c r="G360" s="77">
        <f>_xll.qlYieldTSForwardRate($C$4,B360,B360,"Act/365 (fixed)","Continuous",,TRUE)</f>
        <v>4.2927300957958339E-2</v>
      </c>
    </row>
    <row r="361" spans="2:7">
      <c r="B361" s="111">
        <f>_xll.qlCalendarAdvance("Null",B360,"1m")</f>
        <v>53936</v>
      </c>
      <c r="C361" s="112">
        <f t="shared" si="7"/>
        <v>27.936986301369863</v>
      </c>
      <c r="D361" s="77">
        <f>_xll.qlYieldTSForwardRate($C$3,B361,B361,"Act/365 (fixed)","Continuous",,TRUE)</f>
        <v>4.3000000001040574E-2</v>
      </c>
      <c r="E361" s="77">
        <f>_xll.qlYieldTSZeroRate($C$3,B361,"Act/365 (Fixed)","Continuous",,TRUE)</f>
        <v>4.1527948798343955E-2</v>
      </c>
      <c r="F361" s="77">
        <f>_xll.qlYieldTSZeroRate($C$3,B361,"Act/365 (Fixed)","Compounded",,TRUE)</f>
        <v>4.2402295335894236E-2</v>
      </c>
      <c r="G361" s="77">
        <f>_xll.qlYieldTSForwardRate($C$4,B361,B361,"Act/365 (fixed)","Continuous",,TRUE)</f>
        <v>4.2923085825601004E-2</v>
      </c>
    </row>
    <row r="362" spans="2:7">
      <c r="B362" s="111">
        <f>_xll.qlCalendarAdvance("Null",B361,"1m")</f>
        <v>53966</v>
      </c>
      <c r="C362" s="112">
        <f t="shared" si="7"/>
        <v>28.019178082191782</v>
      </c>
      <c r="D362" s="77">
        <f>_xll.qlYieldTSForwardRate($C$3,B362,B362,"Act/365 (fixed)","Continuous",,TRUE)</f>
        <v>4.2999999998820135E-2</v>
      </c>
      <c r="E362" s="77">
        <f>_xll.qlYieldTSZeroRate($C$3,B362,"Act/365 (Fixed)","Continuous",,TRUE)</f>
        <v>4.1532266930352335E-2</v>
      </c>
      <c r="F362" s="77">
        <f>_xll.qlYieldTSZeroRate($C$3,B362,"Act/365 (Fixed)","Compounded",,TRUE)</f>
        <v>4.2406796576329731E-2</v>
      </c>
      <c r="G362" s="77">
        <f>_xll.qlYieldTSForwardRate($C$4,B362,B362,"Act/365 (fixed)","Continuous",,TRUE)</f>
        <v>4.2919381802201666E-2</v>
      </c>
    </row>
    <row r="363" spans="2:7">
      <c r="B363" s="111">
        <f>_xll.qlCalendarAdvance("Null",B362,"1m")</f>
        <v>53997</v>
      </c>
      <c r="C363" s="112">
        <f t="shared" si="7"/>
        <v>28.104109589041094</v>
      </c>
      <c r="D363" s="77">
        <f>_xll.qlYieldTSForwardRate($C$3,B363,B363,"Act/365 (fixed)","Continuous",,TRUE)</f>
        <v>4.2999999998820135E-2</v>
      </c>
      <c r="E363" s="77">
        <f>_xll.qlYieldTSZeroRate($C$3,B363,"Act/365 (Fixed)","Continuous",,TRUE)</f>
        <v>4.1536702466047314E-2</v>
      </c>
      <c r="F363" s="77">
        <f>_xll.qlYieldTSZeroRate($C$3,B363,"Act/365 (Fixed)","Compounded",,TRUE)</f>
        <v>4.2411420219138796E-2</v>
      </c>
      <c r="G363" s="77">
        <f>_xll.qlYieldTSForwardRate($C$4,B363,B363,"Act/365 (fixed)","Continuous",,TRUE)</f>
        <v>4.2915947970398452E-2</v>
      </c>
    </row>
    <row r="364" spans="2:7">
      <c r="B364" s="111">
        <f>_xll.qlCalendarAdvance("Null",B363,"1m")</f>
        <v>54027</v>
      </c>
      <c r="C364" s="112">
        <f t="shared" si="7"/>
        <v>28.186301369863013</v>
      </c>
      <c r="D364" s="77">
        <f>_xll.qlYieldTSForwardRate($C$3,B364,B364,"Act/365 (fixed)","Continuous",,TRUE)</f>
        <v>4.2999999998820135E-2</v>
      </c>
      <c r="E364" s="77">
        <f>_xll.qlYieldTSZeroRate($C$3,B364,"Act/365 (Fixed)","Continuous",,TRUE)</f>
        <v>4.1540969468965142E-2</v>
      </c>
      <c r="F364" s="77">
        <f>_xll.qlYieldTSZeroRate($C$3,B364,"Act/365 (Fixed)","Compounded",,TRUE)</f>
        <v>4.2415868201200357E-2</v>
      </c>
      <c r="G364" s="77">
        <f>_xll.qlYieldTSForwardRate($C$4,B364,B364,"Act/365 (fixed)","Continuous",,TRUE)</f>
        <v>4.2913011605192175E-2</v>
      </c>
    </row>
    <row r="365" spans="2:7">
      <c r="B365" s="111">
        <f>_xll.qlCalendarAdvance("Null",B364,"1m")</f>
        <v>54058</v>
      </c>
      <c r="C365" s="112">
        <f t="shared" si="7"/>
        <v>28.271232876712329</v>
      </c>
      <c r="D365" s="77">
        <f>_xll.qlYieldTSForwardRate($C$3,B365,B365,"Act/365 (fixed)","Continuous",,TRUE)</f>
        <v>4.3000000001040574E-2</v>
      </c>
      <c r="E365" s="77">
        <f>_xll.qlYieldTSZeroRate($C$3,B365,"Act/365 (Fixed)","Continuous",,TRUE)</f>
        <v>4.1545352640441256E-2</v>
      </c>
      <c r="F365" s="77">
        <f>_xll.qlYieldTSZeroRate($C$3,B365,"Act/365 (Fixed)","Compounded",,TRUE)</f>
        <v>4.2420437298713587E-2</v>
      </c>
      <c r="G365" s="77">
        <f>_xll.qlYieldTSForwardRate($C$4,B365,B365,"Act/365 (fixed)","Continuous",,TRUE)</f>
        <v>4.2910382972502943E-2</v>
      </c>
    </row>
    <row r="366" spans="2:7">
      <c r="B366" s="111">
        <f>_xll.qlCalendarAdvance("Null",B365,"1m")</f>
        <v>54089</v>
      </c>
      <c r="C366" s="112">
        <f t="shared" si="7"/>
        <v>28.356164383561644</v>
      </c>
      <c r="D366" s="77">
        <f>_xll.qlYieldTSForwardRate($C$3,B366,B366,"Act/365 (fixed)","Continuous",,TRUE)</f>
        <v>4.3000000001040574E-2</v>
      </c>
      <c r="E366" s="77">
        <f>_xll.qlYieldTSZeroRate($C$3,B366,"Act/365 (Fixed)","Continuous",,TRUE)</f>
        <v>4.1549709555238006E-2</v>
      </c>
      <c r="F366" s="77">
        <f>_xll.qlYieldTSZeroRate($C$3,B366,"Act/365 (Fixed)","Compounded",,TRUE)</f>
        <v>4.2424979045635247E-2</v>
      </c>
      <c r="G366" s="77">
        <f>_xll.qlYieldTSForwardRate($C$4,B366,B366,"Act/365 (fixed)","Continuous",,TRUE)</f>
        <v>4.2908172705580713E-2</v>
      </c>
    </row>
    <row r="367" spans="2:7">
      <c r="B367" s="111">
        <f>_xll.qlCalendarAdvance("Null",B366,"1m")</f>
        <v>54118</v>
      </c>
      <c r="C367" s="112">
        <f t="shared" si="7"/>
        <v>28.435616438356163</v>
      </c>
      <c r="D367" s="77">
        <f>_xll.qlYieldTSForwardRate($C$3,B367,B367,"Act/365 (fixed)","Continuous",,TRUE)</f>
        <v>4.3000000001040574E-2</v>
      </c>
      <c r="E367" s="77">
        <f>_xll.qlYieldTSZeroRate($C$3,B367,"Act/365 (Fixed)","Continuous",,TRUE)</f>
        <v>4.1553761816814083E-2</v>
      </c>
      <c r="F367" s="77">
        <f>_xll.qlYieldTSZeroRate($C$3,B367,"Act/365 (Fixed)","Compounded",,TRUE)</f>
        <v>4.2429203232882573E-2</v>
      </c>
      <c r="G367" s="77">
        <f>_xll.qlYieldTSForwardRate($C$4,B367,B367,"Act/365 (fixed)","Continuous",,TRUE)</f>
        <v>4.2906489248325061E-2</v>
      </c>
    </row>
    <row r="368" spans="2:7">
      <c r="B368" s="111">
        <f>_xll.qlCalendarAdvance("Null",B367,"1m")</f>
        <v>54149</v>
      </c>
      <c r="C368" s="112">
        <f t="shared" si="7"/>
        <v>28.520547945205479</v>
      </c>
      <c r="D368" s="77">
        <f>_xll.qlYieldTSForwardRate($C$3,B368,B368,"Act/365 (fixed)","Continuous",,TRUE)</f>
        <v>4.3000000001040574E-2</v>
      </c>
      <c r="E368" s="77">
        <f>_xll.qlYieldTSZeroRate($C$3,B368,"Act/365 (Fixed)","Continuous",,TRUE)</f>
        <v>4.1558068577974387E-2</v>
      </c>
      <c r="F368" s="77">
        <f>_xll.qlYieldTSZeroRate($C$3,B368,"Act/365 (Fixed)","Compounded",,TRUE)</f>
        <v>4.2433692736155049E-2</v>
      </c>
      <c r="G368" s="77">
        <f>_xll.qlYieldTSForwardRate($C$4,B368,B368,"Act/365 (fixed)","Continuous",,TRUE)</f>
        <v>4.2905106253878042E-2</v>
      </c>
    </row>
    <row r="369" spans="2:7">
      <c r="B369" s="111">
        <f>_xll.qlCalendarAdvance("Null",B368,"1m")</f>
        <v>54179</v>
      </c>
      <c r="C369" s="112">
        <f t="shared" si="7"/>
        <v>28.602739726027398</v>
      </c>
      <c r="D369" s="77">
        <f>_xll.qlYieldTSForwardRate($C$3,B369,B369,"Act/365 (fixed)","Continuous",,TRUE)</f>
        <v>4.3000000001040574E-2</v>
      </c>
      <c r="E369" s="77">
        <f>_xll.qlYieldTSZeroRate($C$3,B369,"Act/365 (Fixed)","Continuous",,TRUE)</f>
        <v>4.1562212059072165E-2</v>
      </c>
      <c r="F369" s="77">
        <f>_xll.qlYieldTSZeroRate($C$3,B369,"Act/365 (Fixed)","Compounded",,TRUE)</f>
        <v>4.2438012049405005E-2</v>
      </c>
      <c r="G369" s="77">
        <f>_xll.qlYieldTSForwardRate($C$4,B369,B369,"Act/365 (fixed)","Continuous",,TRUE)</f>
        <v>4.2904183407152734E-2</v>
      </c>
    </row>
    <row r="370" spans="2:7">
      <c r="B370" s="111">
        <f>_xll.qlCalendarAdvance("Null",B369,"1m")</f>
        <v>54210</v>
      </c>
      <c r="C370" s="112">
        <f t="shared" si="7"/>
        <v>28.687671232876713</v>
      </c>
      <c r="D370" s="77">
        <f>_xll.qlYieldTSForwardRate($C$3,B370,B370,"Act/365 (fixed)","Continuous",,TRUE)</f>
        <v>4.3000000001040574E-2</v>
      </c>
      <c r="E370" s="77">
        <f>_xll.qlYieldTSZeroRate($C$3,B370,"Act/365 (Fixed)","Continuous",,TRUE)</f>
        <v>4.1566468713276031E-2</v>
      </c>
      <c r="F370" s="77">
        <f>_xll.qlYieldTSZeroRate($C$3,B370,"Act/365 (Fixed)","Compounded",,TRUE)</f>
        <v>4.244244935699526E-2</v>
      </c>
      <c r="G370" s="77">
        <f>_xll.qlYieldTSForwardRate($C$4,B370,B370,"Act/365 (fixed)","Continuous",,TRUE)</f>
        <v>4.2903665188354451E-2</v>
      </c>
    </row>
    <row r="371" spans="2:7">
      <c r="B371" s="111">
        <f>_xll.qlCalendarAdvance("Null",B370,"1m")</f>
        <v>54240</v>
      </c>
      <c r="C371" s="112">
        <f t="shared" si="7"/>
        <v>28.769863013698629</v>
      </c>
      <c r="D371" s="77">
        <f>_xll.qlYieldTSForwardRate($C$3,B371,B371,"Act/365 (fixed)","Continuous",,TRUE)</f>
        <v>4.2999999998820135E-2</v>
      </c>
      <c r="E371" s="77">
        <f>_xll.qlYieldTSZeroRate($C$3,B371,"Act/365 (Fixed)","Continuous",,TRUE)</f>
        <v>4.1570564126912991E-2</v>
      </c>
      <c r="F371" s="77">
        <f>_xll.qlYieldTSZeroRate($C$3,B371,"Act/365 (Fixed)","Compounded",,TRUE)</f>
        <v>4.2446718598760258E-2</v>
      </c>
      <c r="G371" s="77">
        <f>_xll.qlYieldTSForwardRate($C$4,B371,B371,"Act/365 (fixed)","Continuous",,TRUE)</f>
        <v>4.2903590792628753E-2</v>
      </c>
    </row>
    <row r="372" spans="2:7">
      <c r="B372" s="111">
        <f>_xll.qlCalendarAdvance("Null",B371,"1m")</f>
        <v>54271</v>
      </c>
      <c r="C372" s="112">
        <f t="shared" si="7"/>
        <v>28.854794520547944</v>
      </c>
      <c r="D372" s="77">
        <f>_xll.qlYieldTSForwardRate($C$3,B372,B372,"Act/365 (fixed)","Continuous",,TRUE)</f>
        <v>4.3000000001040574E-2</v>
      </c>
      <c r="E372" s="77">
        <f>_xll.qlYieldTSZeroRate($C$3,B372,"Act/365 (Fixed)","Continuous",,TRUE)</f>
        <v>4.1574771543554247E-2</v>
      </c>
      <c r="F372" s="77">
        <f>_xll.qlYieldTSZeroRate($C$3,B372,"Act/365 (Fixed)","Compounded",,TRUE)</f>
        <v>4.2451104615658597E-2</v>
      </c>
      <c r="G372" s="77">
        <f>_xll.qlYieldTSForwardRate($C$4,B372,B372,"Act/365 (fixed)","Continuous",,TRUE)</f>
        <v>4.2903961261360382E-2</v>
      </c>
    </row>
    <row r="373" spans="2:7">
      <c r="B373" s="111">
        <f>_xll.qlCalendarAdvance("Null",B372,"1m")</f>
        <v>54302</v>
      </c>
      <c r="C373" s="112">
        <f t="shared" si="7"/>
        <v>28.93972602739726</v>
      </c>
      <c r="D373" s="77">
        <f>_xll.qlYieldTSForwardRate($C$3,B373,B373,"Act/365 (fixed)","Continuous",,TRUE)</f>
        <v>4.2999999998820135E-2</v>
      </c>
      <c r="E373" s="77">
        <f>_xll.qlYieldTSZeroRate($C$3,B373,"Act/365 (Fixed)","Continuous",,TRUE)</f>
        <v>4.1578954264575724E-2</v>
      </c>
      <c r="F373" s="77">
        <f>_xll.qlYieldTSZeroRate($C$3,B373,"Act/365 (Fixed)","Compounded",,TRUE)</f>
        <v>4.2455464906926643E-2</v>
      </c>
      <c r="G373" s="77">
        <f>_xll.qlYieldTSForwardRate($C$4,B373,B373,"Act/365 (fixed)","Continuous",,TRUE)</f>
        <v>4.2904792510638286E-2</v>
      </c>
    </row>
    <row r="374" spans="2:7">
      <c r="B374" s="111">
        <f>_xll.qlCalendarAdvance("Null",B373,"1m")</f>
        <v>54332</v>
      </c>
      <c r="C374" s="112">
        <f t="shared" si="7"/>
        <v>29.021917808219179</v>
      </c>
      <c r="D374" s="77">
        <f>_xll.qlYieldTSForwardRate($C$3,B374,B374,"Act/365 (fixed)","Continuous",,TRUE)</f>
        <v>4.2999999998820135E-2</v>
      </c>
      <c r="E374" s="77">
        <f>_xll.qlYieldTSZeroRate($C$3,B374,"Act/365 (Fixed)","Continuous",,TRUE)</f>
        <v>4.1582978749807736E-2</v>
      </c>
      <c r="F374" s="77">
        <f>_xll.qlYieldTSZeroRate($C$3,B374,"Act/365 (Fixed)","Compounded",,TRUE)</f>
        <v>4.2459660261992438E-2</v>
      </c>
      <c r="G374" s="77">
        <f>_xll.qlYieldTSForwardRate($C$4,B374,B374,"Act/365 (fixed)","Continuous",,TRUE)</f>
        <v>4.2906041499520806E-2</v>
      </c>
    </row>
    <row r="375" spans="2:7">
      <c r="B375" s="111">
        <f>_xll.qlCalendarAdvance("Null",B374,"1m")</f>
        <v>54363</v>
      </c>
      <c r="C375" s="112">
        <f t="shared" si="7"/>
        <v>29.106849315068494</v>
      </c>
      <c r="D375" s="77">
        <f>_xll.qlYieldTSForwardRate($C$3,B375,B375,"Act/365 (fixed)","Continuous",,TRUE)</f>
        <v>4.3000000001040574E-2</v>
      </c>
      <c r="E375" s="77">
        <f>_xll.qlYieldTSZeroRate($C$3,B375,"Act/365 (Fixed)","Continuous",,TRUE)</f>
        <v>4.1587113506844249E-2</v>
      </c>
      <c r="F375" s="77">
        <f>_xll.qlYieldTSZeroRate($C$3,B375,"Act/365 (Fixed)","Compounded",,TRUE)</f>
        <v>4.2463970588318967E-2</v>
      </c>
      <c r="G375" s="77">
        <f>_xll.qlYieldTSForwardRate($C$4,B375,B375,"Act/365 (fixed)","Continuous",,TRUE)</f>
        <v>4.2907797491776395E-2</v>
      </c>
    </row>
    <row r="376" spans="2:7">
      <c r="B376" s="111">
        <f>_xll.qlCalendarAdvance("Null",B375,"1m")</f>
        <v>54393</v>
      </c>
      <c r="C376" s="112">
        <f t="shared" si="7"/>
        <v>29.18904109589041</v>
      </c>
      <c r="D376" s="77">
        <f>_xll.qlYieldTSForwardRate($C$3,B376,B376,"Act/365 (fixed)","Continuous",,TRUE)</f>
        <v>4.3000000001040574E-2</v>
      </c>
      <c r="E376" s="77">
        <f>_xll.qlYieldTSZeroRate($C$3,B376,"Act/365 (Fixed)","Continuous",,TRUE)</f>
        <v>4.1591091974536643E-2</v>
      </c>
      <c r="F376" s="77">
        <f>_xll.qlYieldTSZeroRate($C$3,B376,"Act/365 (Fixed)","Compounded",,TRUE)</f>
        <v>4.246811800579664E-2</v>
      </c>
      <c r="G376" s="77">
        <f>_xll.qlYieldTSForwardRate($C$4,B376,B376,"Act/365 (fixed)","Continuous",,TRUE)</f>
        <v>4.290995295388448E-2</v>
      </c>
    </row>
    <row r="377" spans="2:7">
      <c r="B377" s="111">
        <f>_xll.qlCalendarAdvance("Null",B376,"1m")</f>
        <v>54424</v>
      </c>
      <c r="C377" s="112">
        <f t="shared" si="7"/>
        <v>29.273972602739725</v>
      </c>
      <c r="D377" s="77">
        <f>_xll.qlYieldTSForwardRate($C$3,B377,B377,"Act/365 (fixed)","Continuous",,TRUE)</f>
        <v>4.2999999998820135E-2</v>
      </c>
      <c r="E377" s="77">
        <f>_xll.qlYieldTSZeroRate($C$3,B377,"Act/365 (Fixed)","Continuous",,TRUE)</f>
        <v>4.1595179587900169E-2</v>
      </c>
      <c r="F377" s="77">
        <f>_xll.qlYieldTSZeroRate($C$3,B377,"Act/365 (Fixed)","Compounded",,TRUE)</f>
        <v>4.2472379221115908E-2</v>
      </c>
      <c r="G377" s="77">
        <f>_xll.qlYieldTSForwardRate($C$4,B377,B377,"Act/365 (fixed)","Continuous",,TRUE)</f>
        <v>4.2912657596556804E-2</v>
      </c>
    </row>
    <row r="378" spans="2:7">
      <c r="B378" s="111">
        <f>_xll.qlCalendarAdvance("Null",B377,"1m")</f>
        <v>54455</v>
      </c>
      <c r="C378" s="112">
        <f t="shared" si="7"/>
        <v>29.358904109589041</v>
      </c>
      <c r="D378" s="77">
        <f>_xll.qlYieldTSForwardRate($C$3,B378,B378,"Act/365 (fixed)","Continuous",,TRUE)</f>
        <v>4.3000000001040574E-2</v>
      </c>
      <c r="E378" s="77">
        <f>_xll.qlYieldTSZeroRate($C$3,B378,"Act/365 (Fixed)","Continuous",,TRUE)</f>
        <v>4.1599243551391683E-2</v>
      </c>
      <c r="F378" s="77">
        <f>_xll.qlYieldTSZeroRate($C$3,B378,"Act/365 (Fixed)","Compounded",,TRUE)</f>
        <v>4.2476615799414752E-2</v>
      </c>
      <c r="G378" s="77">
        <f>_xll.qlYieldTSForwardRate($C$4,B378,B378,"Act/365 (fixed)","Continuous",,TRUE)</f>
        <v>4.2915853497485834E-2</v>
      </c>
    </row>
    <row r="379" spans="2:7">
      <c r="B379" s="111">
        <f>_xll.qlCalendarAdvance("Null",B378,"1m")</f>
        <v>54483</v>
      </c>
      <c r="C379" s="112">
        <f t="shared" si="7"/>
        <v>29.435616438356163</v>
      </c>
      <c r="D379" s="77">
        <f>_xll.qlYieldTSForwardRate($C$3,B379,B379,"Act/365 (fixed)","Continuous",,TRUE)</f>
        <v>4.2999999998820135E-2</v>
      </c>
      <c r="E379" s="77">
        <f>_xll.qlYieldTSZeroRate($C$3,B379,"Act/365 (Fixed)","Continuous",,TRUE)</f>
        <v>4.1602894070803552E-2</v>
      </c>
      <c r="F379" s="77">
        <f>_xll.qlYieldTSZeroRate($C$3,B379,"Act/365 (Fixed)","Compounded",,TRUE)</f>
        <v>4.2480421387483203E-2</v>
      </c>
      <c r="G379" s="77">
        <f>_xll.qlYieldTSForwardRate($C$4,B379,B379,"Act/365 (fixed)","Continuous",,TRUE)</f>
        <v>4.2919167503432318E-2</v>
      </c>
    </row>
    <row r="380" spans="2:7">
      <c r="B380" s="111">
        <f>_xll.qlCalendarAdvance("Null",B379,"1m")</f>
        <v>54514</v>
      </c>
      <c r="C380" s="112">
        <f t="shared" si="7"/>
        <v>29.520547945205479</v>
      </c>
      <c r="D380" s="77">
        <f>_xll.qlYieldTSForwardRate($C$3,B380,B380,"Act/365 (fixed)","Continuous",,TRUE)</f>
        <v>4.2999999998820135E-2</v>
      </c>
      <c r="E380" s="77">
        <f>_xll.qlYieldTSZeroRate($C$3,B380,"Act/365 (Fixed)","Continuous",,TRUE)</f>
        <v>4.1606913586701932E-2</v>
      </c>
      <c r="F380" s="77">
        <f>_xll.qlYieldTSZeroRate($C$3,B380,"Act/365 (Fixed)","Compounded",,TRUE)</f>
        <v>4.2484611662532146E-2</v>
      </c>
      <c r="G380" s="77">
        <f>_xll.qlYieldTSForwardRate($C$4,B380,B380,"Act/365 (fixed)","Continuous",,TRUE)</f>
        <v>4.2923315447602688E-2</v>
      </c>
    </row>
    <row r="381" spans="2:7">
      <c r="B381" s="111">
        <f>_xll.qlCalendarAdvance("Null",B380,"1m")</f>
        <v>54544</v>
      </c>
      <c r="C381" s="112">
        <f t="shared" si="7"/>
        <v>29.602739726027398</v>
      </c>
      <c r="D381" s="77">
        <f>_xll.qlYieldTSForwardRate($C$3,B381,B381,"Act/365 (fixed)","Continuous",,TRUE)</f>
        <v>4.2999999998820135E-2</v>
      </c>
      <c r="E381" s="77">
        <f>_xll.qlYieldTSZeroRate($C$3,B381,"Act/365 (Fixed)","Continuous",,TRUE)</f>
        <v>4.1610781480491743E-2</v>
      </c>
      <c r="F381" s="77">
        <f>_xll.qlYieldTSZeroRate($C$3,B381,"Act/365 (Fixed)","Compounded",,TRUE)</f>
        <v>4.2488643890085775E-2</v>
      </c>
      <c r="G381" s="77">
        <f>_xll.qlYieldTSForwardRate($C$4,B381,B381,"Act/365 (fixed)","Continuous",,TRUE)</f>
        <v>4.2927814336203789E-2</v>
      </c>
    </row>
    <row r="382" spans="2:7">
      <c r="B382" s="111">
        <f>_xll.qlCalendarAdvance("Null",B381,"1m")</f>
        <v>54575</v>
      </c>
      <c r="C382" s="112">
        <f t="shared" si="7"/>
        <v>29.687671232876713</v>
      </c>
      <c r="D382" s="77">
        <f>_xll.qlYieldTSForwardRate($C$3,B382,B382,"Act/365 (fixed)","Continuous",,TRUE)</f>
        <v>4.2999999998820135E-2</v>
      </c>
      <c r="E382" s="77">
        <f>_xll.qlYieldTSZeroRate($C$3,B382,"Act/365 (Fixed)","Continuous",,TRUE)</f>
        <v>4.1614755804421685E-2</v>
      </c>
      <c r="F382" s="77">
        <f>_xll.qlYieldTSZeroRate($C$3,B382,"Act/365 (Fixed)","Compounded",,TRUE)</f>
        <v>4.249278708588311E-2</v>
      </c>
      <c r="G382" s="77">
        <f>_xll.qlYieldTSForwardRate($C$4,B382,B382,"Act/365 (fixed)","Continuous",,TRUE)</f>
        <v>4.293297010541923E-2</v>
      </c>
    </row>
    <row r="383" spans="2:7">
      <c r="B383" s="111">
        <f>_xll.qlCalendarAdvance("Null",B382,"1m")</f>
        <v>54605</v>
      </c>
      <c r="C383" s="112">
        <f t="shared" si="7"/>
        <v>29.769863013698629</v>
      </c>
      <c r="D383" s="77">
        <f>_xll.qlYieldTSForwardRate($C$3,B383,B383,"Act/365 (fixed)","Continuous",,TRUE)</f>
        <v>4.3000000001040574E-2</v>
      </c>
      <c r="E383" s="77">
        <f>_xll.qlYieldTSZeroRate($C$3,B383,"Act/365 (Fixed)","Continuous",,TRUE)</f>
        <v>4.1618580332846801E-2</v>
      </c>
      <c r="F383" s="77">
        <f>_xll.qlYieldTSZeroRate($C$3,B383,"Act/365 (Fixed)","Compounded",,TRUE)</f>
        <v>4.2496774136804527E-2</v>
      </c>
      <c r="G383" s="77">
        <f>_xll.qlYieldTSForwardRate($C$4,B383,B383,"Act/365 (fixed)","Continuous",,TRUE)</f>
        <v>4.2938455873686443E-2</v>
      </c>
    </row>
    <row r="384" spans="2:7">
      <c r="B384" s="111">
        <f>_xll.qlCalendarAdvance("Null",B383,"1m")</f>
        <v>54636</v>
      </c>
      <c r="C384" s="112">
        <f t="shared" si="7"/>
        <v>29.854794520547944</v>
      </c>
      <c r="D384" s="77">
        <f>_xll.qlYieldTSForwardRate($C$3,B384,B384,"Act/365 (fixed)","Continuous",,TRUE)</f>
        <v>4.3000000001040574E-2</v>
      </c>
      <c r="E384" s="77">
        <f>_xll.qlYieldTSZeroRate($C$3,B384,"Act/365 (Fixed)","Continuous",,TRUE)</f>
        <v>4.1622510222695537E-2</v>
      </c>
      <c r="F384" s="77">
        <f>_xll.qlYieldTSZeroRate($C$3,B384,"Act/365 (Fixed)","Compounded",,TRUE)</f>
        <v>4.2500871042344679E-2</v>
      </c>
      <c r="G384" s="77">
        <f>_xll.qlYieldTSForwardRate($C$4,B384,B384,"Act/365 (fixed)","Continuous",,TRUE)</f>
        <v>4.2944643379824697E-2</v>
      </c>
    </row>
    <row r="385" spans="2:7">
      <c r="B385" s="111">
        <f>_xll.qlCalendarAdvance("Null",B384,"1m")</f>
        <v>54667</v>
      </c>
      <c r="C385" s="112">
        <f t="shared" si="7"/>
        <v>29.93972602739726</v>
      </c>
      <c r="D385" s="77">
        <f>_xll.qlYieldTSForwardRate($C$3,B385,B385,"Act/365 (fixed)","Continuous",,TRUE)</f>
        <v>4.2999999998820135E-2</v>
      </c>
      <c r="E385" s="77">
        <f>_xll.qlYieldTSZeroRate($C$3,B385,"Act/365 (Fixed)","Continuous",,TRUE)</f>
        <v>4.1626417816317103E-2</v>
      </c>
      <c r="F385" s="77">
        <f>_xll.qlYieldTSZeroRate($C$3,B385,"Act/365 (Fixed)","Compounded",,TRUE)</f>
        <v>4.2504944720058058E-2</v>
      </c>
      <c r="G385" s="77">
        <f>_xll.qlYieldTSForwardRate($C$4,B385,B385,"Act/365 (fixed)","Continuous",,TRUE)</f>
        <v>4.295136436581512E-2</v>
      </c>
    </row>
    <row r="386" spans="2:7">
      <c r="B386" s="114">
        <f>_xll.qlCalendarAdvance("Null",B385,"1m")</f>
        <v>54697</v>
      </c>
      <c r="C386" s="115">
        <f t="shared" si="7"/>
        <v>30.021917808219179</v>
      </c>
      <c r="D386" s="78">
        <f>_xll.qlYieldTSForwardRate($C$3,B386,B386,"Act/365 (fixed)","Continuous",,TRUE)</f>
        <v>4.2999999996599696E-2</v>
      </c>
      <c r="E386" s="78">
        <f>_xll.qlYieldTSZeroRate($C$3,B386,"Act/365 (Fixed)","Continuous",,TRUE)</f>
        <v>4.1630178307785488E-2</v>
      </c>
      <c r="F386" s="78">
        <f>_xll.qlYieldTSZeroRate($C$3,B386,"Act/365 (Fixed)","Compounded",,TRUE)</f>
        <v>4.2508865058379586E-2</v>
      </c>
      <c r="G386" s="78">
        <f>_xll.qlYieldTSForwardRate($C$4,B386,B386,"Act/365 (fixed)","Continuous",,TRUE)</f>
        <v>4.2958381209423004E-2</v>
      </c>
    </row>
    <row r="387" spans="2:7">
      <c r="C387" s="1"/>
      <c r="D387" s="2"/>
    </row>
    <row r="388" spans="2:7">
      <c r="C388" s="1"/>
      <c r="D388" s="2"/>
    </row>
    <row r="389" spans="2:7">
      <c r="C389" s="1"/>
      <c r="D389" s="2"/>
    </row>
    <row r="390" spans="2:7">
      <c r="C390" s="1"/>
      <c r="D390" s="2"/>
    </row>
    <row r="391" spans="2:7">
      <c r="C391" s="1"/>
      <c r="D391" s="2"/>
    </row>
    <row r="392" spans="2:7">
      <c r="C392" s="1"/>
      <c r="D392" s="2"/>
    </row>
    <row r="393" spans="2:7">
      <c r="C393" s="1"/>
      <c r="D393" s="2"/>
    </row>
    <row r="394" spans="2:7">
      <c r="C394" s="1"/>
      <c r="D394" s="2"/>
    </row>
    <row r="395" spans="2:7">
      <c r="C395" s="1"/>
      <c r="D395" s="2"/>
    </row>
    <row r="396" spans="2:7">
      <c r="C396" s="1"/>
      <c r="D396" s="2"/>
    </row>
    <row r="397" spans="2:7">
      <c r="C397" s="1"/>
      <c r="D397" s="2"/>
    </row>
    <row r="398" spans="2:7">
      <c r="C398" s="1"/>
      <c r="D398" s="2"/>
    </row>
    <row r="399" spans="2:7">
      <c r="C399" s="1"/>
      <c r="D399" s="2"/>
    </row>
    <row r="400" spans="2:7">
      <c r="C400" s="1"/>
      <c r="D400" s="2"/>
    </row>
    <row r="401" spans="3:4">
      <c r="C401" s="1"/>
      <c r="D401" s="2"/>
    </row>
    <row r="402" spans="3:4">
      <c r="C402" s="1"/>
      <c r="D402" s="2"/>
    </row>
    <row r="403" spans="3:4">
      <c r="C403" s="1"/>
      <c r="D403" s="2"/>
    </row>
    <row r="404" spans="3:4">
      <c r="C404" s="1"/>
      <c r="D404" s="2"/>
    </row>
    <row r="405" spans="3:4">
      <c r="C405" s="1"/>
      <c r="D405" s="2"/>
    </row>
    <row r="406" spans="3:4">
      <c r="C406" s="1"/>
      <c r="D406" s="2"/>
    </row>
    <row r="407" spans="3:4">
      <c r="C407" s="1"/>
      <c r="D407" s="2"/>
    </row>
    <row r="408" spans="3:4">
      <c r="C408" s="1"/>
      <c r="D408" s="2"/>
    </row>
    <row r="409" spans="3:4">
      <c r="C409" s="1"/>
      <c r="D409" s="2"/>
    </row>
    <row r="410" spans="3:4">
      <c r="C410" s="1"/>
      <c r="D410" s="2"/>
    </row>
    <row r="411" spans="3:4">
      <c r="C411" s="1"/>
      <c r="D411" s="2"/>
    </row>
    <row r="412" spans="3:4">
      <c r="C412" s="1"/>
      <c r="D412" s="2"/>
    </row>
    <row r="413" spans="3:4">
      <c r="C413" s="1"/>
      <c r="D413" s="2"/>
    </row>
    <row r="414" spans="3:4">
      <c r="C414" s="1"/>
      <c r="D414" s="2"/>
    </row>
    <row r="415" spans="3:4">
      <c r="C415" s="1"/>
      <c r="D415" s="2"/>
    </row>
    <row r="416" spans="3:4">
      <c r="C416" s="1"/>
      <c r="D416" s="2"/>
    </row>
    <row r="417" spans="3:4">
      <c r="C417" s="1"/>
      <c r="D417" s="2"/>
    </row>
    <row r="418" spans="3:4">
      <c r="C418" s="1"/>
      <c r="D418" s="2"/>
    </row>
    <row r="419" spans="3:4">
      <c r="C419" s="1"/>
      <c r="D419" s="2"/>
    </row>
    <row r="420" spans="3:4">
      <c r="C420" s="1"/>
      <c r="D420" s="2"/>
    </row>
    <row r="421" spans="3:4">
      <c r="C421" s="1"/>
      <c r="D421" s="2"/>
    </row>
    <row r="422" spans="3:4">
      <c r="C422" s="1"/>
      <c r="D422" s="2"/>
    </row>
    <row r="423" spans="3:4">
      <c r="C423" s="1"/>
      <c r="D423" s="2"/>
    </row>
    <row r="424" spans="3:4">
      <c r="C424" s="1"/>
      <c r="D424" s="2"/>
    </row>
    <row r="425" spans="3:4">
      <c r="C425" s="1"/>
      <c r="D425" s="2"/>
    </row>
    <row r="426" spans="3:4">
      <c r="C426" s="1"/>
      <c r="D426" s="2"/>
    </row>
    <row r="427" spans="3:4">
      <c r="C427" s="1"/>
      <c r="D427" s="2"/>
    </row>
    <row r="428" spans="3:4">
      <c r="C428" s="1"/>
      <c r="D428" s="2"/>
    </row>
    <row r="429" spans="3:4">
      <c r="C429" s="1"/>
      <c r="D429" s="2"/>
    </row>
    <row r="430" spans="3:4">
      <c r="C430" s="1"/>
      <c r="D430" s="2"/>
    </row>
    <row r="431" spans="3:4">
      <c r="C431" s="1"/>
      <c r="D431" s="2"/>
    </row>
    <row r="432" spans="3:4">
      <c r="C432" s="1"/>
      <c r="D432" s="2"/>
    </row>
    <row r="433" spans="3:4">
      <c r="C433" s="1"/>
      <c r="D433" s="2"/>
    </row>
    <row r="434" spans="3:4">
      <c r="C434" s="1"/>
      <c r="D434" s="2"/>
    </row>
    <row r="435" spans="3:4">
      <c r="C435" s="1"/>
      <c r="D435" s="2"/>
    </row>
    <row r="436" spans="3:4">
      <c r="C436" s="1"/>
      <c r="D436" s="2"/>
    </row>
    <row r="437" spans="3:4">
      <c r="C437" s="1"/>
      <c r="D437" s="2"/>
    </row>
    <row r="438" spans="3:4">
      <c r="C438" s="1"/>
      <c r="D438" s="2"/>
    </row>
    <row r="439" spans="3:4">
      <c r="C439" s="1"/>
      <c r="D439" s="2"/>
    </row>
    <row r="440" spans="3:4">
      <c r="C440" s="1"/>
      <c r="D440" s="2"/>
    </row>
    <row r="441" spans="3:4">
      <c r="C441" s="1"/>
      <c r="D441" s="2"/>
    </row>
    <row r="442" spans="3:4">
      <c r="C442" s="1"/>
      <c r="D442" s="2"/>
    </row>
    <row r="443" spans="3:4">
      <c r="C443" s="1"/>
      <c r="D443" s="2"/>
    </row>
    <row r="444" spans="3:4">
      <c r="C444" s="1"/>
      <c r="D444" s="2"/>
    </row>
    <row r="445" spans="3:4">
      <c r="C445" s="1"/>
      <c r="D445" s="2"/>
    </row>
    <row r="446" spans="3:4">
      <c r="C446" s="1"/>
      <c r="D446" s="2"/>
    </row>
    <row r="447" spans="3:4">
      <c r="C447" s="1"/>
      <c r="D447" s="2"/>
    </row>
    <row r="448" spans="3:4">
      <c r="C448" s="1"/>
      <c r="D448" s="2"/>
    </row>
    <row r="449" spans="3:4">
      <c r="C449" s="1"/>
      <c r="D449" s="2"/>
    </row>
    <row r="450" spans="3:4">
      <c r="C450" s="1"/>
      <c r="D450" s="2"/>
    </row>
    <row r="451" spans="3:4">
      <c r="C451" s="1"/>
      <c r="D451" s="2"/>
    </row>
    <row r="452" spans="3:4">
      <c r="C452" s="1"/>
      <c r="D452" s="2"/>
    </row>
    <row r="453" spans="3:4">
      <c r="C453" s="1"/>
      <c r="D453" s="2"/>
    </row>
    <row r="454" spans="3:4">
      <c r="C454" s="1"/>
      <c r="D454" s="2"/>
    </row>
    <row r="455" spans="3:4">
      <c r="C455" s="1"/>
      <c r="D455" s="2"/>
    </row>
    <row r="456" spans="3:4">
      <c r="C456" s="1"/>
      <c r="D456" s="2"/>
    </row>
    <row r="457" spans="3:4">
      <c r="C457" s="1"/>
      <c r="D457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F458"/>
  <sheetViews>
    <sheetView showGridLines="0" topLeftCell="B1" zoomScale="85" zoomScaleNormal="85" workbookViewId="0">
      <selection activeCell="C2" sqref="C2"/>
    </sheetView>
  </sheetViews>
  <sheetFormatPr defaultRowHeight="12.5"/>
  <cols>
    <col min="2" max="2" width="12.90625" customWidth="1"/>
    <col min="3" max="3" width="10.08984375" bestFit="1" customWidth="1"/>
    <col min="4" max="4" width="12.6328125" bestFit="1" customWidth="1"/>
    <col min="5" max="5" width="13.6328125" bestFit="1" customWidth="1"/>
    <col min="6" max="6" width="15.1796875" customWidth="1"/>
    <col min="7" max="7" width="13.90625" bestFit="1" customWidth="1"/>
    <col min="8" max="8" width="11.81640625" customWidth="1"/>
  </cols>
  <sheetData>
    <row r="2" spans="2:6" ht="13">
      <c r="B2" s="67" t="s">
        <v>1</v>
      </c>
      <c r="C2" s="100">
        <f>_xll.qlSettingsEvaluationDate()</f>
        <v>43739</v>
      </c>
      <c r="D2" s="254" t="s">
        <v>164</v>
      </c>
    </row>
    <row r="3" spans="2:6" ht="13">
      <c r="B3" s="68" t="s">
        <v>77</v>
      </c>
      <c r="C3" s="102" t="str">
        <f>_xll.qlInterpolatedYieldCurve(,C8:C23,F8:F23,"Null","Act/365 (fixed)",,,"ForwardRate","Linear",,D2)</f>
        <v>obj_000a9#0008</v>
      </c>
      <c r="D3" s="103"/>
    </row>
    <row r="4" spans="2:6" ht="13">
      <c r="B4" s="12" t="s">
        <v>78</v>
      </c>
      <c r="C4" s="104" t="str">
        <f>_xll.qlInterpolatedYieldCurve(,C8:C23,F8:F23,"Null","Act/365 (fixed)",,,"ForwardRate","CubicNaturalSpline",,D2)</f>
        <v>obj_0000c#0008</v>
      </c>
      <c r="D4" s="105"/>
    </row>
    <row r="5" spans="2:6" ht="13">
      <c r="B5" s="12" t="s">
        <v>158</v>
      </c>
      <c r="C5" s="104" t="str">
        <f>_xll.qlInterpolatedYieldCurve(,C8:C23,F8:F23,"Null","Act/365 (fixed)",,,"ForwardRate","KrugerCubic",,D2)</f>
        <v>obj_00042#0008</v>
      </c>
      <c r="D5" s="105"/>
    </row>
    <row r="7" spans="2:6" ht="13">
      <c r="B7" s="99" t="s">
        <v>79</v>
      </c>
      <c r="C7" s="99" t="s">
        <v>0</v>
      </c>
      <c r="D7" s="99" t="s">
        <v>17</v>
      </c>
      <c r="E7" s="99" t="s">
        <v>22</v>
      </c>
      <c r="F7" s="99" t="s">
        <v>161</v>
      </c>
    </row>
    <row r="8" spans="2:6">
      <c r="B8" s="106" t="s">
        <v>1</v>
      </c>
      <c r="C8" s="107">
        <f>_xll.qlSettingsEvaluationDate()</f>
        <v>43739</v>
      </c>
      <c r="D8" s="108">
        <f t="shared" ref="D8:D23" si="0">(C8-$C$8)/365</f>
        <v>0</v>
      </c>
      <c r="E8" s="109">
        <v>2.7E-2</v>
      </c>
      <c r="F8" s="109">
        <f>E8</f>
        <v>2.7E-2</v>
      </c>
    </row>
    <row r="9" spans="2:6">
      <c r="B9" s="110" t="s">
        <v>2</v>
      </c>
      <c r="C9" s="111">
        <f>_xll.qlCalendarAdvance("Null",$C$8,B9)</f>
        <v>44105</v>
      </c>
      <c r="D9" s="112">
        <f t="shared" si="0"/>
        <v>1.0027397260273974</v>
      </c>
      <c r="E9" s="72">
        <v>2.7E-2</v>
      </c>
      <c r="F9" s="72">
        <f t="shared" ref="F9:F23" si="1">E9</f>
        <v>2.7E-2</v>
      </c>
    </row>
    <row r="10" spans="2:6">
      <c r="B10" s="110" t="s">
        <v>3</v>
      </c>
      <c r="C10" s="111">
        <f>_xll.qlCalendarAdvance("Null",$C$8,B10)</f>
        <v>44470</v>
      </c>
      <c r="D10" s="112">
        <f t="shared" si="0"/>
        <v>2.0027397260273974</v>
      </c>
      <c r="E10" s="72">
        <v>2.75E-2</v>
      </c>
      <c r="F10" s="72">
        <f t="shared" si="1"/>
        <v>2.75E-2</v>
      </c>
    </row>
    <row r="11" spans="2:6">
      <c r="B11" s="110" t="s">
        <v>4</v>
      </c>
      <c r="C11" s="111">
        <f>_xll.qlCalendarAdvance("Null",$C$8,B11)</f>
        <v>44835</v>
      </c>
      <c r="D11" s="112">
        <f t="shared" si="0"/>
        <v>3.0027397260273974</v>
      </c>
      <c r="E11" s="72">
        <v>2.8000000000000001E-2</v>
      </c>
      <c r="F11" s="72">
        <f t="shared" si="1"/>
        <v>2.8000000000000001E-2</v>
      </c>
    </row>
    <row r="12" spans="2:6">
      <c r="B12" s="110" t="s">
        <v>5</v>
      </c>
      <c r="C12" s="111">
        <f>_xll.qlCalendarAdvance("Null",$C$8,B12)</f>
        <v>45200</v>
      </c>
      <c r="D12" s="112">
        <f t="shared" si="0"/>
        <v>4.0027397260273974</v>
      </c>
      <c r="E12" s="72">
        <f t="shared" ref="E12:E18" si="2">1.5*SQRT(D12)%</f>
        <v>3.0010272213963077E-2</v>
      </c>
      <c r="F12" s="72">
        <f t="shared" si="1"/>
        <v>3.0010272213963077E-2</v>
      </c>
    </row>
    <row r="13" spans="2:6">
      <c r="B13" s="110" t="s">
        <v>6</v>
      </c>
      <c r="C13" s="111">
        <f>_xll.qlCalendarAdvance("Null",$C$8,B13)</f>
        <v>45566</v>
      </c>
      <c r="D13" s="112">
        <f t="shared" si="0"/>
        <v>5.0054794520547947</v>
      </c>
      <c r="E13" s="72">
        <f t="shared" si="2"/>
        <v>3.3559393270920869E-2</v>
      </c>
      <c r="F13" s="72">
        <f t="shared" si="1"/>
        <v>3.3559393270920869E-2</v>
      </c>
    </row>
    <row r="14" spans="2:6">
      <c r="B14" s="110" t="s">
        <v>7</v>
      </c>
      <c r="C14" s="111">
        <f>_xll.qlCalendarAdvance("Null",$C$8,B14)</f>
        <v>45931</v>
      </c>
      <c r="D14" s="112">
        <f t="shared" si="0"/>
        <v>6.0054794520547947</v>
      </c>
      <c r="E14" s="72">
        <f t="shared" si="2"/>
        <v>3.6759119640061136E-2</v>
      </c>
      <c r="F14" s="72">
        <f t="shared" si="1"/>
        <v>3.6759119640061136E-2</v>
      </c>
    </row>
    <row r="15" spans="2:6">
      <c r="B15" s="110" t="s">
        <v>8</v>
      </c>
      <c r="C15" s="111">
        <f>_xll.qlCalendarAdvance("Null",$C$8,B15)</f>
        <v>46296</v>
      </c>
      <c r="D15" s="112">
        <f t="shared" si="0"/>
        <v>7.0054794520547947</v>
      </c>
      <c r="E15" s="72">
        <f t="shared" si="2"/>
        <v>3.9701799414035746E-2</v>
      </c>
      <c r="F15" s="72">
        <f t="shared" si="1"/>
        <v>3.9701799414035746E-2</v>
      </c>
    </row>
    <row r="16" spans="2:6">
      <c r="B16" s="110" t="s">
        <v>9</v>
      </c>
      <c r="C16" s="111">
        <f>_xll.qlCalendarAdvance("Null",$C$8,B16)</f>
        <v>46661</v>
      </c>
      <c r="D16" s="112">
        <f t="shared" si="0"/>
        <v>8.0054794520547947</v>
      </c>
      <c r="E16" s="72">
        <f t="shared" si="2"/>
        <v>4.2440933975495032E-2</v>
      </c>
      <c r="F16" s="72">
        <f t="shared" si="1"/>
        <v>4.2440933975495032E-2</v>
      </c>
    </row>
    <row r="17" spans="2:6">
      <c r="B17" s="110" t="s">
        <v>10</v>
      </c>
      <c r="C17" s="111">
        <f>_xll.qlCalendarAdvance("Null",$C$8,B17)</f>
        <v>47027</v>
      </c>
      <c r="D17" s="112">
        <f t="shared" si="0"/>
        <v>9.0082191780821912</v>
      </c>
      <c r="E17" s="72">
        <f t="shared" si="2"/>
        <v>4.5020543256034717E-2</v>
      </c>
      <c r="F17" s="72">
        <f t="shared" si="1"/>
        <v>4.5020543256034717E-2</v>
      </c>
    </row>
    <row r="18" spans="2:6">
      <c r="B18" s="110" t="s">
        <v>11</v>
      </c>
      <c r="C18" s="111">
        <f>_xll.qlCalendarAdvance("Null",$C$8,B18)</f>
        <v>47392</v>
      </c>
      <c r="D18" s="112">
        <f t="shared" si="0"/>
        <v>10.008219178082191</v>
      </c>
      <c r="E18" s="72">
        <f t="shared" si="2"/>
        <v>4.7453654391084496E-2</v>
      </c>
      <c r="F18" s="239">
        <f>E18+1%</f>
        <v>5.7453654391084498E-2</v>
      </c>
    </row>
    <row r="19" spans="2:6">
      <c r="B19" s="110" t="s">
        <v>12</v>
      </c>
      <c r="C19" s="111">
        <f>_xll.qlCalendarAdvance("Null",$C$8,B19)</f>
        <v>48122</v>
      </c>
      <c r="D19" s="112">
        <f t="shared" si="0"/>
        <v>12.008219178082191</v>
      </c>
      <c r="E19" s="72">
        <v>4.7500000000000001E-2</v>
      </c>
      <c r="F19" s="72">
        <f t="shared" si="1"/>
        <v>4.7500000000000001E-2</v>
      </c>
    </row>
    <row r="20" spans="2:6">
      <c r="B20" s="110" t="s">
        <v>13</v>
      </c>
      <c r="C20" s="111">
        <f>_xll.qlCalendarAdvance("Null",$C$8,B20)</f>
        <v>49218</v>
      </c>
      <c r="D20" s="112">
        <f t="shared" si="0"/>
        <v>15.010958904109589</v>
      </c>
      <c r="E20" s="72">
        <v>4.7E-2</v>
      </c>
      <c r="F20" s="72">
        <f t="shared" si="1"/>
        <v>4.7E-2</v>
      </c>
    </row>
    <row r="21" spans="2:6">
      <c r="B21" s="110" t="s">
        <v>14</v>
      </c>
      <c r="C21" s="111">
        <f>_xll.qlCalendarAdvance("Null",$C$8,B21)</f>
        <v>51044</v>
      </c>
      <c r="D21" s="112">
        <f t="shared" si="0"/>
        <v>20.013698630136986</v>
      </c>
      <c r="E21" s="72">
        <v>4.4999999999999998E-2</v>
      </c>
      <c r="F21" s="72">
        <f t="shared" si="1"/>
        <v>4.4999999999999998E-2</v>
      </c>
    </row>
    <row r="22" spans="2:6">
      <c r="B22" s="110" t="s">
        <v>15</v>
      </c>
      <c r="C22" s="111">
        <f>_xll.qlCalendarAdvance("Null",$C$8,B22)</f>
        <v>52871</v>
      </c>
      <c r="D22" s="112">
        <f t="shared" si="0"/>
        <v>25.019178082191782</v>
      </c>
      <c r="E22" s="72">
        <v>4.2999999999999997E-2</v>
      </c>
      <c r="F22" s="72">
        <f t="shared" si="1"/>
        <v>4.2999999999999997E-2</v>
      </c>
    </row>
    <row r="23" spans="2:6">
      <c r="B23" s="113" t="s">
        <v>16</v>
      </c>
      <c r="C23" s="114">
        <f>_xll.qlCalendarAdvance("Null",$C$8,B23)</f>
        <v>54697</v>
      </c>
      <c r="D23" s="115">
        <f t="shared" si="0"/>
        <v>30.021917808219179</v>
      </c>
      <c r="E23" s="73">
        <v>4.2999999999999997E-2</v>
      </c>
      <c r="F23" s="73">
        <f t="shared" si="1"/>
        <v>4.2999999999999997E-2</v>
      </c>
    </row>
    <row r="26" spans="2:6" ht="13">
      <c r="B26" s="99" t="s">
        <v>0</v>
      </c>
      <c r="C26" s="99" t="s">
        <v>17</v>
      </c>
      <c r="D26" s="99" t="s">
        <v>162</v>
      </c>
      <c r="E26" s="99" t="s">
        <v>159</v>
      </c>
      <c r="F26" s="99" t="s">
        <v>160</v>
      </c>
    </row>
    <row r="27" spans="2:6">
      <c r="B27" s="116">
        <f>C8</f>
        <v>43739</v>
      </c>
      <c r="C27" s="108">
        <f t="shared" ref="C27:C90" si="3">(B27-$B$27)/365</f>
        <v>0</v>
      </c>
      <c r="D27" s="76">
        <f>_xll.qlYieldTSForwardRate($C$3,B27,B27,"Act/365 (fixed)","Continuous",,TRUE)</f>
        <v>2.7000000001030824E-2</v>
      </c>
      <c r="E27" s="246">
        <f>_xll.qlYieldTSForwardRate($C$4,B27,B27,"Act/365 (fixed)","Continuous",,TRUE)</f>
        <v>2.6999992247254159E-2</v>
      </c>
      <c r="F27" s="247">
        <f>_xll.qlYieldTSForwardRate($C$5,B27,B27,"Act/365 (fixed)","Continuous",,TRUE)</f>
        <v>2.7000000001030824E-2</v>
      </c>
    </row>
    <row r="28" spans="2:6">
      <c r="B28" s="111">
        <f>_xll.qlCalendarAdvance("Null",B27,"1m")</f>
        <v>43770</v>
      </c>
      <c r="C28" s="112">
        <f t="shared" si="3"/>
        <v>8.4931506849315067E-2</v>
      </c>
      <c r="D28" s="77">
        <f>_xll.qlYieldTSForwardRate($C$3,B28,B28,"Act/365 (fixed)","Continuous",,TRUE)</f>
        <v>2.7000000001030824E-2</v>
      </c>
      <c r="E28" s="248">
        <f>_xll.qlYieldTSForwardRate($C$4,B28,B28,"Act/365 (fixed)","Continuous",,TRUE)</f>
        <v>2.698692566362744E-2</v>
      </c>
      <c r="F28" s="249">
        <f>_xll.qlYieldTSForwardRate($C$5,B28,B28,"Act/365 (fixed)","Continuous",,TRUE)</f>
        <v>2.7000000001030824E-2</v>
      </c>
    </row>
    <row r="29" spans="2:6">
      <c r="B29" s="111">
        <f>_xll.qlCalendarAdvance("Null",B28,"1m")</f>
        <v>43800</v>
      </c>
      <c r="C29" s="112">
        <f t="shared" si="3"/>
        <v>0.16712328767123288</v>
      </c>
      <c r="D29" s="77">
        <f>_xll.qlYieldTSForwardRate($C$3,B29,B29,"Act/365 (fixed)","Continuous",,TRUE)</f>
        <v>2.6999999998810389E-2</v>
      </c>
      <c r="E29" s="248">
        <f>_xll.qlYieldTSForwardRate($C$4,B29,B29,"Act/365 (fixed)","Continuous",,TRUE)</f>
        <v>2.6974806981404278E-2</v>
      </c>
      <c r="F29" s="249">
        <f>_xll.qlYieldTSForwardRate($C$5,B29,B29,"Act/365 (fixed)","Continuous",,TRUE)</f>
        <v>2.6999999998810389E-2</v>
      </c>
    </row>
    <row r="30" spans="2:6">
      <c r="B30" s="111">
        <f>_xll.qlCalendarAdvance("Null",B29,"1m")</f>
        <v>43831</v>
      </c>
      <c r="C30" s="112">
        <f t="shared" si="3"/>
        <v>0.25205479452054796</v>
      </c>
      <c r="D30" s="77">
        <f>_xll.qlYieldTSForwardRate($C$3,B30,B30,"Act/365 (fixed)","Continuous",,TRUE)</f>
        <v>2.6999999998810389E-2</v>
      </c>
      <c r="E30" s="248">
        <f>_xll.qlYieldTSForwardRate($C$4,B30,B30,"Act/365 (fixed)","Continuous",,TRUE)</f>
        <v>2.6963387740006482E-2</v>
      </c>
      <c r="F30" s="249">
        <f>_xll.qlYieldTSForwardRate($C$5,B30,B30,"Act/365 (fixed)","Continuous",,TRUE)</f>
        <v>2.6999999998810389E-2</v>
      </c>
    </row>
    <row r="31" spans="2:6">
      <c r="B31" s="111">
        <f>_xll.qlCalendarAdvance("Null",B30,"1m")</f>
        <v>43862</v>
      </c>
      <c r="C31" s="112">
        <f t="shared" si="3"/>
        <v>0.33698630136986302</v>
      </c>
      <c r="D31" s="77">
        <f>_xll.qlYieldTSForwardRate($C$3,B31,B31,"Act/365 (fixed)","Continuous",,TRUE)</f>
        <v>2.7000000001030824E-2</v>
      </c>
      <c r="E31" s="248">
        <f>_xll.qlYieldTSForwardRate($C$4,B31,B31,"Act/365 (fixed)","Continuous",,TRUE)</f>
        <v>2.6953650728413374E-2</v>
      </c>
      <c r="F31" s="249">
        <f>_xll.qlYieldTSForwardRate($C$5,B31,B31,"Act/365 (fixed)","Continuous",,TRUE)</f>
        <v>2.7000000001030824E-2</v>
      </c>
    </row>
    <row r="32" spans="2:6">
      <c r="B32" s="111">
        <f>_xll.qlCalendarAdvance("Null",B31,"1m")</f>
        <v>43891</v>
      </c>
      <c r="C32" s="112">
        <f t="shared" si="3"/>
        <v>0.41643835616438357</v>
      </c>
      <c r="D32" s="77">
        <f>_xll.qlYieldTSForwardRate($C$3,B32,B32,"Act/365 (fixed)","Continuous",,TRUE)</f>
        <v>2.7000000001030824E-2</v>
      </c>
      <c r="E32" s="248">
        <f>_xll.qlYieldTSForwardRate($C$4,B32,B32,"Act/365 (fixed)","Continuous",,TRUE)</f>
        <v>2.6946566971716025E-2</v>
      </c>
      <c r="F32" s="249">
        <f>_xll.qlYieldTSForwardRate($C$5,B32,B32,"Act/365 (fixed)","Continuous",,TRUE)</f>
        <v>2.7000000001030824E-2</v>
      </c>
    </row>
    <row r="33" spans="2:6">
      <c r="B33" s="111">
        <f>_xll.qlCalendarAdvance("Null",B32,"1m")</f>
        <v>43922</v>
      </c>
      <c r="C33" s="112">
        <f t="shared" si="3"/>
        <v>0.50136986301369868</v>
      </c>
      <c r="D33" s="77">
        <f>_xll.qlYieldTSForwardRate($C$3,B33,B33,"Act/365 (fixed)","Continuous",,TRUE)</f>
        <v>2.7000000001030824E-2</v>
      </c>
      <c r="E33" s="248">
        <f>_xll.qlYieldTSForwardRate($C$4,B33,B33,"Act/365 (fixed)","Continuous",,TRUE)</f>
        <v>2.6941696156654798E-2</v>
      </c>
      <c r="F33" s="249">
        <f>_xll.qlYieldTSForwardRate($C$5,B33,B33,"Act/365 (fixed)","Continuous",,TRUE)</f>
        <v>2.7000000001030824E-2</v>
      </c>
    </row>
    <row r="34" spans="2:6">
      <c r="B34" s="111">
        <f>_xll.qlCalendarAdvance("Null",B33,"1m")</f>
        <v>43952</v>
      </c>
      <c r="C34" s="112">
        <f t="shared" si="3"/>
        <v>0.58356164383561648</v>
      </c>
      <c r="D34" s="77">
        <f>_xll.qlYieldTSForwardRate($C$3,B34,B34,"Act/365 (fixed)","Continuous",,TRUE)</f>
        <v>2.6999999998810389E-2</v>
      </c>
      <c r="E34" s="248">
        <f>_xll.qlYieldTSForwardRate($C$4,B34,B34,"Act/365 (fixed)","Continuous",,TRUE)</f>
        <v>2.6940162660792528E-2</v>
      </c>
      <c r="F34" s="249">
        <f>_xll.qlYieldTSForwardRate($C$5,B34,B34,"Act/365 (fixed)","Continuous",,TRUE)</f>
        <v>2.6999999998810389E-2</v>
      </c>
    </row>
    <row r="35" spans="2:6">
      <c r="B35" s="111">
        <f>_xll.qlCalendarAdvance("Null",B34,"1m")</f>
        <v>43983</v>
      </c>
      <c r="C35" s="112">
        <f t="shared" si="3"/>
        <v>0.66849315068493154</v>
      </c>
      <c r="D35" s="77">
        <f>_xll.qlYieldTSForwardRate($C$3,B35,B35,"Act/365 (fixed)","Continuous",,TRUE)</f>
        <v>2.6999999998810389E-2</v>
      </c>
      <c r="E35" s="248">
        <f>_xll.qlYieldTSForwardRate($C$4,B35,B35,"Act/365 (fixed)","Continuous",,TRUE)</f>
        <v>2.6942415956711291E-2</v>
      </c>
      <c r="F35" s="249">
        <f>_xll.qlYieldTSForwardRate($C$5,B35,B35,"Act/365 (fixed)","Continuous",,TRUE)</f>
        <v>2.6999999998810389E-2</v>
      </c>
    </row>
    <row r="36" spans="2:6">
      <c r="B36" s="111">
        <f>_xll.qlCalendarAdvance("Null",B35,"1m")</f>
        <v>44013</v>
      </c>
      <c r="C36" s="112">
        <f t="shared" si="3"/>
        <v>0.75068493150684934</v>
      </c>
      <c r="D36" s="77">
        <f>_xll.qlYieldTSForwardRate($C$3,B36,B36,"Act/365 (fixed)","Continuous",,TRUE)</f>
        <v>2.7000000001030824E-2</v>
      </c>
      <c r="E36" s="248">
        <f>_xll.qlYieldTSForwardRate($C$4,B36,B36,"Act/365 (fixed)","Continuous",,TRUE)</f>
        <v>2.6948838763899093E-2</v>
      </c>
      <c r="F36" s="249">
        <f>_xll.qlYieldTSForwardRate($C$5,B36,B36,"Act/365 (fixed)","Continuous",,TRUE)</f>
        <v>2.7000000001030824E-2</v>
      </c>
    </row>
    <row r="37" spans="2:6">
      <c r="B37" s="111">
        <f>_xll.qlCalendarAdvance("Null",B36,"1m")</f>
        <v>44044</v>
      </c>
      <c r="C37" s="112">
        <f t="shared" si="3"/>
        <v>0.83561643835616439</v>
      </c>
      <c r="D37" s="77">
        <f>_xll.qlYieldTSForwardRate($C$3,B37,B37,"Act/365 (fixed)","Continuous",,TRUE)</f>
        <v>2.6999999998810389E-2</v>
      </c>
      <c r="E37" s="248">
        <f>_xll.qlYieldTSForwardRate($C$4,B37,B37,"Act/365 (fixed)","Continuous",,TRUE)</f>
        <v>2.6960410969208991E-2</v>
      </c>
      <c r="F37" s="249">
        <f>_xll.qlYieldTSForwardRate($C$5,B37,B37,"Act/365 (fixed)","Continuous",,TRUE)</f>
        <v>2.6999999998810389E-2</v>
      </c>
    </row>
    <row r="38" spans="2:6">
      <c r="B38" s="111">
        <f>_xll.qlCalendarAdvance("Null",B37,"1m")</f>
        <v>44075</v>
      </c>
      <c r="C38" s="112">
        <f t="shared" si="3"/>
        <v>0.92054794520547945</v>
      </c>
      <c r="D38" s="77">
        <f>_xll.qlYieldTSForwardRate($C$3,B38,B38,"Act/365 (fixed)","Continuous",,TRUE)</f>
        <v>2.7000000001030824E-2</v>
      </c>
      <c r="E38" s="248">
        <f>_xll.qlYieldTSForwardRate($C$4,B38,B38,"Act/365 (fixed)","Continuous",,TRUE)</f>
        <v>2.6977560131679137E-2</v>
      </c>
      <c r="F38" s="249">
        <f>_xll.qlYieldTSForwardRate($C$5,B38,B38,"Act/365 (fixed)","Continuous",,TRUE)</f>
        <v>2.7000000001030824E-2</v>
      </c>
    </row>
    <row r="39" spans="2:6">
      <c r="B39" s="111">
        <f>_xll.qlCalendarAdvance("Null",B38,"1m")</f>
        <v>44105</v>
      </c>
      <c r="C39" s="112">
        <f t="shared" si="3"/>
        <v>1.0027397260273974</v>
      </c>
      <c r="D39" s="77">
        <f>_xll.qlYieldTSForwardRate($C$3,B39,B39,"Act/365 (fixed)","Continuous",,TRUE)</f>
        <v>2.7000006249349139E-2</v>
      </c>
      <c r="E39" s="248">
        <f>_xll.qlYieldTSForwardRate($C$4,B39,B39,"Act/365 (fixed)","Continuous",,TRUE)</f>
        <v>2.7000000001030824E-2</v>
      </c>
      <c r="F39" s="249">
        <f>_xll.qlYieldTSForwardRate($C$5,B39,B39,"Act/365 (fixed)","Continuous",,TRUE)</f>
        <v>2.7000000001030824E-2</v>
      </c>
    </row>
    <row r="40" spans="2:6">
      <c r="B40" s="111">
        <f>_xll.qlCalendarAdvance("Null",B39,"1m")</f>
        <v>44136</v>
      </c>
      <c r="C40" s="112">
        <f t="shared" si="3"/>
        <v>1.0876712328767124</v>
      </c>
      <c r="D40" s="77">
        <f>_xll.qlYieldTSForwardRate($C$3,B40,B40,"Act/365 (fixed)","Continuous",,TRUE)</f>
        <v>2.7042465752661879E-2</v>
      </c>
      <c r="E40" s="248">
        <f>_xll.qlYieldTSForwardRate($C$4,B40,B40,"Act/365 (fixed)","Continuous",,TRUE)</f>
        <v>2.7029515935371441E-2</v>
      </c>
      <c r="F40" s="249">
        <f>_xll.qlYieldTSForwardRate($C$5,B40,B40,"Act/365 (fixed)","Continuous",,TRUE)</f>
        <v>2.7006907041748303E-2</v>
      </c>
    </row>
    <row r="41" spans="2:6">
      <c r="B41" s="111">
        <f>_xll.qlCalendarAdvance("Null",B40,"1m")</f>
        <v>44166</v>
      </c>
      <c r="C41" s="112">
        <f t="shared" si="3"/>
        <v>1.1698630136986301</v>
      </c>
      <c r="D41" s="77">
        <f>_xll.qlYieldTSForwardRate($C$3,B41,B41,"Act/365 (fixed)","Continuous",,TRUE)</f>
        <v>2.708356164360071E-2</v>
      </c>
      <c r="E41" s="248">
        <f>_xll.qlYieldTSForwardRate($C$4,B41,B41,"Act/365 (fixed)","Continuous",,TRUE)</f>
        <v>2.7063503125325586E-2</v>
      </c>
      <c r="F41" s="249">
        <f>_xll.qlYieldTSForwardRate($C$5,B41,B41,"Act/365 (fixed)","Continuous",,TRUE)</f>
        <v>2.7025596301356383E-2</v>
      </c>
    </row>
    <row r="42" spans="2:6">
      <c r="B42" s="111">
        <f>_xll.qlCalendarAdvance("Null",B41,"1m")</f>
        <v>44197</v>
      </c>
      <c r="C42" s="112">
        <f t="shared" si="3"/>
        <v>1.2547945205479452</v>
      </c>
      <c r="D42" s="77">
        <f>_xll.qlYieldTSForwardRate($C$3,B42,B42,"Act/365 (fixed)","Continuous",,TRUE)</f>
        <v>2.7126027397097355E-2</v>
      </c>
      <c r="E42" s="248">
        <f>_xll.qlYieldTSForwardRate($C$4,B42,B42,"Act/365 (fixed)","Continuous",,TRUE)</f>
        <v>2.7103247134571701E-2</v>
      </c>
      <c r="F42" s="249">
        <f>_xll.qlYieldTSForwardRate($C$5,B42,B42,"Act/365 (fixed)","Continuous",,TRUE)</f>
        <v>2.7055524895521446E-2</v>
      </c>
    </row>
    <row r="43" spans="2:6">
      <c r="B43" s="111">
        <f>_xll.qlCalendarAdvance("Null",B42,"1m")</f>
        <v>44228</v>
      </c>
      <c r="C43" s="112">
        <f t="shared" si="3"/>
        <v>1.3397260273972602</v>
      </c>
      <c r="D43" s="77">
        <f>_xll.qlYieldTSForwardRate($C$3,B43,B43,"Act/365 (fixed)","Continuous",,TRUE)</f>
        <v>2.7168493150413663E-2</v>
      </c>
      <c r="E43" s="248">
        <f>_xll.qlYieldTSForwardRate($C$4,B43,B43,"Act/365 (fixed)","Continuous",,TRUE)</f>
        <v>2.7146694542297855E-2</v>
      </c>
      <c r="F43" s="249">
        <f>_xll.qlYieldTSForwardRate($C$5,B43,B43,"Act/365 (fixed)","Continuous",,TRUE)</f>
        <v>2.7094425723782904E-2</v>
      </c>
    </row>
    <row r="44" spans="2:6">
      <c r="B44" s="111">
        <f>_xll.qlCalendarAdvance("Null",B43,"1m")</f>
        <v>44256</v>
      </c>
      <c r="C44" s="112">
        <f t="shared" si="3"/>
        <v>1.4164383561643836</v>
      </c>
      <c r="D44" s="77">
        <f>_xll.qlYieldTSForwardRate($C$3,B44,B44,"Act/365 (fixed)","Continuous",,TRUE)</f>
        <v>2.7206849315403885E-2</v>
      </c>
      <c r="E44" s="248">
        <f>_xll.qlYieldTSForwardRate($C$4,B44,B44,"Act/365 (fixed)","Continuous",,TRUE)</f>
        <v>2.7188282775413155E-2</v>
      </c>
      <c r="F44" s="249">
        <f>_xll.qlYieldTSForwardRate($C$5,B44,B44,"Act/365 (fixed)","Continuous",,TRUE)</f>
        <v>2.7135745008538128E-2</v>
      </c>
    </row>
    <row r="45" spans="2:6">
      <c r="B45" s="111">
        <f>_xll.qlCalendarAdvance("Null",B44,"1m")</f>
        <v>44287</v>
      </c>
      <c r="C45" s="112">
        <f t="shared" si="3"/>
        <v>1.5013698630136987</v>
      </c>
      <c r="D45" s="77">
        <f>_xll.qlYieldTSForwardRate($C$3,B45,B45,"Act/365 (fixed)","Continuous",,TRUE)</f>
        <v>2.7249315068376977E-2</v>
      </c>
      <c r="E45" s="248">
        <f>_xll.qlYieldTSForwardRate($C$4,B45,B45,"Act/365 (fixed)","Continuous",,TRUE)</f>
        <v>2.7235996105424574E-2</v>
      </c>
      <c r="F45" s="249">
        <f>_xll.qlYieldTSForwardRate($C$5,B45,B45,"Act/365 (fixed)","Continuous",,TRUE)</f>
        <v>2.7186644306066664E-2</v>
      </c>
    </row>
    <row r="46" spans="2:6">
      <c r="B46" s="111">
        <f>_xll.qlCalendarAdvance("Null",B45,"1m")</f>
        <v>44317</v>
      </c>
      <c r="C46" s="112">
        <f t="shared" si="3"/>
        <v>1.5835616438356164</v>
      </c>
      <c r="D46" s="77">
        <f>_xll.qlYieldTSForwardRate($C$3,B46,B46,"Act/365 (fixed)","Continuous",,TRUE)</f>
        <v>2.7290410958465742E-2</v>
      </c>
      <c r="E46" s="248">
        <f>_xll.qlYieldTSForwardRate($C$4,B46,B46,"Act/365 (fixed)","Continuous",,TRUE)</f>
        <v>2.7282922726658155E-2</v>
      </c>
      <c r="F46" s="249">
        <f>_xll.qlYieldTSForwardRate($C$5,B46,B46,"Act/365 (fixed)","Continuous",,TRUE)</f>
        <v>2.7239382773805079E-2</v>
      </c>
    </row>
    <row r="47" spans="2:6">
      <c r="B47" s="111">
        <f>_xll.qlCalendarAdvance("Null",B46,"1m")</f>
        <v>44348</v>
      </c>
      <c r="C47" s="112">
        <f t="shared" si="3"/>
        <v>1.6684931506849314</v>
      </c>
      <c r="D47" s="77">
        <f>_xll.qlYieldTSForwardRate($C$3,B47,B47,"Act/365 (fixed)","Continuous",,TRUE)</f>
        <v>2.7332876713304421E-2</v>
      </c>
      <c r="E47" s="248">
        <f>_xll.qlYieldTSForwardRate($C$4,B47,B47,"Act/365 (fixed)","Continuous",,TRUE)</f>
        <v>2.7331210839311386E-2</v>
      </c>
      <c r="F47" s="249">
        <f>_xll.qlYieldTSForwardRate($C$5,B47,B47,"Act/365 (fixed)","Continuous",,TRUE)</f>
        <v>2.7295687467726967E-2</v>
      </c>
    </row>
    <row r="48" spans="2:6">
      <c r="B48" s="111">
        <f>_xll.qlCalendarAdvance("Null",B47,"1m")</f>
        <v>44378</v>
      </c>
      <c r="C48" s="112">
        <f t="shared" si="3"/>
        <v>1.7506849315068493</v>
      </c>
      <c r="D48" s="77">
        <f>_xll.qlYieldTSForwardRate($C$3,B48,B48,"Act/365 (fixed)","Continuous",,TRUE)</f>
        <v>2.7373972603049787E-2</v>
      </c>
      <c r="E48" s="248">
        <f>_xll.qlYieldTSForwardRate($C$4,B48,B48,"Act/365 (fixed)","Continuous",,TRUE)</f>
        <v>2.7376806763746632E-2</v>
      </c>
      <c r="F48" s="249">
        <f>_xll.qlYieldTSForwardRate($C$5,B48,B48,"Act/365 (fixed)","Continuous",,TRUE)</f>
        <v>2.7350213517856901E-2</v>
      </c>
    </row>
    <row r="49" spans="2:6">
      <c r="B49" s="111">
        <f>_xll.qlCalendarAdvance("Null",B48,"1m")</f>
        <v>44409</v>
      </c>
      <c r="C49" s="112">
        <f t="shared" si="3"/>
        <v>1.8356164383561644</v>
      </c>
      <c r="D49" s="77">
        <f>_xll.qlYieldTSForwardRate($C$3,B49,B49,"Act/365 (fixed)","Continuous",,TRUE)</f>
        <v>2.7416438355313179E-2</v>
      </c>
      <c r="E49" s="248">
        <f>_xll.qlYieldTSForwardRate($C$4,B49,B49,"Act/365 (fixed)","Continuous",,TRUE)</f>
        <v>2.7421769986929918E-2</v>
      </c>
      <c r="F49" s="249">
        <f>_xll.qlYieldTSForwardRate($C$5,B49,B49,"Act/365 (fixed)","Continuous",,TRUE)</f>
        <v>2.7404807151220713E-2</v>
      </c>
    </row>
    <row r="50" spans="2:6">
      <c r="B50" s="111">
        <f>_xll.qlCalendarAdvance("Null",B49,"1m")</f>
        <v>44440</v>
      </c>
      <c r="C50" s="112">
        <f t="shared" si="3"/>
        <v>1.9205479452054794</v>
      </c>
      <c r="D50" s="77">
        <f>_xll.qlYieldTSForwardRate($C$3,B50,B50,"Act/365 (fixed)","Continuous",,TRUE)</f>
        <v>2.7458904109616673E-2</v>
      </c>
      <c r="E50" s="248">
        <f>_xll.qlYieldTSForwardRate($C$4,B50,B50,"Act/365 (fixed)","Continuous",,TRUE)</f>
        <v>2.7463549039069755E-2</v>
      </c>
      <c r="F50" s="249">
        <f>_xll.qlYieldTSForwardRate($C$5,B50,B50,"Act/365 (fixed)","Continuous",,TRUE)</f>
        <v>2.7455803986865993E-2</v>
      </c>
    </row>
    <row r="51" spans="2:6">
      <c r="B51" s="111">
        <f>_xll.qlCalendarAdvance("Null",B50,"1m")</f>
        <v>44470</v>
      </c>
      <c r="C51" s="112">
        <f t="shared" si="3"/>
        <v>2.0027397260273974</v>
      </c>
      <c r="D51" s="77">
        <f>_xll.qlYieldTSForwardRate($C$3,B51,B51,"Act/365 (fixed)","Continuous",,TRUE)</f>
        <v>2.7500000001064555E-2</v>
      </c>
      <c r="E51" s="248">
        <f>_xll.qlYieldTSForwardRate($C$4,B51,B51,"Act/365 (fixed)","Continuous",,TRUE)</f>
        <v>2.7499999998844116E-2</v>
      </c>
      <c r="F51" s="249">
        <f>_xll.qlYieldTSForwardRate($C$5,B51,B51,"Act/365 (fixed)","Continuous",,TRUE)</f>
        <v>2.7499999998844116E-2</v>
      </c>
    </row>
    <row r="52" spans="2:6">
      <c r="B52" s="111">
        <f>_xll.qlCalendarAdvance("Null",B51,"1m")</f>
        <v>44501</v>
      </c>
      <c r="C52" s="112">
        <f t="shared" si="3"/>
        <v>2.0876712328767124</v>
      </c>
      <c r="D52" s="77">
        <f>_xll.qlYieldTSForwardRate($C$3,B52,B52,"Act/365 (fixed)","Continuous",,TRUE)</f>
        <v>2.7542465752792764E-2</v>
      </c>
      <c r="E52" s="248">
        <f>_xll.qlYieldTSForwardRate($C$4,B52,B52,"Act/365 (fixed)","Continuous",,TRUE)</f>
        <v>2.75330114415148E-2</v>
      </c>
      <c r="F52" s="249">
        <f>_xll.qlYieldTSForwardRate($C$5,B52,B52,"Act/365 (fixed)","Continuous",,TRUE)</f>
        <v>2.7540480135484137E-2</v>
      </c>
    </row>
    <row r="53" spans="2:6">
      <c r="B53" s="111">
        <f>_xll.qlCalendarAdvance("Null",B52,"1m")</f>
        <v>44531</v>
      </c>
      <c r="C53" s="112">
        <f t="shared" si="3"/>
        <v>2.1698630136986301</v>
      </c>
      <c r="D53" s="77">
        <f>_xll.qlYieldTSForwardRate($C$3,B53,B53,"Act/365 (fixed)","Continuous",,TRUE)</f>
        <v>2.7583561643897241E-2</v>
      </c>
      <c r="E53" s="248">
        <f>_xll.qlYieldTSForwardRate($C$4,B53,B53,"Act/365 (fixed)","Continuous",,TRUE)</f>
        <v>2.7561570238107597E-2</v>
      </c>
      <c r="F53" s="249">
        <f>_xll.qlYieldTSForwardRate($C$5,B53,B53,"Act/365 (fixed)","Continuous",,TRUE)</f>
        <v>2.7576563885284438E-2</v>
      </c>
    </row>
    <row r="54" spans="2:6">
      <c r="B54" s="111">
        <f>_xll.qlCalendarAdvance("Null",B53,"1m")</f>
        <v>44562</v>
      </c>
      <c r="C54" s="112">
        <f t="shared" si="3"/>
        <v>2.2547945205479452</v>
      </c>
      <c r="D54" s="77">
        <f>_xll.qlYieldTSForwardRate($C$3,B54,B54,"Act/365 (fixed)","Continuous",,TRUE)</f>
        <v>2.7626027397491034E-2</v>
      </c>
      <c r="E54" s="248">
        <f>_xll.qlYieldTSForwardRate($C$4,B54,B54,"Act/365 (fixed)","Continuous",,TRUE)</f>
        <v>2.758916228172158E-2</v>
      </c>
      <c r="F54" s="249">
        <f>_xll.qlYieldTSForwardRate($C$5,B54,B54,"Act/365 (fixed)","Continuous",,TRUE)</f>
        <v>2.7611733055736221E-2</v>
      </c>
    </row>
    <row r="55" spans="2:6">
      <c r="B55" s="111">
        <f>_xll.qlCalendarAdvance("Null",B54,"1m")</f>
        <v>44593</v>
      </c>
      <c r="C55" s="112">
        <f t="shared" si="3"/>
        <v>2.3397260273972602</v>
      </c>
      <c r="D55" s="77">
        <f>_xll.qlYieldTSForwardRate($C$3,B55,B55,"Act/365 (fixed)","Continuous",,TRUE)</f>
        <v>2.7668493150904493E-2</v>
      </c>
      <c r="E55" s="248">
        <f>_xll.qlYieldTSForwardRate($C$4,B55,B55,"Act/365 (fixed)","Continuous",,TRUE)</f>
        <v>2.7616412055548403E-2</v>
      </c>
      <c r="F55" s="249">
        <f>_xll.qlYieldTSForwardRate($C$5,B55,B55,"Act/365 (fixed)","Continuous",,TRUE)</f>
        <v>2.7645844026575276E-2</v>
      </c>
    </row>
    <row r="56" spans="2:6">
      <c r="B56" s="111">
        <f>_xll.qlCalendarAdvance("Null",B55,"1m")</f>
        <v>44621</v>
      </c>
      <c r="C56" s="112">
        <f t="shared" si="3"/>
        <v>2.4164383561643836</v>
      </c>
      <c r="D56" s="77">
        <f>_xll.qlYieldTSForwardRate($C$3,B56,B56,"Act/365 (fixed)","Continuous",,TRUE)</f>
        <v>2.7706849316197345E-2</v>
      </c>
      <c r="E56" s="248">
        <f>_xll.qlYieldTSForwardRate($C$4,B56,B56,"Act/365 (fixed)","Continuous",,TRUE)</f>
        <v>2.7642082545854933E-2</v>
      </c>
      <c r="F56" s="249">
        <f>_xll.qlYieldTSForwardRate($C$5,B56,B56,"Act/365 (fixed)","Continuous",,TRUE)</f>
        <v>2.7676664154371162E-2</v>
      </c>
    </row>
    <row r="57" spans="2:6">
      <c r="B57" s="111">
        <f>_xll.qlCalendarAdvance("Null",B56,"1m")</f>
        <v>44652</v>
      </c>
      <c r="C57" s="112">
        <f t="shared" si="3"/>
        <v>2.5013698630136987</v>
      </c>
      <c r="D57" s="77">
        <f>_xll.qlYieldTSForwardRate($C$3,B57,B57,"Act/365 (fixed)","Continuous",,TRUE)</f>
        <v>2.7749315069267588E-2</v>
      </c>
      <c r="E57" s="248">
        <f>_xll.qlYieldTSForwardRate($C$4,B57,B57,"Act/365 (fixed)","Continuous",,TRUE)</f>
        <v>2.7673171409063189E-2</v>
      </c>
      <c r="F57" s="249">
        <f>_xll.qlYieldTSForwardRate($C$5,B57,B57,"Act/365 (fixed)","Continuous",,TRUE)</f>
        <v>2.7711816067212028E-2</v>
      </c>
    </row>
    <row r="58" spans="2:6">
      <c r="B58" s="111">
        <f>_xll.qlCalendarAdvance("Null",B57,"1m")</f>
        <v>44682</v>
      </c>
      <c r="C58" s="112">
        <f t="shared" si="3"/>
        <v>2.5835616438356164</v>
      </c>
      <c r="D58" s="77">
        <f>_xll.qlYieldTSForwardRate($C$3,B58,B58,"Act/365 (fixed)","Continuous",,TRUE)</f>
        <v>2.7790410959522005E-2</v>
      </c>
      <c r="E58" s="248">
        <f>_xll.qlYieldTSForwardRate($C$4,B58,B58,"Act/365 (fixed)","Continuous",,TRUE)</f>
        <v>2.7707407843428608E-2</v>
      </c>
      <c r="F58" s="249">
        <f>_xll.qlYieldTSForwardRate($C$5,B58,B58,"Act/365 (fixed)","Continuous",,TRUE)</f>
        <v>2.774787179222226E-2</v>
      </c>
    </row>
    <row r="59" spans="2:6">
      <c r="B59" s="111">
        <f>_xll.qlCalendarAdvance("Null",B58,"1m")</f>
        <v>44713</v>
      </c>
      <c r="C59" s="112">
        <f t="shared" si="3"/>
        <v>2.6684931506849314</v>
      </c>
      <c r="D59" s="77">
        <f>_xll.qlYieldTSForwardRate($C$3,B59,B59,"Act/365 (fixed)","Continuous",,TRUE)</f>
        <v>2.7832876712237397E-2</v>
      </c>
      <c r="E59" s="248">
        <f>_xll.qlYieldTSForwardRate($C$4,B59,B59,"Act/365 (fixed)","Continuous",,TRUE)</f>
        <v>2.774865624032806E-2</v>
      </c>
      <c r="F59" s="249">
        <f>_xll.qlYieldTSForwardRate($C$5,B59,B59,"Act/365 (fixed)","Continuous",,TRUE)</f>
        <v>2.7788311271604711E-2</v>
      </c>
    </row>
    <row r="60" spans="2:6">
      <c r="B60" s="111">
        <f>_xll.qlCalendarAdvance("Null",B59,"1m")</f>
        <v>44743</v>
      </c>
      <c r="C60" s="112">
        <f t="shared" si="3"/>
        <v>2.7506849315068491</v>
      </c>
      <c r="D60" s="77">
        <f>_xll.qlYieldTSForwardRate($C$3,B60,B60,"Act/365 (fixed)","Continuous",,TRUE)</f>
        <v>2.7873972602148404E-2</v>
      </c>
      <c r="E60" s="248">
        <f>_xll.qlYieldTSForwardRate($C$4,B60,B60,"Act/365 (fixed)","Continuous",,TRUE)</f>
        <v>2.7795769713612459E-2</v>
      </c>
      <c r="F60" s="249">
        <f>_xll.qlYieldTSForwardRate($C$5,B60,B60,"Act/365 (fixed)","Continuous",,TRUE)</f>
        <v>2.7831555701505094E-2</v>
      </c>
    </row>
    <row r="61" spans="2:6">
      <c r="B61" s="111">
        <f>_xll.qlCalendarAdvance("Null",B60,"1m")</f>
        <v>44774</v>
      </c>
      <c r="C61" s="112">
        <f t="shared" si="3"/>
        <v>2.8356164383561642</v>
      </c>
      <c r="D61" s="77">
        <f>_xll.qlYieldTSForwardRate($C$3,B61,B61,"Act/365 (fixed)","Continuous",,TRUE)</f>
        <v>2.7916438356729387E-2</v>
      </c>
      <c r="E61" s="248">
        <f>_xll.qlYieldTSForwardRate($C$4,B61,B61,"Act/365 (fixed)","Continuous",,TRUE)</f>
        <v>2.7853471125469279E-2</v>
      </c>
      <c r="F61" s="249">
        <f>_xll.qlYieldTSForwardRate($C$5,B61,B61,"Act/365 (fixed)","Continuous",,TRUE)</f>
        <v>2.7881564270483761E-2</v>
      </c>
    </row>
    <row r="62" spans="2:6">
      <c r="B62" s="111">
        <f>_xll.qlCalendarAdvance("Null",B61,"1m")</f>
        <v>44805</v>
      </c>
      <c r="C62" s="112">
        <f t="shared" si="3"/>
        <v>2.9205479452054797</v>
      </c>
      <c r="D62" s="77">
        <f>_xll.qlYieldTSForwardRate($C$3,B62,B62,"Act/365 (fixed)","Continuous",,TRUE)</f>
        <v>2.7958904108909593E-2</v>
      </c>
      <c r="E62" s="248">
        <f>_xll.qlYieldTSForwardRate($C$4,B62,B62,"Act/365 (fixed)","Continuous",,TRUE)</f>
        <v>2.7921945755877583E-2</v>
      </c>
      <c r="F62" s="249">
        <f>_xll.qlYieldTSForwardRate($C$5,B62,B62,"Act/365 (fixed)","Continuous",,TRUE)</f>
        <v>2.7938076631867318E-2</v>
      </c>
    </row>
    <row r="63" spans="2:6">
      <c r="B63" s="111">
        <f>_xll.qlCalendarAdvance("Null",B62,"1m")</f>
        <v>44835</v>
      </c>
      <c r="C63" s="112">
        <f t="shared" si="3"/>
        <v>3.0027397260273974</v>
      </c>
      <c r="D63" s="77">
        <f>_xll.qlYieldTSForwardRate($C$3,B63,B63,"Act/365 (fixed)","Continuous",,TRUE)</f>
        <v>2.8000018878702574E-2</v>
      </c>
      <c r="E63" s="248">
        <f>_xll.qlYieldTSForwardRate($C$4,B63,B63,"Act/365 (fixed)","Continuous",,TRUE)</f>
        <v>2.800000000052312E-2</v>
      </c>
      <c r="F63" s="249">
        <f>_xll.qlYieldTSForwardRate($C$5,B63,B63,"Act/365 (fixed)","Continuous",,TRUE)</f>
        <v>2.800000000052312E-2</v>
      </c>
    </row>
    <row r="64" spans="2:6">
      <c r="B64" s="111">
        <f>_xll.qlCalendarAdvance("Null",B63,"1m")</f>
        <v>44866</v>
      </c>
      <c r="C64" s="112">
        <f t="shared" si="3"/>
        <v>3.0876712328767124</v>
      </c>
      <c r="D64" s="77">
        <f>_xll.qlYieldTSForwardRate($C$3,B64,B64,"Act/365 (fixed)","Continuous",,TRUE)</f>
        <v>2.8170735448623849E-2</v>
      </c>
      <c r="E64" s="248">
        <f>_xll.qlYieldTSForwardRate($C$4,B64,B64,"Act/365 (fixed)","Continuous",,TRUE)</f>
        <v>2.809415807534044E-2</v>
      </c>
      <c r="F64" s="249">
        <f>_xll.qlYieldTSForwardRate($C$5,B64,B64,"Act/365 (fixed)","Continuous",,TRUE)</f>
        <v>2.8081066026919194E-2</v>
      </c>
    </row>
    <row r="65" spans="2:6">
      <c r="B65" s="111">
        <f>_xll.qlCalendarAdvance("Null",B64,"1m")</f>
        <v>44896</v>
      </c>
      <c r="C65" s="112">
        <f t="shared" si="3"/>
        <v>3.1698630136986301</v>
      </c>
      <c r="D65" s="77">
        <f>_xll.qlYieldTSForwardRate($C$3,B65,B65,"Act/365 (fixed)","Continuous",,TRUE)</f>
        <v>2.8335963301714107E-2</v>
      </c>
      <c r="E65" s="248">
        <f>_xll.qlYieldTSForwardRate($C$4,B65,B65,"Act/365 (fixed)","Continuous",,TRUE)</f>
        <v>2.819863540782417E-2</v>
      </c>
      <c r="F65" s="249">
        <f>_xll.qlYieldTSForwardRate($C$5,B65,B65,"Act/365 (fixed)","Continuous",,TRUE)</f>
        <v>2.8182865300430293E-2</v>
      </c>
    </row>
    <row r="66" spans="2:6">
      <c r="B66" s="111">
        <f>_xll.qlCalendarAdvance("Null",B65,"1m")</f>
        <v>44927</v>
      </c>
      <c r="C66" s="112">
        <f t="shared" si="3"/>
        <v>3.2547945205479452</v>
      </c>
      <c r="D66" s="77">
        <f>_xll.qlYieldTSForwardRate($C$3,B66,B66,"Act/365 (fixed)","Continuous",,TRUE)</f>
        <v>2.8506698750740064E-2</v>
      </c>
      <c r="E66" s="248">
        <f>_xll.qlYieldTSForwardRate($C$4,B66,B66,"Act/365 (fixed)","Continuous",,TRUE)</f>
        <v>2.8320452790590121E-2</v>
      </c>
      <c r="F66" s="249">
        <f>_xll.qlYieldTSForwardRate($C$5,B66,B66,"Act/365 (fixed)","Continuous",,TRUE)</f>
        <v>2.8309839101850236E-2</v>
      </c>
    </row>
    <row r="67" spans="2:6">
      <c r="B67" s="111">
        <f>_xll.qlCalendarAdvance("Null",B66,"1m")</f>
        <v>44958</v>
      </c>
      <c r="C67" s="112">
        <f t="shared" si="3"/>
        <v>3.3397260273972602</v>
      </c>
      <c r="D67" s="77">
        <f>_xll.qlYieldTSForwardRate($C$3,B67,B67,"Act/365 (fixed)","Continuous",,TRUE)</f>
        <v>2.8677434196850964E-2</v>
      </c>
      <c r="E67" s="248">
        <f>_xll.qlYieldTSForwardRate($C$4,B67,B67,"Act/365 (fixed)","Continuous",,TRUE)</f>
        <v>2.8456411373152388E-2</v>
      </c>
      <c r="F67" s="249">
        <f>_xll.qlYieldTSForwardRate($C$5,B67,B67,"Act/365 (fixed)","Continuous",,TRUE)</f>
        <v>2.8456567405672699E-2</v>
      </c>
    </row>
    <row r="68" spans="2:6">
      <c r="B68" s="111">
        <f>_xll.qlCalendarAdvance("Null",B67,"1m")</f>
        <v>44986</v>
      </c>
      <c r="C68" s="112">
        <f t="shared" si="3"/>
        <v>3.4164383561643836</v>
      </c>
      <c r="D68" s="77">
        <f>_xll.qlYieldTSForwardRate($C$3,B68,B68,"Act/365 (fixed)","Continuous",,TRUE)</f>
        <v>2.8831646862368259E-2</v>
      </c>
      <c r="E68" s="248">
        <f>_xll.qlYieldTSForwardRate($C$4,B68,B68,"Act/365 (fixed)","Continuous",,TRUE)</f>
        <v>2.8591414887239971E-2</v>
      </c>
      <c r="F68" s="249">
        <f>_xll.qlYieldTSForwardRate($C$5,B68,B68,"Act/365 (fixed)","Continuous",,TRUE)</f>
        <v>2.8604071246976875E-2</v>
      </c>
    </row>
    <row r="69" spans="2:6">
      <c r="B69" s="111">
        <f>_xll.qlCalendarAdvance("Null",B68,"1m")</f>
        <v>45017</v>
      </c>
      <c r="C69" s="112">
        <f t="shared" si="3"/>
        <v>3.5013698630136987</v>
      </c>
      <c r="D69" s="77">
        <f>_xll.qlYieldTSForwardRate($C$3,B69,B69,"Act/365 (fixed)","Continuous",,TRUE)</f>
        <v>2.9002382309592459E-2</v>
      </c>
      <c r="E69" s="248">
        <f>_xll.qlYieldTSForwardRate($C$4,B69,B69,"Act/365 (fixed)","Continuous",,TRUE)</f>
        <v>2.8754445299690554E-2</v>
      </c>
      <c r="F69" s="249">
        <f>_xll.qlYieldTSForwardRate($C$5,B69,B69,"Act/365 (fixed)","Continuous",,TRUE)</f>
        <v>2.8781739459151218E-2</v>
      </c>
    </row>
    <row r="70" spans="2:6">
      <c r="B70" s="111">
        <f>_xll.qlCalendarAdvance("Null",B69,"1m")</f>
        <v>45047</v>
      </c>
      <c r="C70" s="112">
        <f t="shared" si="3"/>
        <v>3.5835616438356164</v>
      </c>
      <c r="D70" s="77">
        <f>_xll.qlYieldTSForwardRate($C$3,B70,B70,"Act/365 (fixed)","Continuous",,TRUE)</f>
        <v>2.9167610162264233E-2</v>
      </c>
      <c r="E70" s="248">
        <f>_xll.qlYieldTSForwardRate($C$4,B70,B70,"Act/365 (fixed)","Continuous",,TRUE)</f>
        <v>2.8925838409143634E-2</v>
      </c>
      <c r="F70" s="249">
        <f>_xll.qlYieldTSForwardRate($C$5,B70,B70,"Act/365 (fixed)","Continuous",,TRUE)</f>
        <v>2.8965849014732089E-2</v>
      </c>
    </row>
    <row r="71" spans="2:6">
      <c r="B71" s="111">
        <f>_xll.qlCalendarAdvance("Null",B70,"1m")</f>
        <v>45078</v>
      </c>
      <c r="C71" s="112">
        <f t="shared" si="3"/>
        <v>3.6684931506849314</v>
      </c>
      <c r="D71" s="77">
        <f>_xll.qlYieldTSForwardRate($C$3,B71,B71,"Act/365 (fixed)","Continuous",,TRUE)</f>
        <v>2.9338345610413673E-2</v>
      </c>
      <c r="E71" s="248">
        <f>_xll.qlYieldTSForwardRate($C$4,B71,B71,"Act/365 (fixed)","Continuous",,TRUE)</f>
        <v>2.9117076059414857E-2</v>
      </c>
      <c r="F71" s="249">
        <f>_xll.qlYieldTSForwardRate($C$5,B71,B71,"Act/365 (fixed)","Continuous",,TRUE)</f>
        <v>2.9166328544526717E-2</v>
      </c>
    </row>
    <row r="72" spans="2:6">
      <c r="B72" s="111">
        <f>_xll.qlCalendarAdvance("Null",B71,"1m")</f>
        <v>45108</v>
      </c>
      <c r="C72" s="112">
        <f t="shared" si="3"/>
        <v>3.7506849315068491</v>
      </c>
      <c r="D72" s="77">
        <f>_xll.qlYieldTSForwardRate($C$3,B72,B72,"Act/365 (fixed)","Continuous",,TRUE)</f>
        <v>2.9503573464195715E-2</v>
      </c>
      <c r="E72" s="248">
        <f>_xll.qlYieldTSForwardRate($C$4,B72,B72,"Act/365 (fixed)","Continuous",,TRUE)</f>
        <v>2.9315873603226419E-2</v>
      </c>
      <c r="F72" s="249">
        <f>_xll.qlYieldTSForwardRate($C$5,B72,B72,"Act/365 (fixed)","Continuous",,TRUE)</f>
        <v>2.9367998880919021E-2</v>
      </c>
    </row>
    <row r="73" spans="2:6">
      <c r="B73" s="111">
        <f>_xll.qlCalendarAdvance("Null",B72,"1m")</f>
        <v>45139</v>
      </c>
      <c r="C73" s="112">
        <f t="shared" si="3"/>
        <v>3.8356164383561642</v>
      </c>
      <c r="D73" s="77">
        <f>_xll.qlYieldTSForwardRate($C$3,B73,B73,"Act/365 (fixed)","Continuous",,TRUE)</f>
        <v>2.9674308913270386E-2</v>
      </c>
      <c r="E73" s="248">
        <f>_xll.qlYieldTSForwardRate($C$4,B73,B73,"Act/365 (fixed)","Continuous",,TRUE)</f>
        <v>2.9535539845965027E-2</v>
      </c>
      <c r="F73" s="249">
        <f>_xll.qlYieldTSForwardRate($C$5,B73,B73,"Act/365 (fixed)","Continuous",,TRUE)</f>
        <v>2.9581959374643422E-2</v>
      </c>
    </row>
    <row r="74" spans="2:6">
      <c r="B74" s="111">
        <f>_xll.qlCalendarAdvance("Null",B73,"1m")</f>
        <v>45170</v>
      </c>
      <c r="C74" s="112">
        <f t="shared" si="3"/>
        <v>3.9205479452054797</v>
      </c>
      <c r="D74" s="77">
        <f>_xll.qlYieldTSForwardRate($C$3,B74,B74,"Act/365 (fixed)","Continuous",,TRUE)</f>
        <v>2.9845044359430001E-2</v>
      </c>
      <c r="E74" s="248">
        <f>_xll.qlYieldTSForwardRate($C$4,B74,B74,"Act/365 (fixed)","Continuous",,TRUE)</f>
        <v>2.9769738233853538E-2</v>
      </c>
      <c r="F74" s="249">
        <f>_xll.qlYieldTSForwardRate($C$5,B74,B74,"Act/365 (fixed)","Continuous",,TRUE)</f>
        <v>2.9799195174045483E-2</v>
      </c>
    </row>
    <row r="75" spans="2:6">
      <c r="B75" s="111">
        <f>_xll.qlCalendarAdvance("Null",B74,"1m")</f>
        <v>45200</v>
      </c>
      <c r="C75" s="112">
        <f t="shared" si="3"/>
        <v>4.0027397260273974</v>
      </c>
      <c r="D75" s="77">
        <f>_xll.qlYieldTSForwardRate($C$3,B75,B75,"Act/365 (fixed)","Continuous",,TRUE)</f>
        <v>3.0010291327263957E-2</v>
      </c>
      <c r="E75" s="248">
        <f>_xll.qlYieldTSForwardRate($C$4,B75,B75,"Act/365 (fixed)","Continuous",,TRUE)</f>
        <v>3.0010272213721725E-2</v>
      </c>
      <c r="F75" s="249">
        <f>_xll.qlYieldTSForwardRate($C$5,B75,B75,"Act/365 (fixed)","Continuous",,TRUE)</f>
        <v>3.0010272213721725E-2</v>
      </c>
    </row>
    <row r="76" spans="2:6">
      <c r="B76" s="111">
        <f>_xll.qlCalendarAdvance("Null",B75,"1m")</f>
        <v>45231</v>
      </c>
      <c r="C76" s="112">
        <f t="shared" si="3"/>
        <v>4.087671232876712</v>
      </c>
      <c r="D76" s="77">
        <f>_xll.qlYieldTSForwardRate($C$3,B76,B76,"Act/365 (fixed)","Continuous",,TRUE)</f>
        <v>3.0310880828786951E-2</v>
      </c>
      <c r="E76" s="248">
        <f>_xll.qlYieldTSForwardRate($C$4,B76,B76,"Act/365 (fixed)","Continuous",,TRUE)</f>
        <v>3.0272925991245311E-2</v>
      </c>
      <c r="F76" s="249">
        <f>_xll.qlYieldTSForwardRate($C$5,B76,B76,"Act/365 (fixed)","Continuous",,TRUE)</f>
        <v>3.0242663410445295E-2</v>
      </c>
    </row>
    <row r="77" spans="2:6">
      <c r="B77" s="111">
        <f>_xll.qlCalendarAdvance("Null",B76,"1m")</f>
        <v>45261</v>
      </c>
      <c r="C77" s="112">
        <f t="shared" si="3"/>
        <v>4.1698630136986301</v>
      </c>
      <c r="D77" s="77">
        <f>_xll.qlYieldTSForwardRate($C$3,B77,B77,"Act/365 (fixed)","Continuous",,TRUE)</f>
        <v>3.0601792390240381E-2</v>
      </c>
      <c r="E77" s="248">
        <f>_xll.qlYieldTSForwardRate($C$4,B77,B77,"Act/365 (fixed)","Continuous",,TRUE)</f>
        <v>3.0539369350042856E-2</v>
      </c>
      <c r="F77" s="249">
        <f>_xll.qlYieldTSForwardRate($C$5,B77,B77,"Act/365 (fixed)","Continuous",,TRUE)</f>
        <v>3.0492748682875794E-2</v>
      </c>
    </row>
    <row r="78" spans="2:6">
      <c r="B78" s="111">
        <f>_xll.qlCalendarAdvance("Null",B77,"1m")</f>
        <v>45292</v>
      </c>
      <c r="C78" s="112">
        <f t="shared" si="3"/>
        <v>4.2547945205479456</v>
      </c>
      <c r="D78" s="77">
        <f>_xll.qlYieldTSForwardRate($C$3,B78,B78,"Act/365 (fixed)","Continuous",,TRUE)</f>
        <v>3.0902401005287516E-2</v>
      </c>
      <c r="E78" s="248">
        <f>_xll.qlYieldTSForwardRate($C$4,B78,B78,"Act/365 (fixed)","Continuous",,TRUE)</f>
        <v>3.0825627790200684E-2</v>
      </c>
      <c r="F78" s="249">
        <f>_xll.qlYieldTSForwardRate($C$5,B78,B78,"Act/365 (fixed)","Continuous",,TRUE)</f>
        <v>3.0773095504715926E-2</v>
      </c>
    </row>
    <row r="79" spans="2:6">
      <c r="B79" s="111">
        <f>_xll.qlCalendarAdvance("Null",B78,"1m")</f>
        <v>45323</v>
      </c>
      <c r="C79" s="112">
        <f t="shared" si="3"/>
        <v>4.3397260273972602</v>
      </c>
      <c r="D79" s="77">
        <f>_xll.qlYieldTSForwardRate($C$3,B79,B79,"Act/365 (fixed)","Continuous",,TRUE)</f>
        <v>3.1203009617959413E-2</v>
      </c>
      <c r="E79" s="248">
        <f>_xll.qlYieldTSForwardRate($C$4,B79,B79,"Act/365 (fixed)","Continuous",,TRUE)</f>
        <v>3.1121233225116673E-2</v>
      </c>
      <c r="F79" s="249">
        <f>_xll.qlYieldTSForwardRate($C$5,B79,B79,"Act/365 (fixed)","Continuous",,TRUE)</f>
        <v>3.1071554951560498E-2</v>
      </c>
    </row>
    <row r="80" spans="2:6">
      <c r="B80" s="111">
        <f>_xll.qlCalendarAdvance("Null",B79,"1m")</f>
        <v>45352</v>
      </c>
      <c r="C80" s="112">
        <f t="shared" si="3"/>
        <v>4.419178082191781</v>
      </c>
      <c r="D80" s="77">
        <f>_xll.qlYieldTSForwardRate($C$3,B80,B80,"Act/365 (fixed)","Continuous",,TRUE)</f>
        <v>3.1484224127503749E-2</v>
      </c>
      <c r="E80" s="248">
        <f>_xll.qlYieldTSForwardRate($C$4,B80,B80,"Act/365 (fixed)","Continuous",,TRUE)</f>
        <v>3.1404647952277848E-2</v>
      </c>
      <c r="F80" s="249">
        <f>_xll.qlYieldTSForwardRate($C$5,B80,B80,"Act/365 (fixed)","Continuous",,TRUE)</f>
        <v>3.1363420400397836E-2</v>
      </c>
    </row>
    <row r="81" spans="2:6">
      <c r="B81" s="111">
        <f>_xll.qlCalendarAdvance("Null",B80,"1m")</f>
        <v>45383</v>
      </c>
      <c r="C81" s="112">
        <f t="shared" si="3"/>
        <v>4.5041095890410956</v>
      </c>
      <c r="D81" s="77">
        <f>_xll.qlYieldTSForwardRate($C$3,B81,B81,"Act/365 (fixed)","Continuous",,TRUE)</f>
        <v>3.1784832742669494E-2</v>
      </c>
      <c r="E81" s="248">
        <f>_xll.qlYieldTSForwardRate($C$4,B81,B81,"Act/365 (fixed)","Continuous",,TRUE)</f>
        <v>3.1713273318326539E-2</v>
      </c>
      <c r="F81" s="249">
        <f>_xll.qlYieldTSForwardRate($C$5,B81,B81,"Act/365 (fixed)","Continuous",,TRUE)</f>
        <v>3.1684955449003065E-2</v>
      </c>
    </row>
    <row r="82" spans="2:6">
      <c r="B82" s="111">
        <f>_xll.qlCalendarAdvance("Null",B81,"1m")</f>
        <v>45413</v>
      </c>
      <c r="C82" s="112">
        <f t="shared" si="3"/>
        <v>4.5863013698630137</v>
      </c>
      <c r="D82" s="77">
        <f>_xll.qlYieldTSForwardRate($C$3,B82,B82,"Act/365 (fixed)","Continuous",,TRUE)</f>
        <v>3.2075744303432296E-2</v>
      </c>
      <c r="E82" s="248">
        <f>_xll.qlYieldTSForwardRate($C$4,B82,B82,"Act/365 (fixed)","Continuous",,TRUE)</f>
        <v>3.2015871655280165E-2</v>
      </c>
      <c r="F82" s="249">
        <f>_xll.qlYieldTSForwardRate($C$5,B82,B82,"Act/365 (fixed)","Continuous",,TRUE)</f>
        <v>3.2001619354929983E-2</v>
      </c>
    </row>
    <row r="83" spans="2:6">
      <c r="B83" s="111">
        <f>_xll.qlCalendarAdvance("Null",B82,"1m")</f>
        <v>45444</v>
      </c>
      <c r="C83" s="112">
        <f t="shared" si="3"/>
        <v>4.6712328767123283</v>
      </c>
      <c r="D83" s="77">
        <f>_xll.qlYieldTSForwardRate($C$3,B83,B83,"Act/365 (fixed)","Continuous",,TRUE)</f>
        <v>3.2376352918579952E-2</v>
      </c>
      <c r="E83" s="248">
        <f>_xll.qlYieldTSForwardRate($C$4,B83,B83,"Act/365 (fixed)","Continuous",,TRUE)</f>
        <v>3.2330878785808245E-2</v>
      </c>
      <c r="F83" s="249">
        <f>_xll.qlYieldTSForwardRate($C$5,B83,B83,"Act/365 (fixed)","Continuous",,TRUE)</f>
        <v>3.2330418160205453E-2</v>
      </c>
    </row>
    <row r="84" spans="2:6">
      <c r="B84" s="111">
        <f>_xll.qlCalendarAdvance("Null",B83,"1m")</f>
        <v>45474</v>
      </c>
      <c r="C84" s="112">
        <f t="shared" si="3"/>
        <v>4.7534246575342465</v>
      </c>
      <c r="D84" s="77">
        <f>_xll.qlYieldTSForwardRate($C$3,B84,B84,"Act/365 (fixed)","Continuous",,TRUE)</f>
        <v>3.2667264479898261E-2</v>
      </c>
      <c r="E84" s="248">
        <f>_xll.qlYieldTSForwardRate($C$4,B84,B84,"Act/365 (fixed)","Continuous",,TRUE)</f>
        <v>3.2636308592091566E-2</v>
      </c>
      <c r="F84" s="249">
        <f>_xll.qlYieldTSForwardRate($C$5,B84,B84,"Act/365 (fixed)","Continuous",,TRUE)</f>
        <v>3.2646209755191974E-2</v>
      </c>
    </row>
    <row r="85" spans="2:6">
      <c r="B85" s="111">
        <f>_xll.qlCalendarAdvance("Null",B84,"1m")</f>
        <v>45505</v>
      </c>
      <c r="C85" s="112">
        <f t="shared" si="3"/>
        <v>4.838356164383562</v>
      </c>
      <c r="D85" s="77">
        <f>_xll.qlYieldTSForwardRate($C$3,B85,B85,"Act/365 (fixed)","Continuous",,TRUE)</f>
        <v>3.2967873095027814E-2</v>
      </c>
      <c r="E85" s="248">
        <f>_xll.qlYieldTSForwardRate($C$4,B85,B85,"Act/365 (fixed)","Continuous",,TRUE)</f>
        <v>3.2950785662145571E-2</v>
      </c>
      <c r="F85" s="249">
        <f>_xll.qlYieldTSForwardRate($C$5,B85,B85,"Act/365 (fixed)","Continuous",,TRUE)</f>
        <v>3.2965942030535177E-2</v>
      </c>
    </row>
    <row r="86" spans="2:6">
      <c r="B86" s="111">
        <f>_xll.qlCalendarAdvance("Null",B85,"1m")</f>
        <v>45536</v>
      </c>
      <c r="C86" s="112">
        <f t="shared" si="3"/>
        <v>4.9232876712328766</v>
      </c>
      <c r="D86" s="77">
        <f>_xll.qlYieldTSForwardRate($C$3,B86,B86,"Act/365 (fixed)","Continuous",,TRUE)</f>
        <v>3.3268481707782134E-2</v>
      </c>
      <c r="E86" s="248">
        <f>_xll.qlYieldTSForwardRate($C$4,B86,B86,"Act/365 (fixed)","Continuous",,TRUE)</f>
        <v>3.3262344539662564E-2</v>
      </c>
      <c r="F86" s="249">
        <f>_xll.qlYieldTSForwardRate($C$5,B86,B86,"Act/365 (fixed)","Continuous",,TRUE)</f>
        <v>3.3274808465832556E-2</v>
      </c>
    </row>
    <row r="87" spans="2:6">
      <c r="B87" s="111">
        <f>_xll.qlCalendarAdvance("Null",B86,"1m")</f>
        <v>45566</v>
      </c>
      <c r="C87" s="112">
        <f t="shared" si="3"/>
        <v>5.0054794520547947</v>
      </c>
      <c r="D87" s="77">
        <f>_xll.qlYieldTSForwardRate($C$3,B87,B87,"Act/365 (fixed)","Continuous",,TRUE)</f>
        <v>3.3559389024314053E-2</v>
      </c>
      <c r="E87" s="248">
        <f>_xll.qlYieldTSForwardRate($C$4,B87,B87,"Act/365 (fixed)","Continuous",,TRUE)</f>
        <v>3.3559393269792653E-2</v>
      </c>
      <c r="F87" s="249">
        <f>_xll.qlYieldTSForwardRate($C$5,B87,B87,"Act/365 (fixed)","Continuous",,TRUE)</f>
        <v>3.3559393272013092E-2</v>
      </c>
    </row>
    <row r="88" spans="2:6">
      <c r="B88" s="111">
        <f>_xll.qlCalendarAdvance("Null",B87,"1m")</f>
        <v>45597</v>
      </c>
      <c r="C88" s="112">
        <f t="shared" si="3"/>
        <v>5.0904109589041093</v>
      </c>
      <c r="D88" s="77">
        <f>_xll.qlYieldTSForwardRate($C$3,B88,B88,"Act/365 (fixed)","Continuous",,TRUE)</f>
        <v>3.383115085202381E-2</v>
      </c>
      <c r="E88" s="248">
        <f>_xll.qlYieldTSForwardRate($C$4,B88,B88,"Act/365 (fixed)","Continuous",,TRUE)</f>
        <v>3.3860334879474902E-2</v>
      </c>
      <c r="F88" s="249">
        <f>_xll.qlYieldTSForwardRate($C$5,B88,B88,"Act/365 (fixed)","Continuous",,TRUE)</f>
        <v>3.3843505038971593E-2</v>
      </c>
    </row>
    <row r="89" spans="2:6">
      <c r="B89" s="111">
        <f>_xll.qlCalendarAdvance("Null",B88,"1m")</f>
        <v>45627</v>
      </c>
      <c r="C89" s="112">
        <f t="shared" si="3"/>
        <v>5.1726027397260275</v>
      </c>
      <c r="D89" s="77">
        <f>_xll.qlYieldTSForwardRate($C$3,B89,B89,"Act/365 (fixed)","Continuous",,TRUE)</f>
        <v>3.4094142062484643E-2</v>
      </c>
      <c r="E89" s="248">
        <f>_xll.qlYieldTSForwardRate($C$4,B89,B89,"Act/365 (fixed)","Continuous",,TRUE)</f>
        <v>3.4145669915182517E-2</v>
      </c>
      <c r="F89" s="249">
        <f>_xll.qlYieldTSForwardRate($C$5,B89,B89,"Act/365 (fixed)","Continuous",,TRUE)</f>
        <v>3.4115955086085635E-2</v>
      </c>
    </row>
    <row r="90" spans="2:6">
      <c r="B90" s="111">
        <f>_xll.qlCalendarAdvance("Null",B89,"1m")</f>
        <v>45658</v>
      </c>
      <c r="C90" s="112">
        <f t="shared" si="3"/>
        <v>5.2575342465753421</v>
      </c>
      <c r="D90" s="77">
        <f>_xll.qlYieldTSForwardRate($C$3,B90,B90,"Act/365 (fixed)","Continuous",,TRUE)</f>
        <v>3.4365899643506233E-2</v>
      </c>
      <c r="E90" s="248">
        <f>_xll.qlYieldTSForwardRate($C$4,B90,B90,"Act/365 (fixed)","Continuous",,TRUE)</f>
        <v>3.4434652341451384E-2</v>
      </c>
      <c r="F90" s="249">
        <f>_xll.qlYieldTSForwardRate($C$5,B90,B90,"Act/365 (fixed)","Continuous",,TRUE)</f>
        <v>3.4395004728370281E-2</v>
      </c>
    </row>
    <row r="91" spans="2:6">
      <c r="B91" s="111">
        <f>_xll.qlCalendarAdvance("Null",B90,"1m")</f>
        <v>45689</v>
      </c>
      <c r="C91" s="112">
        <f t="shared" ref="C91:C154" si="4">(B91-$B$27)/365</f>
        <v>5.3424657534246576</v>
      </c>
      <c r="D91" s="77">
        <f>_xll.qlYieldTSForwardRate($C$3,B91,B91,"Act/365 (fixed)","Continuous",,TRUE)</f>
        <v>3.4637657226024347E-2</v>
      </c>
      <c r="E91" s="248">
        <f>_xll.qlYieldTSForwardRate($C$4,B91,B91,"Act/365 (fixed)","Continuous",,TRUE)</f>
        <v>3.4717910293914786E-2</v>
      </c>
      <c r="F91" s="249">
        <f>_xll.qlYieldTSForwardRate($C$5,B91,B91,"Act/365 (fixed)","Continuous",,TRUE)</f>
        <v>3.4671631185173697E-2</v>
      </c>
    </row>
    <row r="92" spans="2:6">
      <c r="B92" s="111">
        <f>_xll.qlCalendarAdvance("Null",B91,"1m")</f>
        <v>45717</v>
      </c>
      <c r="C92" s="112">
        <f t="shared" si="4"/>
        <v>5.419178082191781</v>
      </c>
      <c r="D92" s="77">
        <f>_xll.qlYieldTSForwardRate($C$3,B92,B92,"Act/365 (fixed)","Continuous",,TRUE)</f>
        <v>3.4883115685675113E-2</v>
      </c>
      <c r="E92" s="248">
        <f>_xll.qlYieldTSForwardRate($C$4,B92,B92,"Act/365 (fixed)","Continuous",,TRUE)</f>
        <v>3.4969033835728497E-2</v>
      </c>
      <c r="F92" s="249">
        <f>_xll.qlYieldTSForwardRate($C$5,B92,B92,"Act/365 (fixed)","Continuous",,TRUE)</f>
        <v>3.4919488294664014E-2</v>
      </c>
    </row>
    <row r="93" spans="2:6">
      <c r="B93" s="111">
        <f>_xll.qlCalendarAdvance("Null",B92,"1m")</f>
        <v>45748</v>
      </c>
      <c r="C93" s="112">
        <f t="shared" si="4"/>
        <v>5.5041095890410956</v>
      </c>
      <c r="D93" s="77">
        <f>_xll.qlYieldTSForwardRate($C$3,B93,B93,"Act/365 (fixed)","Continuous",,TRUE)</f>
        <v>3.5154873267460127E-2</v>
      </c>
      <c r="E93" s="248">
        <f>_xll.qlYieldTSForwardRate($C$4,B93,B93,"Act/365 (fixed)","Continuous",,TRUE)</f>
        <v>3.5242054320504708E-2</v>
      </c>
      <c r="F93" s="249">
        <f>_xll.qlYieldTSForwardRate($C$5,B93,B93,"Act/365 (fixed)","Continuous",,TRUE)</f>
        <v>3.5191781001075256E-2</v>
      </c>
    </row>
    <row r="94" spans="2:6">
      <c r="B94" s="111">
        <f>_xll.qlCalendarAdvance("Null",B93,"1m")</f>
        <v>45778</v>
      </c>
      <c r="C94" s="112">
        <f t="shared" si="4"/>
        <v>5.5863013698630137</v>
      </c>
      <c r="D94" s="77">
        <f>_xll.qlYieldTSForwardRate($C$3,B94,B94,"Act/365 (fixed)","Continuous",,TRUE)</f>
        <v>3.5417864476414804E-2</v>
      </c>
      <c r="E94" s="248">
        <f>_xll.qlYieldTSForwardRate($C$4,B94,B94,"Act/365 (fixed)","Continuous",,TRUE)</f>
        <v>3.5501472651199899E-2</v>
      </c>
      <c r="F94" s="249">
        <f>_xll.qlYieldTSForwardRate($C$5,B94,B94,"Act/365 (fixed)","Continuous",,TRUE)</f>
        <v>3.5453260110644771E-2</v>
      </c>
    </row>
    <row r="95" spans="2:6">
      <c r="B95" s="111">
        <f>_xll.qlCalendarAdvance("Null",B94,"1m")</f>
        <v>45809</v>
      </c>
      <c r="C95" s="112">
        <f t="shared" si="4"/>
        <v>5.6712328767123283</v>
      </c>
      <c r="D95" s="77">
        <f>_xll.qlYieldTSForwardRate($C$3,B95,B95,"Act/365 (fixed)","Continuous",,TRUE)</f>
        <v>3.5689622059210675E-2</v>
      </c>
      <c r="E95" s="248">
        <f>_xll.qlYieldTSForwardRate($C$4,B95,B95,"Act/365 (fixed)","Continuous",,TRUE)</f>
        <v>3.5764815013326089E-2</v>
      </c>
      <c r="F95" s="249">
        <f>_xll.qlYieldTSForwardRate($C$5,B95,B95,"Act/365 (fixed)","Continuous",,TRUE)</f>
        <v>3.5721455545747613E-2</v>
      </c>
    </row>
    <row r="96" spans="2:6">
      <c r="B96" s="111">
        <f>_xll.qlCalendarAdvance("Null",B95,"1m")</f>
        <v>45839</v>
      </c>
      <c r="C96" s="112">
        <f t="shared" si="4"/>
        <v>5.7534246575342465</v>
      </c>
      <c r="D96" s="77">
        <f>_xll.qlYieldTSForwardRate($C$3,B96,B96,"Act/365 (fixed)","Continuous",,TRUE)</f>
        <v>3.5952613267424563E-2</v>
      </c>
      <c r="E96" s="248">
        <f>_xll.qlYieldTSForwardRate($C$4,B96,B96,"Act/365 (fixed)","Continuous",,TRUE)</f>
        <v>3.6015313304564138E-2</v>
      </c>
      <c r="F96" s="249">
        <f>_xll.qlYieldTSForwardRate($C$5,B96,B96,"Act/365 (fixed)","Continuous",,TRUE)</f>
        <v>3.5979158158162473E-2</v>
      </c>
    </row>
    <row r="97" spans="2:6">
      <c r="B97" s="111">
        <f>_xll.qlCalendarAdvance("Null",B96,"1m")</f>
        <v>45870</v>
      </c>
      <c r="C97" s="112">
        <f t="shared" si="4"/>
        <v>5.838356164383562</v>
      </c>
      <c r="D97" s="77">
        <f>_xll.qlYieldTSForwardRate($C$3,B97,B97,"Act/365 (fixed)","Continuous",,TRUE)</f>
        <v>3.622437084901086E-2</v>
      </c>
      <c r="E97" s="248">
        <f>_xll.qlYieldTSForwardRate($C$4,B97,B97,"Act/365 (fixed)","Continuous",,TRUE)</f>
        <v>3.6269899036183328E-2</v>
      </c>
      <c r="F97" s="249">
        <f>_xll.qlYieldTSForwardRate($C$5,B97,B97,"Act/365 (fixed)","Continuous",,TRUE)</f>
        <v>3.6243646100507829E-2</v>
      </c>
    </row>
    <row r="98" spans="2:6">
      <c r="B98" s="111">
        <f>_xll.qlCalendarAdvance("Null",B97,"1m")</f>
        <v>45901</v>
      </c>
      <c r="C98" s="112">
        <f t="shared" si="4"/>
        <v>5.9232876712328766</v>
      </c>
      <c r="D98" s="77">
        <f>_xll.qlYieldTSForwardRate($C$3,B98,B98,"Act/365 (fixed)","Continuous",,TRUE)</f>
        <v>3.6496128429873258E-2</v>
      </c>
      <c r="E98" s="248">
        <f>_xll.qlYieldTSForwardRate($C$4,B98,B98,"Act/365 (fixed)","Continuous",,TRUE)</f>
        <v>3.6520387822396916E-2</v>
      </c>
      <c r="F98" s="249">
        <f>_xll.qlYieldTSForwardRate($C$5,B98,B98,"Act/365 (fixed)","Continuous",,TRUE)</f>
        <v>3.6506399278746923E-2</v>
      </c>
    </row>
    <row r="99" spans="2:6">
      <c r="B99" s="111">
        <f>_xll.qlCalendarAdvance("Null",B98,"1m")</f>
        <v>45931</v>
      </c>
      <c r="C99" s="112">
        <f t="shared" si="4"/>
        <v>6.0054794520547947</v>
      </c>
      <c r="D99" s="77">
        <f>_xll.qlYieldTSForwardRate($C$3,B99,B99,"Act/365 (fixed)","Continuous",,TRUE)</f>
        <v>3.6759116426107491E-2</v>
      </c>
      <c r="E99" s="248">
        <f>_xll.qlYieldTSForwardRate($C$4,B99,B99,"Act/365 (fixed)","Continuous",,TRUE)</f>
        <v>3.6759119639081114E-2</v>
      </c>
      <c r="F99" s="249">
        <f>_xll.qlYieldTSForwardRate($C$5,B99,B99,"Act/365 (fixed)","Continuous",,TRUE)</f>
        <v>3.6759119641301546E-2</v>
      </c>
    </row>
    <row r="100" spans="2:6">
      <c r="B100" s="111">
        <f>_xll.qlCalendarAdvance("Null",B99,"1m")</f>
        <v>45962</v>
      </c>
      <c r="C100" s="112">
        <f t="shared" si="4"/>
        <v>6.0904109589041093</v>
      </c>
      <c r="D100" s="77">
        <f>_xll.qlYieldTSForwardRate($C$3,B100,B100,"Act/365 (fixed)","Continuous",,TRUE)</f>
        <v>3.7009045867336096E-2</v>
      </c>
      <c r="E100" s="248">
        <f>_xll.qlYieldTSForwardRate($C$4,B100,B100,"Act/365 (fixed)","Continuous",,TRUE)</f>
        <v>3.7002392287624031E-2</v>
      </c>
      <c r="F100" s="249">
        <f>_xll.qlYieldTSForwardRate($C$5,B100,B100,"Act/365 (fixed)","Continuous",,TRUE)</f>
        <v>3.7018499450233264E-2</v>
      </c>
    </row>
    <row r="101" spans="2:6">
      <c r="B101" s="111">
        <f>_xll.qlCalendarAdvance("Null",B100,"1m")</f>
        <v>45992</v>
      </c>
      <c r="C101" s="112">
        <f t="shared" si="4"/>
        <v>6.1726027397260275</v>
      </c>
      <c r="D101" s="77">
        <f>_xll.qlYieldTSForwardRate($C$3,B101,B101,"Act/365 (fixed)","Continuous",,TRUE)</f>
        <v>3.725090995955161E-2</v>
      </c>
      <c r="E101" s="248">
        <f>_xll.qlYieldTSForwardRate($C$4,B101,B101,"Act/365 (fixed)","Continuous",,TRUE)</f>
        <v>3.7235438344341142E-2</v>
      </c>
      <c r="F101" s="249">
        <f>_xll.qlYieldTSForwardRate($C$5,B101,B101,"Act/365 (fixed)","Continuous",,TRUE)</f>
        <v>3.7267638515712555E-2</v>
      </c>
    </row>
    <row r="102" spans="2:6">
      <c r="B102" s="111">
        <f>_xll.qlCalendarAdvance("Null",B101,"1m")</f>
        <v>46023</v>
      </c>
      <c r="C102" s="112">
        <f t="shared" si="4"/>
        <v>6.2575342465753421</v>
      </c>
      <c r="D102" s="77">
        <f>_xll.qlYieldTSForwardRate($C$3,B102,B102,"Act/365 (fixed)","Continuous",,TRUE)</f>
        <v>3.7500836186617648E-2</v>
      </c>
      <c r="E102" s="248">
        <f>_xll.qlYieldTSForwardRate($C$4,B102,B102,"Act/365 (fixed)","Continuous",,TRUE)</f>
        <v>3.7474905952609196E-2</v>
      </c>
      <c r="F102" s="249">
        <f>_xll.qlYieldTSForwardRate($C$5,B102,B102,"Act/365 (fixed)","Continuous",,TRUE)</f>
        <v>3.7523209523584303E-2</v>
      </c>
    </row>
    <row r="103" spans="2:6">
      <c r="B103" s="111">
        <f>_xll.qlCalendarAdvance("Null",B102,"1m")</f>
        <v>46054</v>
      </c>
      <c r="C103" s="112">
        <f t="shared" si="4"/>
        <v>6.3424657534246576</v>
      </c>
      <c r="D103" s="77">
        <f>_xll.qlYieldTSForwardRate($C$3,B103,B103,"Act/365 (fixed)","Continuous",,TRUE)</f>
        <v>3.7750762411878247E-2</v>
      </c>
      <c r="E103" s="248">
        <f>_xll.qlYieldTSForwardRate($C$4,B103,B103,"Act/365 (fixed)","Continuous",,TRUE)</f>
        <v>3.771413479147958E-2</v>
      </c>
      <c r="F103" s="249">
        <f>_xll.qlYieldTSForwardRate($C$5,B103,B103,"Act/365 (fixed)","Continuous",,TRUE)</f>
        <v>3.7776941598421529E-2</v>
      </c>
    </row>
    <row r="104" spans="2:6">
      <c r="B104" s="111">
        <f>_xll.qlCalendarAdvance("Null",B103,"1m")</f>
        <v>46082</v>
      </c>
      <c r="C104" s="112">
        <f t="shared" si="4"/>
        <v>6.419178082191781</v>
      </c>
      <c r="D104" s="77">
        <f>_xll.qlYieldTSForwardRate($C$3,B104,B104,"Act/365 (fixed)","Continuous",,TRUE)</f>
        <v>3.7976502229964904E-2</v>
      </c>
      <c r="E104" s="248">
        <f>_xll.qlYieldTSForwardRate($C$4,B104,B104,"Act/365 (fixed)","Continuous",,TRUE)</f>
        <v>3.793095733954871E-2</v>
      </c>
      <c r="F104" s="249">
        <f>_xll.qlYieldTSForwardRate($C$5,B104,B104,"Act/365 (fixed)","Continuous",,TRUE)</f>
        <v>3.8004592548789233E-2</v>
      </c>
    </row>
    <row r="105" spans="2:6">
      <c r="B105" s="111">
        <f>_xll.qlCalendarAdvance("Null",B104,"1m")</f>
        <v>46113</v>
      </c>
      <c r="C105" s="112">
        <f t="shared" si="4"/>
        <v>6.5041095890410956</v>
      </c>
      <c r="D105" s="77">
        <f>_xll.qlYieldTSForwardRate($C$3,B105,B105,"Act/365 (fixed)","Continuous",,TRUE)</f>
        <v>3.8226428458880427E-2</v>
      </c>
      <c r="E105" s="248">
        <f>_xll.qlYieldTSForwardRate($C$4,B105,B105,"Act/365 (fixed)","Continuous",,TRUE)</f>
        <v>3.8172887483027364E-2</v>
      </c>
      <c r="F105" s="249">
        <f>_xll.qlYieldTSForwardRate($C$5,B105,B105,"Act/365 (fixed)","Continuous",,TRUE)</f>
        <v>3.825500473530468E-2</v>
      </c>
    </row>
    <row r="106" spans="2:6">
      <c r="B106" s="111">
        <f>_xll.qlCalendarAdvance("Null",B105,"1m")</f>
        <v>46143</v>
      </c>
      <c r="C106" s="112">
        <f t="shared" si="4"/>
        <v>6.5863013698630137</v>
      </c>
      <c r="D106" s="77">
        <f>_xll.qlYieldTSForwardRate($C$3,B106,B106,"Act/365 (fixed)","Continuous",,TRUE)</f>
        <v>3.8468292548297083E-2</v>
      </c>
      <c r="E106" s="248">
        <f>_xll.qlYieldTSForwardRate($C$4,B106,B106,"Act/365 (fixed)","Continuous",,TRUE)</f>
        <v>3.8409931849869725E-2</v>
      </c>
      <c r="F106" s="249">
        <f>_xll.qlYieldTSForwardRate($C$5,B106,B106,"Act/365 (fixed)","Continuous",,TRUE)</f>
        <v>3.8495767653562316E-2</v>
      </c>
    </row>
    <row r="107" spans="2:6">
      <c r="B107" s="111">
        <f>_xll.qlCalendarAdvance("Null",B106,"1m")</f>
        <v>46174</v>
      </c>
      <c r="C107" s="112">
        <f t="shared" si="4"/>
        <v>6.6712328767123283</v>
      </c>
      <c r="D107" s="77">
        <f>_xll.qlYieldTSForwardRate($C$3,B107,B107,"Act/365 (fixed)","Continuous",,TRUE)</f>
        <v>3.87182187782441E-2</v>
      </c>
      <c r="E107" s="248">
        <f>_xll.qlYieldTSForwardRate($C$4,B107,B107,"Act/365 (fixed)","Continuous",,TRUE)</f>
        <v>3.8659005135750102E-2</v>
      </c>
      <c r="F107" s="249">
        <f>_xll.qlYieldTSForwardRate($C$5,B107,B107,"Act/365 (fixed)","Continuous",,TRUE)</f>
        <v>3.8742995573931363E-2</v>
      </c>
    </row>
    <row r="108" spans="2:6">
      <c r="B108" s="111">
        <f>_xll.qlCalendarAdvance("Null",B107,"1m")</f>
        <v>46204</v>
      </c>
      <c r="C108" s="112">
        <f t="shared" si="4"/>
        <v>6.7534246575342465</v>
      </c>
      <c r="D108" s="77">
        <f>_xll.qlYieldTSForwardRate($C$3,B108,B108,"Act/365 (fixed)","Continuous",,TRUE)</f>
        <v>3.8960082869088732E-2</v>
      </c>
      <c r="E108" s="248">
        <f>_xll.qlYieldTSForwardRate($C$4,B108,B108,"Act/365 (fixed)","Continuous",,TRUE)</f>
        <v>3.8905102278789114E-2</v>
      </c>
      <c r="F108" s="249">
        <f>_xll.qlYieldTSForwardRate($C$5,B108,B108,"Act/365 (fixed)","Continuous",,TRUE)</f>
        <v>3.8980799023750602E-2</v>
      </c>
    </row>
    <row r="109" spans="2:6">
      <c r="B109" s="111">
        <f>_xll.qlCalendarAdvance("Null",B108,"1m")</f>
        <v>46235</v>
      </c>
      <c r="C109" s="112">
        <f t="shared" si="4"/>
        <v>6.838356164383562</v>
      </c>
      <c r="D109" s="77">
        <f>_xll.qlYieldTSForwardRate($C$3,B109,B109,"Act/365 (fixed)","Continuous",,TRUE)</f>
        <v>3.9210009095626372E-2</v>
      </c>
      <c r="E109" s="248">
        <f>_xll.qlYieldTSForwardRate($C$4,B109,B109,"Act/365 (fixed)","Continuous",,TRUE)</f>
        <v>3.9165741486329293E-2</v>
      </c>
      <c r="F109" s="249">
        <f>_xll.qlYieldTSForwardRate($C$5,B109,B109,"Act/365 (fixed)","Continuous",,TRUE)</f>
        <v>3.9225094982288988E-2</v>
      </c>
    </row>
    <row r="110" spans="2:6">
      <c r="B110" s="111">
        <f>_xll.qlCalendarAdvance("Null",B109,"1m")</f>
        <v>46266</v>
      </c>
      <c r="C110" s="112">
        <f t="shared" si="4"/>
        <v>6.9232876712328766</v>
      </c>
      <c r="D110" s="77">
        <f>_xll.qlYieldTSForwardRate($C$3,B110,B110,"Act/365 (fixed)","Continuous",,TRUE)</f>
        <v>3.9459935322579014E-2</v>
      </c>
      <c r="E110" s="248">
        <f>_xll.qlYieldTSForwardRate($C$4,B110,B110,"Act/365 (fixed)","Continuous",,TRUE)</f>
        <v>3.9433953399649925E-2</v>
      </c>
      <c r="F110" s="249">
        <f>_xll.qlYieldTSForwardRate($C$5,B110,B110,"Act/365 (fixed)","Continuous",,TRUE)</f>
        <v>3.9467997612683145E-2</v>
      </c>
    </row>
    <row r="111" spans="2:6">
      <c r="B111" s="111">
        <f>_xll.qlCalendarAdvance("Null",B110,"1m")</f>
        <v>46296</v>
      </c>
      <c r="C111" s="112">
        <f t="shared" si="4"/>
        <v>7.0054794520547947</v>
      </c>
      <c r="D111" s="77">
        <f>_xll.qlYieldTSForwardRate($C$3,B111,B111,"Act/365 (fixed)","Continuous",,TRUE)</f>
        <v>3.970179686862662E-2</v>
      </c>
      <c r="E111" s="248">
        <f>_xll.qlYieldTSForwardRate($C$4,B111,B111,"Act/365 (fixed)","Continuous",,TRUE)</f>
        <v>3.9701799415468128E-2</v>
      </c>
      <c r="F111" s="249">
        <f>_xll.qlYieldTSForwardRate($C$5,B111,B111,"Act/365 (fixed)","Continuous",,TRUE)</f>
        <v>3.9701799413247689E-2</v>
      </c>
    </row>
    <row r="112" spans="2:6">
      <c r="B112" s="111">
        <f>_xll.qlCalendarAdvance("Null",B111,"1m")</f>
        <v>46327</v>
      </c>
      <c r="C112" s="112">
        <f t="shared" si="4"/>
        <v>7.0904109589041093</v>
      </c>
      <c r="D112" s="77">
        <f>_xll.qlYieldTSForwardRate($C$3,B112,B112,"Act/365 (fixed)","Continuous",,TRUE)</f>
        <v>3.9934438241049253E-2</v>
      </c>
      <c r="E112" s="248">
        <f>_xll.qlYieldTSForwardRate($C$4,B112,B112,"Act/365 (fixed)","Continuous",,TRUE)</f>
        <v>3.998728890908157E-2</v>
      </c>
      <c r="F112" s="249">
        <f>_xll.qlYieldTSForwardRate($C$5,B112,B112,"Act/365 (fixed)","Continuous",,TRUE)</f>
        <v>3.9941983750662359E-2</v>
      </c>
    </row>
    <row r="113" spans="2:6">
      <c r="B113" s="111">
        <f>_xll.qlCalendarAdvance("Null",B112,"1m")</f>
        <v>46357</v>
      </c>
      <c r="C113" s="112">
        <f t="shared" si="4"/>
        <v>7.1726027397260275</v>
      </c>
      <c r="D113" s="77">
        <f>_xll.qlYieldTSForwardRate($C$3,B113,B113,"Act/365 (fixed)","Continuous",,TRUE)</f>
        <v>4.0159572587673692E-2</v>
      </c>
      <c r="E113" s="248">
        <f>_xll.qlYieldTSForwardRate($C$4,B113,B113,"Act/365 (fixed)","Continuous",,TRUE)</f>
        <v>4.0268576925638316E-2</v>
      </c>
      <c r="F113" s="249">
        <f>_xll.qlYieldTSForwardRate($C$5,B113,B113,"Act/365 (fixed)","Continuous",,TRUE)</f>
        <v>4.0172946691291969E-2</v>
      </c>
    </row>
    <row r="114" spans="2:6">
      <c r="B114" s="111">
        <f>_xll.qlCalendarAdvance("Null",B113,"1m")</f>
        <v>46388</v>
      </c>
      <c r="C114" s="112">
        <f t="shared" si="4"/>
        <v>7.2575342465753421</v>
      </c>
      <c r="D114" s="77">
        <f>_xll.qlYieldTSForwardRate($C$3,B114,B114,"Act/365 (fixed)","Continuous",,TRUE)</f>
        <v>4.0392211413707427E-2</v>
      </c>
      <c r="E114" s="248">
        <f>_xll.qlYieldTSForwardRate($C$4,B114,B114,"Act/365 (fixed)","Continuous",,TRUE)</f>
        <v>4.0559928832040036E-2</v>
      </c>
      <c r="F114" s="249">
        <f>_xll.qlYieldTSForwardRate($C$5,B114,B114,"Act/365 (fixed)","Continuous",,TRUE)</f>
        <v>4.041012951270713E-2</v>
      </c>
    </row>
    <row r="115" spans="2:6">
      <c r="B115" s="111">
        <f>_xll.qlCalendarAdvance("Null",B114,"1m")</f>
        <v>46419</v>
      </c>
      <c r="C115" s="112">
        <f t="shared" si="4"/>
        <v>7.3424657534246576</v>
      </c>
      <c r="D115" s="77">
        <f>_xll.qlYieldTSForwardRate($C$3,B115,B115,"Act/365 (fixed)","Continuous",,TRUE)</f>
        <v>4.0624850238769952E-2</v>
      </c>
      <c r="E115" s="248">
        <f>_xll.qlYieldTSForwardRate($C$4,B115,B115,"Act/365 (fixed)","Continuous",,TRUE)</f>
        <v>4.0847418905991612E-2</v>
      </c>
      <c r="F115" s="249">
        <f>_xll.qlYieldTSForwardRate($C$5,B115,B115,"Act/365 (fixed)","Continuous",,TRUE)</f>
        <v>4.0645853670125243E-2</v>
      </c>
    </row>
    <row r="116" spans="2:6">
      <c r="B116" s="111">
        <f>_xll.qlCalendarAdvance("Null",B115,"1m")</f>
        <v>46447</v>
      </c>
      <c r="C116" s="112">
        <f t="shared" si="4"/>
        <v>7.419178082191781</v>
      </c>
      <c r="D116" s="77">
        <f>_xll.qlYieldTSForwardRate($C$3,B116,B116,"Act/365 (fixed)","Continuous",,TRUE)</f>
        <v>4.083497562822181E-2</v>
      </c>
      <c r="E116" s="248">
        <f>_xll.qlYieldTSForwardRate($C$4,B116,B116,"Act/365 (fixed)","Continuous",,TRUE)</f>
        <v>4.10999332110948E-2</v>
      </c>
      <c r="F116" s="249">
        <f>_xll.qlYieldTSForwardRate($C$5,B116,B116,"Act/365 (fixed)","Continuous",,TRUE)</f>
        <v>4.0857549449865298E-2</v>
      </c>
    </row>
    <row r="117" spans="2:6">
      <c r="B117" s="111">
        <f>_xll.qlCalendarAdvance("Null",B116,"1m")</f>
        <v>46478</v>
      </c>
      <c r="C117" s="112">
        <f t="shared" si="4"/>
        <v>7.5041095890410956</v>
      </c>
      <c r="D117" s="77">
        <f>_xll.qlYieldTSForwardRate($C$3,B117,B117,"Act/365 (fixed)","Continuous",,TRUE)</f>
        <v>4.1067614454086111E-2</v>
      </c>
      <c r="E117" s="248">
        <f>_xll.qlYieldTSForwardRate($C$4,B117,B117,"Act/365 (fixed)","Continuous",,TRUE)</f>
        <v>4.1367336260646981E-2</v>
      </c>
      <c r="F117" s="249">
        <f>_xll.qlYieldTSForwardRate($C$5,B117,B117,"Act/365 (fixed)","Continuous",,TRUE)</f>
        <v>4.1090621626776978E-2</v>
      </c>
    </row>
    <row r="118" spans="2:6">
      <c r="B118" s="111">
        <f>_xll.qlCalendarAdvance("Null",B117,"1m")</f>
        <v>46508</v>
      </c>
      <c r="C118" s="112">
        <f t="shared" si="4"/>
        <v>7.5863013698630137</v>
      </c>
      <c r="D118" s="77">
        <f>_xll.qlYieldTSForwardRate($C$3,B118,B118,"Act/365 (fixed)","Continuous",,TRUE)</f>
        <v>4.1292748804064534E-2</v>
      </c>
      <c r="E118" s="248">
        <f>_xll.qlYieldTSForwardRate($C$4,B118,B118,"Act/365 (fixed)","Continuous",,TRUE)</f>
        <v>4.1609739573788808E-2</v>
      </c>
      <c r="F118" s="249">
        <f>_xll.qlYieldTSForwardRate($C$5,B118,B118,"Act/365 (fixed)","Continuous",,TRUE)</f>
        <v>4.1314910296208186E-2</v>
      </c>
    </row>
    <row r="119" spans="2:6">
      <c r="B119" s="111">
        <f>_xll.qlCalendarAdvance("Null",B118,"1m")</f>
        <v>46539</v>
      </c>
      <c r="C119" s="112">
        <f t="shared" si="4"/>
        <v>7.6712328767123283</v>
      </c>
      <c r="D119" s="77">
        <f>_xll.qlYieldTSForwardRate($C$3,B119,B119,"Act/365 (fixed)","Continuous",,TRUE)</f>
        <v>4.1525387628160992E-2</v>
      </c>
      <c r="E119" s="248">
        <f>_xll.qlYieldTSForwardRate($C$4,B119,B119,"Act/365 (fixed)","Continuous",,TRUE)</f>
        <v>4.183881620821138E-2</v>
      </c>
      <c r="F119" s="249">
        <f>_xll.qlYieldTSForwardRate($C$5,B119,B119,"Act/365 (fixed)","Continuous",,TRUE)</f>
        <v>4.1545411785033563E-2</v>
      </c>
    </row>
    <row r="120" spans="2:6">
      <c r="B120" s="111">
        <f>_xll.qlCalendarAdvance("Null",B119,"1m")</f>
        <v>46569</v>
      </c>
      <c r="C120" s="112">
        <f t="shared" si="4"/>
        <v>7.7534246575342465</v>
      </c>
      <c r="D120" s="77">
        <f>_xll.qlYieldTSForwardRate($C$3,B120,B120,"Act/365 (fixed)","Continuous",,TRUE)</f>
        <v>4.1750521976715117E-2</v>
      </c>
      <c r="E120" s="248">
        <f>_xll.qlYieldTSForwardRate($C$4,B120,B120,"Act/365 (fixed)","Continuous",,TRUE)</f>
        <v>4.2035491805223479E-2</v>
      </c>
      <c r="F120" s="249">
        <f>_xll.qlYieldTSForwardRate($C$5,B120,B120,"Act/365 (fixed)","Continuous",,TRUE)</f>
        <v>4.1767296903611792E-2</v>
      </c>
    </row>
    <row r="121" spans="2:6">
      <c r="B121" s="111">
        <f>_xll.qlCalendarAdvance("Null",B120,"1m")</f>
        <v>46600</v>
      </c>
      <c r="C121" s="112">
        <f t="shared" si="4"/>
        <v>7.838356164383562</v>
      </c>
      <c r="D121" s="77">
        <f>_xll.qlYieldTSForwardRate($C$3,B121,B121,"Act/365 (fixed)","Continuous",,TRUE)</f>
        <v>4.1983160801264185E-2</v>
      </c>
      <c r="E121" s="248">
        <f>_xll.qlYieldTSForwardRate($C$4,B121,B121,"Act/365 (fixed)","Continuous",,TRUE)</f>
        <v>4.2208390906946149E-2</v>
      </c>
      <c r="F121" s="249">
        <f>_xll.qlYieldTSForwardRate($C$5,B121,B121,"Act/365 (fixed)","Continuous",,TRUE)</f>
        <v>4.1995401742529193E-2</v>
      </c>
    </row>
    <row r="122" spans="2:6">
      <c r="B122" s="111">
        <f>_xll.qlCalendarAdvance("Null",B121,"1m")</f>
        <v>46631</v>
      </c>
      <c r="C122" s="112">
        <f t="shared" si="4"/>
        <v>7.9232876712328766</v>
      </c>
      <c r="D122" s="77">
        <f>_xll.qlYieldTSForwardRate($C$3,B122,B122,"Act/365 (fixed)","Continuous",,TRUE)</f>
        <v>4.2215799627062484E-2</v>
      </c>
      <c r="E122" s="248">
        <f>_xll.qlYieldTSForwardRate($C$4,B122,B122,"Act/365 (fixed)","Continuous",,TRUE)</f>
        <v>4.2345899682831291E-2</v>
      </c>
      <c r="F122" s="249">
        <f>_xll.qlYieldTSForwardRate($C$5,B122,B122,"Act/365 (fixed)","Continuous",,TRUE)</f>
        <v>4.2222355313134556E-2</v>
      </c>
    </row>
    <row r="123" spans="2:6">
      <c r="B123" s="111">
        <f>_xll.qlCalendarAdvance("Null",B122,"1m")</f>
        <v>46661</v>
      </c>
      <c r="C123" s="112">
        <f t="shared" si="4"/>
        <v>8.0054794520547947</v>
      </c>
      <c r="D123" s="77">
        <f>_xll.qlYieldTSForwardRate($C$3,B123,B123,"Act/365 (fixed)","Continuous",,TRUE)</f>
        <v>4.2440931892846569E-2</v>
      </c>
      <c r="E123" s="248">
        <f>_xll.qlYieldTSForwardRate($C$4,B123,B123,"Act/365 (fixed)","Continuous",,TRUE)</f>
        <v>4.2440933973395677E-2</v>
      </c>
      <c r="F123" s="249">
        <f>_xll.qlYieldTSForwardRate($C$5,B123,B123,"Act/365 (fixed)","Continuous",,TRUE)</f>
        <v>4.2440933975616116E-2</v>
      </c>
    </row>
    <row r="124" spans="2:6">
      <c r="B124" s="111">
        <f>_xll.qlCalendarAdvance("Null",B123,"1m")</f>
        <v>46692</v>
      </c>
      <c r="C124" s="112">
        <f t="shared" si="4"/>
        <v>8.0904109589041102</v>
      </c>
      <c r="D124" s="77">
        <f>_xll.qlYieldTSForwardRate($C$3,B124,B124,"Act/365 (fixed)","Continuous",,TRUE)</f>
        <v>4.2659425472302621E-2</v>
      </c>
      <c r="E124" s="248">
        <f>_xll.qlYieldTSForwardRate($C$4,B124,B124,"Act/365 (fixed)","Continuous",,TRUE)</f>
        <v>4.2499005707322311E-2</v>
      </c>
      <c r="F124" s="249">
        <f>_xll.qlYieldTSForwardRate($C$5,B124,B124,"Act/365 (fixed)","Continuous",,TRUE)</f>
        <v>4.2654035016122457E-2</v>
      </c>
    </row>
    <row r="125" spans="2:6">
      <c r="B125" s="111">
        <f>_xll.qlCalendarAdvance("Null",B124,"1m")</f>
        <v>46722</v>
      </c>
      <c r="C125" s="112">
        <f t="shared" si="4"/>
        <v>8.1726027397260275</v>
      </c>
      <c r="D125" s="77">
        <f>_xll.qlYieldTSForwardRate($C$3,B125,B125,"Act/365 (fixed)","Continuous",,TRUE)</f>
        <v>4.2870868854584153E-2</v>
      </c>
      <c r="E125" s="248">
        <f>_xll.qlYieldTSForwardRate($C$4,B125,B125,"Act/365 (fixed)","Continuous",,TRUE)</f>
        <v>4.2529231485042174E-2</v>
      </c>
      <c r="F125" s="249">
        <f>_xll.qlYieldTSForwardRate($C$5,B125,B125,"Act/365 (fixed)","Continuous",,TRUE)</f>
        <v>4.2840992989829414E-2</v>
      </c>
    </row>
    <row r="126" spans="2:6">
      <c r="B126" s="111">
        <f>_xll.qlCalendarAdvance("Null",B125,"1m")</f>
        <v>46753</v>
      </c>
      <c r="C126" s="112">
        <f t="shared" si="4"/>
        <v>8.257534246575343</v>
      </c>
      <c r="D126" s="77">
        <f>_xll.qlYieldTSForwardRate($C$3,B126,B126,"Act/365 (fixed)","Continuous",,TRUE)</f>
        <v>4.3089360352979132E-2</v>
      </c>
      <c r="E126" s="248">
        <f>_xll.qlYieldTSForwardRate($C$4,B126,B126,"Act/365 (fixed)","Continuous",,TRUE)</f>
        <v>4.2550533001570447E-2</v>
      </c>
      <c r="F126" s="249">
        <f>_xll.qlYieldTSForwardRate($C$5,B126,B126,"Act/365 (fixed)","Continuous",,TRUE)</f>
        <v>4.3020573817353837E-2</v>
      </c>
    </row>
    <row r="127" spans="2:6">
      <c r="B127" s="111">
        <f>_xll.qlCalendarAdvance("Null",B126,"1m")</f>
        <v>46784</v>
      </c>
      <c r="C127" s="112">
        <f t="shared" si="4"/>
        <v>8.3424657534246567</v>
      </c>
      <c r="D127" s="77">
        <f>_xll.qlYieldTSForwardRate($C$3,B127,B127,"Act/365 (fixed)","Continuous",,TRUE)</f>
        <v>4.3307851846600257E-2</v>
      </c>
      <c r="E127" s="248">
        <f>_xll.qlYieldTSForwardRate($C$4,B127,B127,"Act/365 (fixed)","Continuous",,TRUE)</f>
        <v>4.2578923714853979E-2</v>
      </c>
      <c r="F127" s="249">
        <f>_xll.qlYieldTSForwardRate($C$5,B127,B127,"Act/365 (fixed)","Continuous",,TRUE)</f>
        <v>4.3192727830150018E-2</v>
      </c>
    </row>
    <row r="128" spans="2:6">
      <c r="B128" s="111">
        <f>_xll.qlCalendarAdvance("Null",B127,"1m")</f>
        <v>46813</v>
      </c>
      <c r="C128" s="112">
        <f t="shared" si="4"/>
        <v>8.4219178082191775</v>
      </c>
      <c r="D128" s="77">
        <f>_xll.qlYieldTSForwardRate($C$3,B128,B128,"Act/365 (fixed)","Continuous",,TRUE)</f>
        <v>4.3512247119314777E-2</v>
      </c>
      <c r="E128" s="248">
        <f>_xll.qlYieldTSForwardRate($C$4,B128,B128,"Act/365 (fixed)","Continuous",,TRUE)</f>
        <v>4.2627288185513861E-2</v>
      </c>
      <c r="F128" s="249">
        <f>_xll.qlYieldTSForwardRate($C$5,B128,B128,"Act/365 (fixed)","Continuous",,TRUE)</f>
        <v>4.3352787380364251E-2</v>
      </c>
    </row>
    <row r="129" spans="2:6">
      <c r="B129" s="111">
        <f>_xll.qlCalendarAdvance("Null",B128,"1m")</f>
        <v>46844</v>
      </c>
      <c r="C129" s="112">
        <f t="shared" si="4"/>
        <v>8.506849315068493</v>
      </c>
      <c r="D129" s="77">
        <f>_xll.qlYieldTSForwardRate($C$3,B129,B129,"Act/365 (fixed)","Continuous",,TRUE)</f>
        <v>4.3730738617018802E-2</v>
      </c>
      <c r="E129" s="248">
        <f>_xll.qlYieldTSForwardRate($C$4,B129,B129,"Act/365 (fixed)","Continuous",,TRUE)</f>
        <v>4.2718746105048867E-2</v>
      </c>
      <c r="F129" s="249">
        <f>_xll.qlYieldTSForwardRate($C$5,B129,B129,"Act/365 (fixed)","Continuous",,TRUE)</f>
        <v>4.3528961010121284E-2</v>
      </c>
    </row>
    <row r="130" spans="2:6">
      <c r="B130" s="111">
        <f>_xll.qlCalendarAdvance("Null",B129,"1m")</f>
        <v>46874</v>
      </c>
      <c r="C130" s="112">
        <f t="shared" si="4"/>
        <v>8.5890410958904102</v>
      </c>
      <c r="D130" s="77">
        <f>_xll.qlYieldTSForwardRate($C$3,B130,B130,"Act/365 (fixed)","Continuous",,TRUE)</f>
        <v>4.3942181998852491E-2</v>
      </c>
      <c r="E130" s="248">
        <f>_xll.qlYieldTSForwardRate($C$4,B130,B130,"Act/365 (fixed)","Continuous",,TRUE)</f>
        <v>4.2862376066768279E-2</v>
      </c>
      <c r="F130" s="249">
        <f>_xll.qlYieldTSForwardRate($C$5,B130,B130,"Act/365 (fixed)","Continuous",,TRUE)</f>
        <v>4.3710411426031298E-2</v>
      </c>
    </row>
    <row r="131" spans="2:6">
      <c r="B131" s="111">
        <f>_xll.qlCalendarAdvance("Null",B130,"1m")</f>
        <v>46905</v>
      </c>
      <c r="C131" s="112">
        <f t="shared" si="4"/>
        <v>8.6739726027397257</v>
      </c>
      <c r="D131" s="77">
        <f>_xll.qlYieldTSForwardRate($C$3,B131,B131,"Act/365 (fixed)","Continuous",,TRUE)</f>
        <v>4.4160673493824111E-2</v>
      </c>
      <c r="E131" s="248">
        <f>_xll.qlYieldTSForwardRate($C$4,B131,B131,"Act/365 (fixed)","Continuous",,TRUE)</f>
        <v>4.3084660044216502E-2</v>
      </c>
      <c r="F131" s="249">
        <f>_xll.qlYieldTSForwardRate($C$5,B131,B131,"Act/365 (fixed)","Continuous",,TRUE)</f>
        <v>4.3915537380592513E-2</v>
      </c>
    </row>
    <row r="132" spans="2:6">
      <c r="B132" s="111">
        <f>_xll.qlCalendarAdvance("Null",B131,"1m")</f>
        <v>46935</v>
      </c>
      <c r="C132" s="112">
        <f t="shared" si="4"/>
        <v>8.7561643835616429</v>
      </c>
      <c r="D132" s="77">
        <f>_xll.qlYieldTSForwardRate($C$3,B132,B132,"Act/365 (fixed)","Continuous",,TRUE)</f>
        <v>4.4372116879889727E-2</v>
      </c>
      <c r="E132" s="248">
        <f>_xll.qlYieldTSForwardRate($C$4,B132,B132,"Act/365 (fixed)","Continuous",,TRUE)</f>
        <v>4.3387440561388269E-2</v>
      </c>
      <c r="F132" s="249">
        <f>_xll.qlYieldTSForwardRate($C$5,B132,B132,"Act/365 (fixed)","Continuous",,TRUE)</f>
        <v>4.4137137406959487E-2</v>
      </c>
    </row>
    <row r="133" spans="2:6">
      <c r="B133" s="111">
        <f>_xll.qlCalendarAdvance("Null",B132,"1m")</f>
        <v>46966</v>
      </c>
      <c r="C133" s="112">
        <f t="shared" si="4"/>
        <v>8.8410958904109584</v>
      </c>
      <c r="D133" s="77">
        <f>_xll.qlYieldTSForwardRate($C$3,B133,B133,"Act/365 (fixed)","Continuous",,TRUE)</f>
        <v>4.4590608374349389E-2</v>
      </c>
      <c r="E133" s="248">
        <f>_xll.qlYieldTSForwardRate($C$4,B133,B133,"Act/365 (fixed)","Continuous",,TRUE)</f>
        <v>4.3807809626765976E-2</v>
      </c>
      <c r="F133" s="249">
        <f>_xll.qlYieldTSForwardRate($C$5,B133,B133,"Act/365 (fixed)","Continuous",,TRUE)</f>
        <v>4.4396286902954385E-2</v>
      </c>
    </row>
    <row r="134" spans="2:6">
      <c r="B134" s="111">
        <f>_xll.qlCalendarAdvance("Null",B133,"1m")</f>
        <v>46997</v>
      </c>
      <c r="C134" s="112">
        <f t="shared" si="4"/>
        <v>8.9260273972602739</v>
      </c>
      <c r="D134" s="77">
        <f>_xll.qlYieldTSForwardRate($C$3,B134,B134,"Act/365 (fixed)","Continuous",,TRUE)</f>
        <v>4.4809099872916931E-2</v>
      </c>
      <c r="E134" s="248">
        <f>_xll.qlYieldTSForwardRate($C$4,B134,B134,"Act/365 (fixed)","Continuous",,TRUE)</f>
        <v>4.4354620582049815E-2</v>
      </c>
      <c r="F134" s="249">
        <f>_xll.qlYieldTSForwardRate($C$5,B134,B134,"Act/365 (fixed)","Continuous",,TRUE)</f>
        <v>4.4692499030596571E-2</v>
      </c>
    </row>
    <row r="135" spans="2:6">
      <c r="B135" s="111">
        <f>_xll.qlCalendarAdvance("Null",B134,"1m")</f>
        <v>47027</v>
      </c>
      <c r="C135" s="112">
        <f t="shared" si="4"/>
        <v>9.0082191780821912</v>
      </c>
      <c r="D135" s="77">
        <f>_xll.qlYieldTSForwardRate($C$3,B135,B135,"Act/365 (fixed)","Continuous",,TRUE)</f>
        <v>4.5020666512779466E-2</v>
      </c>
      <c r="E135" s="248">
        <f>_xll.qlYieldTSForwardRate($C$4,B135,B135,"Act/365 (fixed)","Continuous",,TRUE)</f>
        <v>4.5020543265255925E-2</v>
      </c>
      <c r="F135" s="249">
        <f>_xll.qlYieldTSForwardRate($C$5,B135,B135,"Act/365 (fixed)","Continuous",,TRUE)</f>
        <v>4.5020543267476364E-2</v>
      </c>
    </row>
    <row r="136" spans="2:6">
      <c r="B136" s="111">
        <f>_xll.qlCalendarAdvance("Null",B135,"1m")</f>
        <v>47058</v>
      </c>
      <c r="C136" s="112">
        <f t="shared" si="4"/>
        <v>9.0931506849315067</v>
      </c>
      <c r="D136" s="77">
        <f>_xll.qlYieldTSForwardRate($C$3,B136,B136,"Act/365 (fixed)","Continuous",,TRUE)</f>
        <v>4.6076506119910578E-2</v>
      </c>
      <c r="E136" s="248">
        <f>_xll.qlYieldTSForwardRate($C$4,B136,B136,"Act/365 (fixed)","Continuous",,TRUE)</f>
        <v>4.5859275410299404E-2</v>
      </c>
      <c r="F136" s="249">
        <f>_xll.qlYieldTSForwardRate($C$5,B136,B136,"Act/365 (fixed)","Continuous",,TRUE)</f>
        <v>4.5577539638005364E-2</v>
      </c>
    </row>
    <row r="137" spans="2:6">
      <c r="B137" s="111">
        <f>_xll.qlCalendarAdvance("Null",B136,"1m")</f>
        <v>47088</v>
      </c>
      <c r="C137" s="112">
        <f t="shared" si="4"/>
        <v>9.1753424657534239</v>
      </c>
      <c r="D137" s="77">
        <f>_xll.qlYieldTSForwardRate($C$3,B137,B137,"Act/365 (fixed)","Continuous",,TRUE)</f>
        <v>4.7098405664749814E-2</v>
      </c>
      <c r="E137" s="248">
        <f>_xll.qlYieldTSForwardRate($C$4,B137,B137,"Act/365 (fixed)","Continuous",,TRUE)</f>
        <v>4.6797275554333197E-2</v>
      </c>
      <c r="F137" s="249">
        <f>_xll.qlYieldTSForwardRate($C$5,B137,B137,"Act/365 (fixed)","Continuous",,TRUE)</f>
        <v>4.6440468566217231E-2</v>
      </c>
    </row>
    <row r="138" spans="2:6">
      <c r="B138" s="111">
        <f>_xll.qlCalendarAdvance("Null",B137,"1m")</f>
        <v>47119</v>
      </c>
      <c r="C138" s="112">
        <f t="shared" si="4"/>
        <v>9.2602739726027394</v>
      </c>
      <c r="D138" s="77">
        <f>_xll.qlYieldTSForwardRate($C$3,B138,B138,"Act/365 (fixed)","Continuous",,TRUE)</f>
        <v>4.8154368528694792E-2</v>
      </c>
      <c r="E138" s="248">
        <f>_xll.qlYieldTSForwardRate($C$4,B138,B138,"Act/365 (fixed)","Continuous",,TRUE)</f>
        <v>4.7869579700155214E-2</v>
      </c>
      <c r="F138" s="249">
        <f>_xll.qlYieldTSForwardRate($C$5,B138,B138,"Act/365 (fixed)","Continuous",,TRUE)</f>
        <v>4.7593147214872671E-2</v>
      </c>
    </row>
    <row r="139" spans="2:6">
      <c r="B139" s="111">
        <f>_xll.qlCalendarAdvance("Null",B138,"1m")</f>
        <v>47150</v>
      </c>
      <c r="C139" s="112">
        <f t="shared" si="4"/>
        <v>9.3452054794520549</v>
      </c>
      <c r="D139" s="77">
        <f>_xll.qlYieldTSForwardRate($C$3,B139,B139,"Act/365 (fixed)","Continuous",,TRUE)</f>
        <v>4.9210331392155776E-2</v>
      </c>
      <c r="E139" s="248">
        <f>_xll.qlYieldTSForwardRate($C$4,B139,B139,"Act/365 (fixed)","Continuous",,TRUE)</f>
        <v>4.9018662184890226E-2</v>
      </c>
      <c r="F139" s="249">
        <f>_xll.qlYieldTSForwardRate($C$5,B139,B139,"Act/365 (fixed)","Continuous",,TRUE)</f>
        <v>4.8936169909562947E-2</v>
      </c>
    </row>
    <row r="140" spans="2:6">
      <c r="B140" s="111">
        <f>_xll.qlCalendarAdvance("Null",B139,"1m")</f>
        <v>47178</v>
      </c>
      <c r="C140" s="112">
        <f t="shared" si="4"/>
        <v>9.4219178082191775</v>
      </c>
      <c r="D140" s="77">
        <f>_xll.qlYieldTSForwardRate($C$3,B140,B140,"Act/365 (fixed)","Continuous",,TRUE)</f>
        <v>5.0164104298863109E-2</v>
      </c>
      <c r="E140" s="248">
        <f>_xll.qlYieldTSForwardRate($C$4,B140,B140,"Act/365 (fixed)","Continuous",,TRUE)</f>
        <v>5.0099035970153048E-2</v>
      </c>
      <c r="F140" s="249">
        <f>_xll.qlYieldTSForwardRate($C$5,B140,B140,"Act/365 (fixed)","Continuous",,TRUE)</f>
        <v>5.0249832130715405E-2</v>
      </c>
    </row>
    <row r="141" spans="2:6">
      <c r="B141" s="111">
        <f>_xll.qlCalendarAdvance("Null",B140,"1m")</f>
        <v>47209</v>
      </c>
      <c r="C141" s="112">
        <f t="shared" si="4"/>
        <v>9.506849315068493</v>
      </c>
      <c r="D141" s="77">
        <f>_xll.qlYieldTSForwardRate($C$3,B141,B141,"Act/365 (fixed)","Continuous",,TRUE)</f>
        <v>5.1220067165485661E-2</v>
      </c>
      <c r="E141" s="248">
        <f>_xll.qlYieldTSForwardRate($C$4,B141,B141,"Act/365 (fixed)","Continuous",,TRUE)</f>
        <v>5.1316192093626256E-2</v>
      </c>
      <c r="F141" s="249">
        <f>_xll.qlYieldTSForwardRate($C$5,B141,B141,"Act/365 (fixed)","Continuous",,TRUE)</f>
        <v>5.1745888136328397E-2</v>
      </c>
    </row>
    <row r="142" spans="2:6">
      <c r="B142" s="111">
        <f>_xll.qlCalendarAdvance("Null",B141,"1m")</f>
        <v>47239</v>
      </c>
      <c r="C142" s="112">
        <f t="shared" si="4"/>
        <v>9.5890410958904102</v>
      </c>
      <c r="D142" s="77">
        <f>_xll.qlYieldTSForwardRate($C$3,B142,B142,"Act/365 (fixed)","Continuous",,TRUE)</f>
        <v>5.2241966708727321E-2</v>
      </c>
      <c r="E142" s="248">
        <f>_xll.qlYieldTSForwardRate($C$4,B142,B142,"Act/365 (fixed)","Continuous",,TRUE)</f>
        <v>5.2489382013657618E-2</v>
      </c>
      <c r="F142" s="249">
        <f>_xll.qlYieldTSForwardRate($C$5,B142,B142,"Act/365 (fixed)","Continuous",,TRUE)</f>
        <v>5.3166343741218154E-2</v>
      </c>
    </row>
    <row r="143" spans="2:6">
      <c r="B143" s="111">
        <f>_xll.qlCalendarAdvance("Null",B142,"1m")</f>
        <v>47270</v>
      </c>
      <c r="C143" s="112">
        <f t="shared" si="4"/>
        <v>9.6739726027397257</v>
      </c>
      <c r="D143" s="77">
        <f>_xll.qlYieldTSForwardRate($C$3,B143,B143,"Act/365 (fixed)","Continuous",,TRUE)</f>
        <v>5.3297929573537899E-2</v>
      </c>
      <c r="E143" s="248">
        <f>_xll.qlYieldTSForwardRate($C$4,B143,B143,"Act/365 (fixed)","Continuous",,TRUE)</f>
        <v>5.366932104096496E-2</v>
      </c>
      <c r="F143" s="249">
        <f>_xll.qlYieldTSForwardRate($C$5,B143,B143,"Act/365 (fixed)","Continuous",,TRUE)</f>
        <v>5.4532184538603243E-2</v>
      </c>
    </row>
    <row r="144" spans="2:6">
      <c r="B144" s="111">
        <f>_xll.qlCalendarAdvance("Null",B143,"1m")</f>
        <v>47300</v>
      </c>
      <c r="C144" s="112">
        <f t="shared" si="4"/>
        <v>9.7561643835616429</v>
      </c>
      <c r="D144" s="77">
        <f>_xll.qlYieldTSForwardRate($C$3,B144,B144,"Act/365 (fixed)","Continuous",,TRUE)</f>
        <v>5.4319829119825032E-2</v>
      </c>
      <c r="E144" s="248">
        <f>_xll.qlYieldTSForwardRate($C$4,B144,B144,"Act/365 (fixed)","Continuous",,TRUE)</f>
        <v>5.4753562985752922E-2</v>
      </c>
      <c r="F144" s="249">
        <f>_xll.qlYieldTSForwardRate($C$5,B144,B144,"Act/365 (fixed)","Continuous",,TRUE)</f>
        <v>5.5684733476051872E-2</v>
      </c>
    </row>
    <row r="145" spans="2:6">
      <c r="B145" s="111">
        <f>_xll.qlCalendarAdvance("Null",B144,"1m")</f>
        <v>47331</v>
      </c>
      <c r="C145" s="112">
        <f t="shared" si="4"/>
        <v>9.8410958904109584</v>
      </c>
      <c r="D145" s="77">
        <f>_xll.qlYieldTSForwardRate($C$3,B145,B145,"Act/365 (fixed)","Continuous",,TRUE)</f>
        <v>5.5375791982823594E-2</v>
      </c>
      <c r="E145" s="248">
        <f>_xll.qlYieldTSForwardRate($C$4,B145,B145,"Act/365 (fixed)","Continuous",,TRUE)</f>
        <v>5.5786893297911866E-2</v>
      </c>
      <c r="F145" s="249">
        <f>_xll.qlYieldTSForwardRate($C$5,B145,B145,"Act/365 (fixed)","Continuous",,TRUE)</f>
        <v>5.6627115700913722E-2</v>
      </c>
    </row>
    <row r="146" spans="2:6">
      <c r="B146" s="111">
        <f>_xll.qlCalendarAdvance("Null",B145,"1m")</f>
        <v>47362</v>
      </c>
      <c r="C146" s="112">
        <f t="shared" si="4"/>
        <v>9.9260273972602739</v>
      </c>
      <c r="D146" s="77">
        <f>_xll.qlYieldTSForwardRate($C$3,B146,B146,"Act/365 (fixed)","Continuous",,TRUE)</f>
        <v>5.6431754845338092E-2</v>
      </c>
      <c r="E146" s="248">
        <f>_xll.qlYieldTSForwardRate($C$4,B146,B146,"Act/365 (fixed)","Continuous",,TRUE)</f>
        <v>5.6703795353128431E-2</v>
      </c>
      <c r="F146" s="249">
        <f>_xll.qlYieldTSForwardRate($C$5,B146,B146,"Act/365 (fixed)","Continuous",,TRUE)</f>
        <v>5.7241917922444999E-2</v>
      </c>
    </row>
    <row r="147" spans="2:6">
      <c r="B147" s="111">
        <f>_xll.qlCalendarAdvance("Null",B146,"1m")</f>
        <v>47392</v>
      </c>
      <c r="C147" s="112">
        <f t="shared" si="4"/>
        <v>10.008219178082191</v>
      </c>
      <c r="D147" s="77">
        <f>_xll.qlYieldTSForwardRate($C$3,B147,B147,"Act/365 (fixed)","Continuous",,TRUE)</f>
        <v>5.7453436766455264E-2</v>
      </c>
      <c r="E147" s="248">
        <f>_xll.qlYieldTSForwardRate($C$4,B147,B147,"Act/365 (fixed)","Continuous",,TRUE)</f>
        <v>5.7453654382240489E-2</v>
      </c>
      <c r="F147" s="249">
        <f>_xll.qlYieldTSForwardRate($C$5,B147,B147,"Act/365 (fixed)","Continuous",,TRUE)</f>
        <v>5.7453654375579186E-2</v>
      </c>
    </row>
    <row r="148" spans="2:6">
      <c r="B148" s="111">
        <f>_xll.qlCalendarAdvance("Null",B147,"1m")</f>
        <v>47423</v>
      </c>
      <c r="C148" s="112">
        <f t="shared" si="4"/>
        <v>10.093150684931507</v>
      </c>
      <c r="D148" s="77">
        <f>_xll.qlYieldTSForwardRate($C$3,B148,B148,"Act/365 (fixed)","Continuous",,TRUE)</f>
        <v>5.7030964958070425E-2</v>
      </c>
      <c r="E148" s="248">
        <f>_xll.qlYieldTSForwardRate($C$4,B148,B148,"Act/365 (fixed)","Continuous",,TRUE)</f>
        <v>5.8065307352578845E-2</v>
      </c>
      <c r="F148" s="249">
        <f>_xll.qlYieldTSForwardRate($C$5,B148,B148,"Act/365 (fixed)","Continuous",,TRUE)</f>
        <v>5.7402442302001061E-2</v>
      </c>
    </row>
    <row r="149" spans="2:6">
      <c r="B149" s="111">
        <f>_xll.qlCalendarAdvance("Null",B148,"1m")</f>
        <v>47453</v>
      </c>
      <c r="C149" s="112">
        <f t="shared" si="4"/>
        <v>10.175342465753424</v>
      </c>
      <c r="D149" s="77">
        <f>_xll.qlYieldTSForwardRate($C$3,B149,B149,"Act/365 (fixed)","Continuous",,TRUE)</f>
        <v>5.6621910667339813E-2</v>
      </c>
      <c r="E149" s="248">
        <f>_xll.qlYieldTSForwardRate($C$4,B149,B149,"Act/365 (fixed)","Continuous",,TRUE)</f>
        <v>5.8502683312335768E-2</v>
      </c>
      <c r="F149" s="249">
        <f>_xll.qlYieldTSForwardRate($C$5,B149,B149,"Act/365 (fixed)","Continuous",,TRUE)</f>
        <v>5.7260888321223689E-2</v>
      </c>
    </row>
    <row r="150" spans="2:6">
      <c r="B150" s="111">
        <f>_xll.qlCalendarAdvance("Null",B149,"1m")</f>
        <v>47484</v>
      </c>
      <c r="C150" s="112">
        <f t="shared" si="4"/>
        <v>10.260273972602739</v>
      </c>
      <c r="D150" s="77">
        <f>_xll.qlYieldTSForwardRate($C$3,B150,B150,"Act/365 (fixed)","Continuous",,TRUE)</f>
        <v>5.6199221234658016E-2</v>
      </c>
      <c r="E150" s="248">
        <f>_xll.qlYieldTSForwardRate($C$4,B150,B150,"Act/365 (fixed)","Continuous",,TRUE)</f>
        <v>5.8804489036683324E-2</v>
      </c>
      <c r="F150" s="249">
        <f>_xll.qlYieldTSForwardRate($C$5,B150,B150,"Act/365 (fixed)","Continuous",,TRUE)</f>
        <v>5.7028170009749905E-2</v>
      </c>
    </row>
    <row r="151" spans="2:6">
      <c r="B151" s="111">
        <f>_xll.qlCalendarAdvance("Null",B150,"1m")</f>
        <v>47515</v>
      </c>
      <c r="C151" s="112">
        <f t="shared" si="4"/>
        <v>10.345205479452055</v>
      </c>
      <c r="D151" s="77">
        <f>_xll.qlYieldTSForwardRate($C$3,B151,B151,"Act/365 (fixed)","Continuous",,TRUE)</f>
        <v>5.5776531801873065E-2</v>
      </c>
      <c r="E151" s="248">
        <f>_xll.qlYieldTSForwardRate($C$4,B151,B151,"Act/365 (fixed)","Continuous",,TRUE)</f>
        <v>5.8963388766974954E-2</v>
      </c>
      <c r="F151" s="249">
        <f>_xll.qlYieldTSForwardRate($C$5,B151,B151,"Act/365 (fixed)","Continuous",,TRUE)</f>
        <v>5.6716344428128992E-2</v>
      </c>
    </row>
    <row r="152" spans="2:6">
      <c r="B152" s="111">
        <f>_xll.qlCalendarAdvance("Null",B151,"1m")</f>
        <v>47543</v>
      </c>
      <c r="C152" s="112">
        <f t="shared" si="4"/>
        <v>10.421917808219177</v>
      </c>
      <c r="D152" s="77">
        <f>_xll.qlYieldTSForwardRate($C$3,B152,B152,"Act/365 (fixed)","Continuous",,TRUE)</f>
        <v>5.5394747799113096E-2</v>
      </c>
      <c r="E152" s="248">
        <f>_xll.qlYieldTSForwardRate($C$4,B152,B152,"Act/365 (fixed)","Continuous",,TRUE)</f>
        <v>5.8992240590939861E-2</v>
      </c>
      <c r="F152" s="249">
        <f>_xll.qlYieldTSForwardRate($C$5,B152,B152,"Act/365 (fixed)","Continuous",,TRUE)</f>
        <v>5.6374063259488072E-2</v>
      </c>
    </row>
    <row r="153" spans="2:6">
      <c r="B153" s="111">
        <f>_xll.qlCalendarAdvance("Null",B152,"1m")</f>
        <v>47574</v>
      </c>
      <c r="C153" s="112">
        <f t="shared" si="4"/>
        <v>10.506849315068493</v>
      </c>
      <c r="D153" s="77">
        <f>_xll.qlYieldTSForwardRate($C$3,B153,B153,"Act/365 (fixed)","Continuous",,TRUE)</f>
        <v>5.4972058363409973E-2</v>
      </c>
      <c r="E153" s="248">
        <f>_xll.qlYieldTSForwardRate($C$4,B153,B153,"Act/365 (fixed)","Continuous",,TRUE)</f>
        <v>5.8906261594264257E-2</v>
      </c>
      <c r="F153" s="249">
        <f>_xll.qlYieldTSForwardRate($C$5,B153,B153,"Act/365 (fixed)","Continuous",,TRUE)</f>
        <v>5.5936131469840472E-2</v>
      </c>
    </row>
    <row r="154" spans="2:6">
      <c r="B154" s="111">
        <f>_xll.qlCalendarAdvance("Null",B153,"1m")</f>
        <v>47604</v>
      </c>
      <c r="C154" s="112">
        <f t="shared" si="4"/>
        <v>10.58904109589041</v>
      </c>
      <c r="D154" s="77">
        <f>_xll.qlYieldTSForwardRate($C$3,B154,B154,"Act/365 (fixed)","Continuous",,TRUE)</f>
        <v>5.4563004075055821E-2</v>
      </c>
      <c r="E154" s="248">
        <f>_xll.qlYieldTSForwardRate($C$4,B154,B154,"Act/365 (fixed)","Continuous",,TRUE)</f>
        <v>5.8714008594516698E-2</v>
      </c>
      <c r="F154" s="249">
        <f>_xll.qlYieldTSForwardRate($C$5,B154,B154,"Act/365 (fixed)","Continuous",,TRUE)</f>
        <v>5.5461381408109939E-2</v>
      </c>
    </row>
    <row r="155" spans="2:6">
      <c r="B155" s="111">
        <f>_xll.qlCalendarAdvance("Null",B154,"1m")</f>
        <v>47635</v>
      </c>
      <c r="C155" s="112">
        <f t="shared" ref="C155:C218" si="5">(B155-$B$27)/365</f>
        <v>10.673972602739726</v>
      </c>
      <c r="D155" s="77">
        <f>_xll.qlYieldTSForwardRate($C$3,B155,B155,"Act/365 (fixed)","Continuous",,TRUE)</f>
        <v>5.4140314641943139E-2</v>
      </c>
      <c r="E155" s="248">
        <f>_xll.qlYieldTSForwardRate($C$4,B155,B155,"Act/365 (fixed)","Continuous",,TRUE)</f>
        <v>5.8412213110296186E-2</v>
      </c>
      <c r="F155" s="249">
        <f>_xll.qlYieldTSForwardRate($C$5,B155,B155,"Act/365 (fixed)","Continuous",,TRUE)</f>
        <v>5.4926777577748394E-2</v>
      </c>
    </row>
    <row r="156" spans="2:6">
      <c r="B156" s="111">
        <f>_xll.qlCalendarAdvance("Null",B155,"1m")</f>
        <v>47665</v>
      </c>
      <c r="C156" s="112">
        <f t="shared" si="5"/>
        <v>10.756164383561643</v>
      </c>
      <c r="D156" s="77">
        <f>_xll.qlYieldTSForwardRate($C$3,B156,B156,"Act/365 (fixed)","Continuous",,TRUE)</f>
        <v>5.3731260350652219E-2</v>
      </c>
      <c r="E156" s="248">
        <f>_xll.qlYieldTSForwardRate($C$4,B156,B156,"Act/365 (fixed)","Continuous",,TRUE)</f>
        <v>5.8029485739449604E-2</v>
      </c>
      <c r="F156" s="249">
        <f>_xll.qlYieldTSForwardRate($C$5,B156,B156,"Act/365 (fixed)","Continuous",,TRUE)</f>
        <v>5.4375056548733897E-2</v>
      </c>
    </row>
    <row r="157" spans="2:6">
      <c r="B157" s="111">
        <f>_xll.qlCalendarAdvance("Null",B156,"1m")</f>
        <v>47696</v>
      </c>
      <c r="C157" s="112">
        <f t="shared" si="5"/>
        <v>10.841095890410958</v>
      </c>
      <c r="D157" s="77">
        <f>_xll.qlYieldTSForwardRate($C$3,B157,B157,"Act/365 (fixed)","Continuous",,TRUE)</f>
        <v>5.330857091790956E-2</v>
      </c>
      <c r="E157" s="248">
        <f>_xll.qlYieldTSForwardRate($C$4,B157,B157,"Act/365 (fixed)","Continuous",,TRUE)</f>
        <v>5.7549859705639909E-2</v>
      </c>
      <c r="F157" s="249">
        <f>_xll.qlYieldTSForwardRate($C$5,B157,B157,"Act/365 (fixed)","Continuous",,TRUE)</f>
        <v>5.3778051432158129E-2</v>
      </c>
    </row>
    <row r="158" spans="2:6">
      <c r="B158" s="111">
        <f>_xll.qlCalendarAdvance("Null",B157,"1m")</f>
        <v>47727</v>
      </c>
      <c r="C158" s="112">
        <f t="shared" si="5"/>
        <v>10.926027397260274</v>
      </c>
      <c r="D158" s="77">
        <f>_xll.qlYieldTSForwardRate($C$3,B158,B158,"Act/365 (fixed)","Continuous",,TRUE)</f>
        <v>5.2885881487284167E-2</v>
      </c>
      <c r="E158" s="248">
        <f>_xll.qlYieldTSForwardRate($C$4,B158,B158,"Act/365 (fixed)","Continuous",,TRUE)</f>
        <v>5.6994418132146514E-2</v>
      </c>
      <c r="F158" s="249">
        <f>_xll.qlYieldTSForwardRate($C$5,B158,B158,"Act/365 (fixed)","Continuous",,TRUE)</f>
        <v>5.3162467784507617E-2</v>
      </c>
    </row>
    <row r="159" spans="2:6">
      <c r="B159" s="111">
        <f>_xll.qlCalendarAdvance("Null",B158,"1m")</f>
        <v>47757</v>
      </c>
      <c r="C159" s="112">
        <f t="shared" si="5"/>
        <v>11.008219178082191</v>
      </c>
      <c r="D159" s="77">
        <f>_xll.qlYieldTSForwardRate($C$3,B159,B159,"Act/365 (fixed)","Continuous",,TRUE)</f>
        <v>5.2476827195750114E-2</v>
      </c>
      <c r="E159" s="248">
        <f>_xll.qlYieldTSForwardRate($C$4,B159,B159,"Act/365 (fixed)","Continuous",,TRUE)</f>
        <v>5.6393947901213694E-2</v>
      </c>
      <c r="F159" s="249">
        <f>_xll.qlYieldTSForwardRate($C$5,B159,B159,"Act/365 (fixed)","Continuous",,TRUE)</f>
        <v>5.2557389058392794E-2</v>
      </c>
    </row>
    <row r="160" spans="2:6">
      <c r="B160" s="111">
        <f>_xll.qlCalendarAdvance("Null",B159,"1m")</f>
        <v>47788</v>
      </c>
      <c r="C160" s="112">
        <f t="shared" si="5"/>
        <v>11.093150684931507</v>
      </c>
      <c r="D160" s="77">
        <f>_xll.qlYieldTSForwardRate($C$3,B160,B160,"Act/365 (fixed)","Continuous",,TRUE)</f>
        <v>5.2054137763274312E-2</v>
      </c>
      <c r="E160" s="248">
        <f>_xll.qlYieldTSForwardRate($C$4,B160,B160,"Act/365 (fixed)","Continuous",,TRUE)</f>
        <v>5.5717966045267665E-2</v>
      </c>
      <c r="F160" s="249">
        <f>_xll.qlYieldTSForwardRate($C$5,B160,B160,"Act/365 (fixed)","Continuous",,TRUE)</f>
        <v>5.1931091177285491E-2</v>
      </c>
    </row>
    <row r="161" spans="2:6">
      <c r="B161" s="111">
        <f>_xll.qlCalendarAdvance("Null",B160,"1m")</f>
        <v>47818</v>
      </c>
      <c r="C161" s="112">
        <f t="shared" si="5"/>
        <v>11.175342465753424</v>
      </c>
      <c r="D161" s="77">
        <f>_xll.qlYieldTSForwardRate($C$3,B161,B161,"Act/365 (fixed)","Continuous",,TRUE)</f>
        <v>5.1645083471023943E-2</v>
      </c>
      <c r="E161" s="248">
        <f>_xll.qlYieldTSForwardRate($C$4,B161,B161,"Act/365 (fixed)","Continuous",,TRUE)</f>
        <v>5.5019224221695792E-2</v>
      </c>
      <c r="F161" s="249">
        <f>_xll.qlYieldTSForwardRate($C$5,B161,B161,"Act/365 (fixed)","Continuous",,TRUE)</f>
        <v>5.1332226465095644E-2</v>
      </c>
    </row>
    <row r="162" spans="2:6">
      <c r="B162" s="111">
        <f>_xll.qlCalendarAdvance("Null",B161,"1m")</f>
        <v>47849</v>
      </c>
      <c r="C162" s="112">
        <f t="shared" si="5"/>
        <v>11.260273972602739</v>
      </c>
      <c r="D162" s="77">
        <f>_xll.qlYieldTSForwardRate($C$3,B162,B162,"Act/365 (fixed)","Continuous",,TRUE)</f>
        <v>5.1222394041138597E-2</v>
      </c>
      <c r="E162" s="248">
        <f>_xll.qlYieldTSForwardRate($C$4,B162,B162,"Act/365 (fixed)","Continuous",,TRUE)</f>
        <v>5.4260688020254792E-2</v>
      </c>
      <c r="F162" s="249">
        <f>_xll.qlYieldTSForwardRate($C$5,B162,B162,"Act/365 (fixed)","Continuous",,TRUE)</f>
        <v>5.0729485113241823E-2</v>
      </c>
    </row>
    <row r="163" spans="2:6">
      <c r="B163" s="111">
        <f>_xll.qlCalendarAdvance("Null",B162,"1m")</f>
        <v>47880</v>
      </c>
      <c r="C163" s="112">
        <f t="shared" si="5"/>
        <v>11.345205479452055</v>
      </c>
      <c r="D163" s="77">
        <f>_xll.qlYieldTSForwardRate($C$3,B163,B163,"Act/365 (fixed)","Continuous",,TRUE)</f>
        <v>5.0799704606709233E-2</v>
      </c>
      <c r="E163" s="248">
        <f>_xll.qlYieldTSForwardRate($C$4,B163,B163,"Act/365 (fixed)","Continuous",,TRUE)</f>
        <v>5.347475533391733E-2</v>
      </c>
      <c r="F163" s="249">
        <f>_xll.qlYieldTSForwardRate($C$5,B163,B163,"Act/365 (fixed)","Continuous",,TRUE)</f>
        <v>5.0151848712726932E-2</v>
      </c>
    </row>
    <row r="164" spans="2:6">
      <c r="B164" s="111">
        <f>_xll.qlCalendarAdvance("Null",B163,"1m")</f>
        <v>47908</v>
      </c>
      <c r="C164" s="112">
        <f t="shared" si="5"/>
        <v>11.421917808219177</v>
      </c>
      <c r="D164" s="77">
        <f>_xll.qlYieldTSForwardRate($C$3,B164,B164,"Act/365 (fixed)","Continuous",,TRUE)</f>
        <v>5.0417920602678877E-2</v>
      </c>
      <c r="E164" s="248">
        <f>_xll.qlYieldTSForwardRate($C$4,B164,B164,"Act/365 (fixed)","Continuous",,TRUE)</f>
        <v>5.2749493023267549E-2</v>
      </c>
      <c r="F164" s="249">
        <f>_xll.qlYieldTSForwardRate($C$5,B164,B164,"Act/365 (fixed)","Continuous",,TRUE)</f>
        <v>4.9659052974248184E-2</v>
      </c>
    </row>
    <row r="165" spans="2:6">
      <c r="B165" s="111">
        <f>_xll.qlCalendarAdvance("Null",B164,"1m")</f>
        <v>47939</v>
      </c>
      <c r="C165" s="112">
        <f t="shared" si="5"/>
        <v>11.506849315068493</v>
      </c>
      <c r="D165" s="77">
        <f>_xll.qlYieldTSForwardRate($C$3,B165,B165,"Act/365 (fixed)","Continuous",,TRUE)</f>
        <v>4.9995231169772225E-2</v>
      </c>
      <c r="E165" s="248">
        <f>_xll.qlYieldTSForwardRate($C$4,B165,B165,"Act/365 (fixed)","Continuous",,TRUE)</f>
        <v>5.193852228328065E-2</v>
      </c>
      <c r="F165" s="249">
        <f>_xll.qlYieldTSForwardRate($C$5,B165,B165,"Act/365 (fixed)","Continuous",,TRUE)</f>
        <v>4.9153649753990176E-2</v>
      </c>
    </row>
    <row r="166" spans="2:6">
      <c r="B166" s="111">
        <f>_xll.qlCalendarAdvance("Null",B165,"1m")</f>
        <v>47969</v>
      </c>
      <c r="C166" s="112">
        <f t="shared" si="5"/>
        <v>11.58904109589041</v>
      </c>
      <c r="D166" s="77">
        <f>_xll.qlYieldTSForwardRate($C$3,B166,B166,"Act/365 (fixed)","Continuous",,TRUE)</f>
        <v>4.9586176879898344E-2</v>
      </c>
      <c r="E166" s="248">
        <f>_xll.qlYieldTSForwardRate($C$4,B166,B166,"Act/365 (fixed)","Continuous",,TRUE)</f>
        <v>5.1154644813098629E-2</v>
      </c>
      <c r="F166" s="249">
        <f>_xll.qlYieldTSForwardRate($C$5,B166,B166,"Act/365 (fixed)","Continuous",,TRUE)</f>
        <v>4.8712828668722195E-2</v>
      </c>
    </row>
    <row r="167" spans="2:6">
      <c r="B167" s="111">
        <f>_xll.qlCalendarAdvance("Null",B166,"1m")</f>
        <v>48000</v>
      </c>
      <c r="C167" s="112">
        <f t="shared" si="5"/>
        <v>11.673972602739726</v>
      </c>
      <c r="D167" s="77">
        <f>_xll.qlYieldTSForwardRate($C$3,B167,B167,"Act/365 (fixed)","Continuous",,TRUE)</f>
        <v>4.9163487447361716E-2</v>
      </c>
      <c r="E167" s="248">
        <f>_xll.qlYieldTSForwardRate($C$4,B167,B167,"Act/365 (fixed)","Continuous",,TRUE)</f>
        <v>5.035515049232224E-2</v>
      </c>
      <c r="F167" s="249">
        <f>_xll.qlYieldTSForwardRate($C$5,B167,B167,"Act/365 (fixed)","Continuous",,TRUE)</f>
        <v>4.8315816160145152E-2</v>
      </c>
    </row>
    <row r="168" spans="2:6">
      <c r="B168" s="111">
        <f>_xll.qlCalendarAdvance("Null",B167,"1m")</f>
        <v>48030</v>
      </c>
      <c r="C168" s="112">
        <f t="shared" si="5"/>
        <v>11.756164383561643</v>
      </c>
      <c r="D168" s="77">
        <f>_xll.qlYieldTSForwardRate($C$3,B168,B168,"Act/365 (fixed)","Continuous",,TRUE)</f>
        <v>4.8754433154551101E-2</v>
      </c>
      <c r="E168" s="248">
        <f>_xll.qlYieldTSForwardRate($C$4,B168,B168,"Act/365 (fixed)","Continuous",,TRUE)</f>
        <v>4.960075952483374E-2</v>
      </c>
      <c r="F168" s="249">
        <f>_xll.qlYieldTSForwardRate($C$5,B168,B168,"Act/365 (fixed)","Continuous",,TRUE)</f>
        <v>4.7996471943702525E-2</v>
      </c>
    </row>
    <row r="169" spans="2:6">
      <c r="B169" s="111">
        <f>_xll.qlCalendarAdvance("Null",B168,"1m")</f>
        <v>48061</v>
      </c>
      <c r="C169" s="112">
        <f t="shared" si="5"/>
        <v>11.841095890410958</v>
      </c>
      <c r="D169" s="77">
        <f>_xll.qlYieldTSForwardRate($C$3,B169,B169,"Act/365 (fixed)","Continuous",,TRUE)</f>
        <v>4.8331743722384517E-2</v>
      </c>
      <c r="E169" s="248">
        <f>_xll.qlYieldTSForwardRate($C$4,B169,B169,"Act/365 (fixed)","Continuous",,TRUE)</f>
        <v>4.8850727558905044E-2</v>
      </c>
      <c r="F169" s="249">
        <f>_xll.qlYieldTSForwardRate($C$5,B169,B169,"Act/365 (fixed)","Continuous",,TRUE)</f>
        <v>4.7742120906452225E-2</v>
      </c>
    </row>
    <row r="170" spans="2:6">
      <c r="B170" s="111">
        <f>_xll.qlCalendarAdvance("Null",B169,"1m")</f>
        <v>48092</v>
      </c>
      <c r="C170" s="112">
        <f t="shared" si="5"/>
        <v>11.926027397260274</v>
      </c>
      <c r="D170" s="77">
        <f>_xll.qlYieldTSForwardRate($C$3,B170,B170,"Act/365 (fixed)","Continuous",,TRUE)</f>
        <v>4.7909054290114772E-2</v>
      </c>
      <c r="E170" s="248">
        <f>_xll.qlYieldTSForwardRate($C$4,B170,B170,"Act/365 (fixed)","Continuous",,TRUE)</f>
        <v>4.8140389560293255E-2</v>
      </c>
      <c r="F170" s="249">
        <f>_xll.qlYieldTSForwardRate($C$5,B170,B170,"Act/365 (fixed)","Continuous",,TRUE)</f>
        <v>4.7573403559961626E-2</v>
      </c>
    </row>
    <row r="171" spans="2:6">
      <c r="B171" s="111">
        <f>_xll.qlCalendarAdvance("Null",B170,"1m")</f>
        <v>48122</v>
      </c>
      <c r="C171" s="112">
        <f t="shared" si="5"/>
        <v>12.008219178082191</v>
      </c>
      <c r="D171" s="77">
        <f>_xll.qlYieldTSForwardRate($C$3,B171,B171,"Act/365 (fixed)","Continuous",,TRUE)</f>
        <v>4.7500060128674873E-2</v>
      </c>
      <c r="E171" s="248">
        <f>_xll.qlYieldTSForwardRate($C$4,B171,B171,"Act/365 (fixed)","Continuous",,TRUE)</f>
        <v>4.7500000003722349E-2</v>
      </c>
      <c r="F171" s="249">
        <f>_xll.qlYieldTSForwardRate($C$5,B171,B171,"Act/365 (fixed)","Continuous",,TRUE)</f>
        <v>4.7500000003722349E-2</v>
      </c>
    </row>
    <row r="172" spans="2:6">
      <c r="B172" s="111">
        <f>_xll.qlCalendarAdvance("Null",B171,"1m")</f>
        <v>48153</v>
      </c>
      <c r="C172" s="112">
        <f t="shared" si="5"/>
        <v>12.093150684931507</v>
      </c>
      <c r="D172" s="77">
        <f>_xll.qlYieldTSForwardRate($C$3,B172,B172,"Act/365 (fixed)","Continuous",,TRUE)</f>
        <v>4.7485857663643334E-2</v>
      </c>
      <c r="E172" s="248">
        <f>_xll.qlYieldTSForwardRate($C$4,B172,B172,"Act/365 (fixed)","Continuous",,TRUE)</f>
        <v>4.6894441662833117E-2</v>
      </c>
      <c r="F172" s="249">
        <f>_xll.qlYieldTSForwardRate($C$5,B172,B172,"Act/365 (fixed)","Continuous",,TRUE)</f>
        <v>4.7473528788750864E-2</v>
      </c>
    </row>
    <row r="173" spans="2:6">
      <c r="B173" s="111">
        <f>_xll.qlCalendarAdvance("Null",B172,"1m")</f>
        <v>48183</v>
      </c>
      <c r="C173" s="112">
        <f t="shared" si="5"/>
        <v>12.175342465753424</v>
      </c>
      <c r="D173" s="77">
        <f>_xll.qlYieldTSForwardRate($C$3,B173,B173,"Act/365 (fixed)","Continuous",,TRUE)</f>
        <v>4.7472171534223874E-2</v>
      </c>
      <c r="E173" s="248">
        <f>_xll.qlYieldTSForwardRate($C$4,B173,B173,"Act/365 (fixed)","Continuous",,TRUE)</f>
        <v>4.6362682112392251E-2</v>
      </c>
      <c r="F173" s="249">
        <f>_xll.qlYieldTSForwardRate($C$5,B173,B173,"Act/365 (fixed)","Continuous",,TRUE)</f>
        <v>4.7449563930263165E-2</v>
      </c>
    </row>
    <row r="174" spans="2:6">
      <c r="B174" s="111">
        <f>_xll.qlCalendarAdvance("Null",B173,"1m")</f>
        <v>48214</v>
      </c>
      <c r="C174" s="112">
        <f t="shared" si="5"/>
        <v>12.260273972602739</v>
      </c>
      <c r="D174" s="77">
        <f>_xll.qlYieldTSForwardRate($C$3,B174,B174,"Act/365 (fixed)","Continuous",,TRUE)</f>
        <v>4.745802919632594E-2</v>
      </c>
      <c r="E174" s="248">
        <f>_xll.qlYieldTSForwardRate($C$4,B174,B174,"Act/365 (fixed)","Continuous",,TRUE)</f>
        <v>4.5867297478709816E-2</v>
      </c>
      <c r="F174" s="249">
        <f>_xll.qlYieldTSForwardRate($C$5,B174,B174,"Act/365 (fixed)","Continuous",,TRUE)</f>
        <v>4.7426418756591891E-2</v>
      </c>
    </row>
    <row r="175" spans="2:6">
      <c r="B175" s="111">
        <f>_xll.qlCalendarAdvance("Null",B174,"1m")</f>
        <v>48245</v>
      </c>
      <c r="C175" s="112">
        <f t="shared" si="5"/>
        <v>12.345205479452055</v>
      </c>
      <c r="D175" s="77">
        <f>_xll.qlYieldTSForwardRate($C$3,B175,B175,"Act/365 (fixed)","Continuous",,TRUE)</f>
        <v>4.7443886860628441E-2</v>
      </c>
      <c r="E175" s="248">
        <f>_xll.qlYieldTSForwardRate($C$4,B175,B175,"Act/365 (fixed)","Continuous",,TRUE)</f>
        <v>4.542489438112695E-2</v>
      </c>
      <c r="F175" s="249">
        <f>_xll.qlYieldTSForwardRate($C$5,B175,B175,"Act/365 (fixed)","Continuous",,TRUE)</f>
        <v>4.7404828163067479E-2</v>
      </c>
    </row>
    <row r="176" spans="2:6">
      <c r="B176" s="111">
        <f>_xll.qlCalendarAdvance("Null",B175,"1m")</f>
        <v>48274</v>
      </c>
      <c r="C176" s="112">
        <f t="shared" si="5"/>
        <v>12.424657534246576</v>
      </c>
      <c r="D176" s="77">
        <f>_xll.qlYieldTSForwardRate($C$3,B176,B176,"Act/365 (fixed)","Continuous",,TRUE)</f>
        <v>4.7430656935171678E-2</v>
      </c>
      <c r="E176" s="248">
        <f>_xll.qlYieldTSForwardRate($C$4,B176,B176,"Act/365 (fixed)","Continuous",,TRUE)</f>
        <v>4.5057202036035478E-2</v>
      </c>
      <c r="F176" s="249">
        <f>_xll.qlYieldTSForwardRate($C$5,B176,B176,"Act/365 (fixed)","Continuous",,TRUE)</f>
        <v>4.738595686805383E-2</v>
      </c>
    </row>
    <row r="177" spans="2:6">
      <c r="B177" s="111">
        <f>_xll.qlCalendarAdvance("Null",B176,"1m")</f>
        <v>48305</v>
      </c>
      <c r="C177" s="112">
        <f t="shared" si="5"/>
        <v>12.509589041095891</v>
      </c>
      <c r="D177" s="77">
        <f>_xll.qlYieldTSForwardRate($C$3,B177,B177,"Act/365 (fixed)","Continuous",,TRUE)</f>
        <v>4.7416514597215034E-2</v>
      </c>
      <c r="E177" s="248">
        <f>_xll.qlYieldTSForwardRate($C$4,B177,B177,"Act/365 (fixed)","Continuous",,TRUE)</f>
        <v>4.4711584460670931E-2</v>
      </c>
      <c r="F177" s="249">
        <f>_xll.qlYieldTSForwardRate($C$5,B177,B177,"Act/365 (fixed)","Continuous",,TRUE)</f>
        <v>4.7367115335722423E-2</v>
      </c>
    </row>
    <row r="178" spans="2:6">
      <c r="B178" s="111">
        <f>_xll.qlCalendarAdvance("Null",B177,"1m")</f>
        <v>48335</v>
      </c>
      <c r="C178" s="112">
        <f t="shared" si="5"/>
        <v>12.591780821917808</v>
      </c>
      <c r="D178" s="77">
        <f>_xll.qlYieldTSForwardRate($C$3,B178,B178,"Act/365 (fixed)","Continuous",,TRUE)</f>
        <v>4.7402828467700671E-2</v>
      </c>
      <c r="E178" s="248">
        <f>_xll.qlYieldTSForwardRate($C$4,B178,B178,"Act/365 (fixed)","Continuous",,TRUE)</f>
        <v>4.4421915588222415E-2</v>
      </c>
      <c r="F178" s="249">
        <f>_xll.qlYieldTSForwardRate($C$5,B178,B178,"Act/365 (fixed)","Continuous",,TRUE)</f>
        <v>4.7350107088192039E-2</v>
      </c>
    </row>
    <row r="179" spans="2:6">
      <c r="B179" s="111">
        <f>_xll.qlCalendarAdvance("Null",B178,"1m")</f>
        <v>48366</v>
      </c>
      <c r="C179" s="112">
        <f t="shared" si="5"/>
        <v>12.676712328767124</v>
      </c>
      <c r="D179" s="77">
        <f>_xll.qlYieldTSForwardRate($C$3,B179,B179,"Act/365 (fixed)","Continuous",,TRUE)</f>
        <v>4.7388686129704663E-2</v>
      </c>
      <c r="E179" s="248">
        <f>_xll.qlYieldTSForwardRate($C$4,B179,B179,"Act/365 (fixed)","Continuous",,TRUE)</f>
        <v>4.4166910914612847E-2</v>
      </c>
      <c r="F179" s="249">
        <f>_xll.qlYieldTSForwardRate($C$5,B179,B179,"Act/365 (fixed)","Continuous",,TRUE)</f>
        <v>4.7333709231701139E-2</v>
      </c>
    </row>
    <row r="180" spans="2:6">
      <c r="B180" s="111">
        <f>_xll.qlCalendarAdvance("Null",B179,"1m")</f>
        <v>48396</v>
      </c>
      <c r="C180" s="112">
        <f t="shared" si="5"/>
        <v>12.758904109589041</v>
      </c>
      <c r="D180" s="77">
        <f>_xll.qlYieldTSForwardRate($C$3,B180,B180,"Act/365 (fixed)","Continuous",,TRUE)</f>
        <v>4.7375000000152219E-2</v>
      </c>
      <c r="E180" s="248">
        <f>_xll.qlYieldTSForwardRate($C$4,B180,B180,"Act/365 (fixed)","Continuous",,TRUE)</f>
        <v>4.3961133529168951E-2</v>
      </c>
      <c r="F180" s="249">
        <f>_xll.qlYieldTSForwardRate($C$5,B180,B180,"Act/365 (fixed)","Continuous",,TRUE)</f>
        <v>4.7318894490214286E-2</v>
      </c>
    </row>
    <row r="181" spans="2:6">
      <c r="B181" s="111">
        <f>_xll.qlCalendarAdvance("Null",B180,"1m")</f>
        <v>48427</v>
      </c>
      <c r="C181" s="112">
        <f t="shared" si="5"/>
        <v>12.843835616438357</v>
      </c>
      <c r="D181" s="77">
        <f>_xll.qlYieldTSForwardRate($C$3,B181,B181,"Act/365 (fixed)","Continuous",,TRUE)</f>
        <v>4.7360857664337293E-2</v>
      </c>
      <c r="E181" s="248">
        <f>_xll.qlYieldTSForwardRate($C$4,B181,B181,"Act/365 (fixed)","Continuous",,TRUE)</f>
        <v>4.3788891698021866E-2</v>
      </c>
      <c r="F181" s="249">
        <f>_xll.qlYieldTSForwardRate($C$5,B181,B181,"Act/365 (fixed)","Continuous",,TRUE)</f>
        <v>4.7304586207849088E-2</v>
      </c>
    </row>
    <row r="182" spans="2:6">
      <c r="B182" s="111">
        <f>_xll.qlCalendarAdvance("Null",B181,"1m")</f>
        <v>48458</v>
      </c>
      <c r="C182" s="112">
        <f t="shared" si="5"/>
        <v>12.92876712328767</v>
      </c>
      <c r="D182" s="77">
        <f>_xll.qlYieldTSForwardRate($C$3,B182,B182,"Act/365 (fixed)","Continuous",,TRUE)</f>
        <v>4.7346715328502376E-2</v>
      </c>
      <c r="E182" s="248">
        <f>_xll.qlYieldTSForwardRate($C$4,B182,B182,"Act/365 (fixed)","Continuous",,TRUE)</f>
        <v>4.3655701288793029E-2</v>
      </c>
      <c r="F182" s="249">
        <f>_xll.qlYieldTSForwardRate($C$5,B182,B182,"Act/365 (fixed)","Continuous",,TRUE)</f>
        <v>4.7291204135743815E-2</v>
      </c>
    </row>
    <row r="183" spans="2:6">
      <c r="B183" s="111">
        <f>_xll.qlCalendarAdvance("Null",B182,"1m")</f>
        <v>48488</v>
      </c>
      <c r="C183" s="112">
        <f t="shared" si="5"/>
        <v>13.010958904109589</v>
      </c>
      <c r="D183" s="77">
        <f>_xll.qlYieldTSForwardRate($C$3,B183,B183,"Act/365 (fixed)","Continuous",,TRUE)</f>
        <v>4.7333029196672045E-2</v>
      </c>
      <c r="E183" s="248">
        <f>_xll.qlYieldTSForwardRate($C$4,B183,B183,"Act/365 (fixed)","Continuous",,TRUE)</f>
        <v>4.356207991340745E-2</v>
      </c>
      <c r="F183" s="249">
        <f>_xll.qlYieldTSForwardRate($C$5,B183,B183,"Act/365 (fixed)","Continuous",,TRUE)</f>
        <v>4.7279049478205153E-2</v>
      </c>
    </row>
    <row r="184" spans="2:6">
      <c r="B184" s="111">
        <f>_xll.qlCalendarAdvance("Null",B183,"1m")</f>
        <v>48519</v>
      </c>
      <c r="C184" s="112">
        <f t="shared" si="5"/>
        <v>13.095890410958905</v>
      </c>
      <c r="D184" s="77">
        <f>_xll.qlYieldTSForwardRate($C$3,B184,B184,"Act/365 (fixed)","Continuous",,TRUE)</f>
        <v>4.7318886860797771E-2</v>
      </c>
      <c r="E184" s="248">
        <f>_xll.qlYieldTSForwardRate($C$4,B184,B184,"Act/365 (fixed)","Continuous",,TRUE)</f>
        <v>4.3499812908682239E-2</v>
      </c>
      <c r="F184" s="249">
        <f>_xll.qlYieldTSForwardRate($C$5,B184,B184,"Act/365 (fixed)","Continuous",,TRUE)</f>
        <v>4.7267222916650017E-2</v>
      </c>
    </row>
    <row r="185" spans="2:6">
      <c r="B185" s="111">
        <f>_xll.qlCalendarAdvance("Null",B184,"1m")</f>
        <v>48549</v>
      </c>
      <c r="C185" s="112">
        <f t="shared" si="5"/>
        <v>13.178082191780822</v>
      </c>
      <c r="D185" s="77">
        <f>_xll.qlYieldTSForwardRate($C$3,B185,B185,"Act/365 (fixed)","Continuous",,TRUE)</f>
        <v>4.7305200728929346E-2</v>
      </c>
      <c r="E185" s="248">
        <f>_xll.qlYieldTSForwardRate($C$4,B185,B185,"Act/365 (fixed)","Continuous",,TRUE)</f>
        <v>4.3471028670070584E-2</v>
      </c>
      <c r="F185" s="249">
        <f>_xll.qlYieldTSForwardRate($C$5,B185,B185,"Act/365 (fixed)","Continuous",,TRUE)</f>
        <v>4.7256402252355764E-2</v>
      </c>
    </row>
    <row r="186" spans="2:6">
      <c r="B186" s="111">
        <f>_xll.qlCalendarAdvance("Null",B185,"1m")</f>
        <v>48580</v>
      </c>
      <c r="C186" s="112">
        <f t="shared" si="5"/>
        <v>13.263013698630138</v>
      </c>
      <c r="D186" s="77">
        <f>_xll.qlYieldTSForwardRate($C$3,B186,B186,"Act/365 (fixed)","Continuous",,TRUE)</f>
        <v>4.7291058393015721E-2</v>
      </c>
      <c r="E186" s="248">
        <f>_xll.qlYieldTSForwardRate($C$4,B186,B186,"Act/365 (fixed)","Continuous",,TRUE)</f>
        <v>4.3471835010445867E-2</v>
      </c>
      <c r="F186" s="249">
        <f>_xll.qlYieldTSForwardRate($C$5,B186,B186,"Act/365 (fixed)","Continuous",,TRUE)</f>
        <v>4.7245777097400743E-2</v>
      </c>
    </row>
    <row r="187" spans="2:6">
      <c r="B187" s="111">
        <f>_xll.qlCalendarAdvance("Null",B186,"1m")</f>
        <v>48611</v>
      </c>
      <c r="C187" s="112">
        <f t="shared" si="5"/>
        <v>13.347945205479451</v>
      </c>
      <c r="D187" s="77">
        <f>_xll.qlYieldTSForwardRate($C$3,B187,B187,"Act/365 (fixed)","Continuous",,TRUE)</f>
        <v>4.7276916059302516E-2</v>
      </c>
      <c r="E187" s="248">
        <f>_xll.qlYieldTSForwardRate($C$4,B187,B187,"Act/365 (fixed)","Continuous",,TRUE)</f>
        <v>4.3501686639473139E-2</v>
      </c>
      <c r="F187" s="249">
        <f>_xll.qlYieldTSForwardRate($C$5,B187,B187,"Act/365 (fixed)","Continuous",,TRUE)</f>
        <v>4.7235626791460879E-2</v>
      </c>
    </row>
    <row r="188" spans="2:6">
      <c r="B188" s="111">
        <f>_xll.qlCalendarAdvance("Null",B187,"1m")</f>
        <v>48639</v>
      </c>
      <c r="C188" s="112">
        <f t="shared" si="5"/>
        <v>13.424657534246576</v>
      </c>
      <c r="D188" s="77">
        <f>_xll.qlYieldTSForwardRate($C$3,B188,B188,"Act/365 (fixed)","Continuous",,TRUE)</f>
        <v>4.7264142337652588E-2</v>
      </c>
      <c r="E188" s="248">
        <f>_xll.qlYieldTSForwardRate($C$4,B188,B188,"Act/365 (fixed)","Continuous",,TRUE)</f>
        <v>4.3551928069406984E-2</v>
      </c>
      <c r="F188" s="249">
        <f>_xll.qlYieldTSForwardRate($C$5,B188,B188,"Act/365 (fixed)","Continuous",,TRUE)</f>
        <v>4.7226790841256118E-2</v>
      </c>
    </row>
    <row r="189" spans="2:6">
      <c r="B189" s="111">
        <f>_xll.qlCalendarAdvance("Null",B188,"1m")</f>
        <v>48670</v>
      </c>
      <c r="C189" s="112">
        <f t="shared" si="5"/>
        <v>13.509589041095891</v>
      </c>
      <c r="D189" s="77">
        <f>_xll.qlYieldTSForwardRate($C$3,B189,B189,"Act/365 (fixed)","Continuous",,TRUE)</f>
        <v>4.724999999946046E-2</v>
      </c>
      <c r="E189" s="248">
        <f>_xll.qlYieldTSForwardRate($C$4,B189,B189,"Act/365 (fixed)","Continuous",,TRUE)</f>
        <v>4.3631458275974748E-2</v>
      </c>
      <c r="F189" s="249">
        <f>_xll.qlYieldTSForwardRate($C$5,B189,B189,"Act/365 (fixed)","Continuous",,TRUE)</f>
        <v>4.7217291615854216E-2</v>
      </c>
    </row>
    <row r="190" spans="2:6">
      <c r="B190" s="111">
        <f>_xll.qlCalendarAdvance("Null",B189,"1m")</f>
        <v>48700</v>
      </c>
      <c r="C190" s="112">
        <f t="shared" si="5"/>
        <v>13.591780821917808</v>
      </c>
      <c r="D190" s="77">
        <f>_xll.qlYieldTSForwardRate($C$3,B190,B190,"Act/365 (fixed)","Continuous",,TRUE)</f>
        <v>4.7236313869718195E-2</v>
      </c>
      <c r="E190" s="248">
        <f>_xll.qlYieldTSForwardRate($C$4,B190,B190,"Act/365 (fixed)","Continuous",,TRUE)</f>
        <v>4.3730494504468122E-2</v>
      </c>
      <c r="F190" s="249">
        <f>_xll.qlYieldTSForwardRate($C$5,B190,B190,"Act/365 (fixed)","Continuous",,TRUE)</f>
        <v>4.7208299069414893E-2</v>
      </c>
    </row>
    <row r="191" spans="2:6">
      <c r="B191" s="111">
        <f>_xll.qlCalendarAdvance("Null",B190,"1m")</f>
        <v>48731</v>
      </c>
      <c r="C191" s="112">
        <f t="shared" si="5"/>
        <v>13.676712328767124</v>
      </c>
      <c r="D191" s="77">
        <f>_xll.qlYieldTSForwardRate($C$3,B191,B191,"Act/365 (fixed)","Continuous",,TRUE)</f>
        <v>4.7222171533707141E-2</v>
      </c>
      <c r="E191" s="248">
        <f>_xll.qlYieldTSForwardRate($C$4,B191,B191,"Act/365 (fixed)","Continuous",,TRUE)</f>
        <v>4.3853665937694963E-2</v>
      </c>
      <c r="F191" s="249">
        <f>_xll.qlYieldTSForwardRate($C$5,B191,B191,"Act/365 (fixed)","Continuous",,TRUE)</f>
        <v>4.7199124693719174E-2</v>
      </c>
    </row>
    <row r="192" spans="2:6">
      <c r="B192" s="111">
        <f>_xll.qlCalendarAdvance("Null",B191,"1m")</f>
        <v>48761</v>
      </c>
      <c r="C192" s="112">
        <f t="shared" si="5"/>
        <v>13.758904109589041</v>
      </c>
      <c r="D192" s="77">
        <f>_xll.qlYieldTSForwardRate($C$3,B192,B192,"Act/365 (fixed)","Continuous",,TRUE)</f>
        <v>4.7208485401706364E-2</v>
      </c>
      <c r="E192" s="248">
        <f>_xll.qlYieldTSForwardRate($C$4,B192,B192,"Act/365 (fixed)","Continuous",,TRUE)</f>
        <v>4.3991137196669083E-2</v>
      </c>
      <c r="F192" s="249">
        <f>_xll.qlYieldTSForwardRate($C$5,B192,B192,"Act/365 (fixed)","Continuous",,TRUE)</f>
        <v>4.719027518106169E-2</v>
      </c>
    </row>
    <row r="193" spans="2:6">
      <c r="B193" s="111">
        <f>_xll.qlCalendarAdvance("Null",B192,"1m")</f>
        <v>48792</v>
      </c>
      <c r="C193" s="112">
        <f t="shared" si="5"/>
        <v>13.843835616438357</v>
      </c>
      <c r="D193" s="77">
        <f>_xll.qlYieldTSForwardRate($C$3,B193,B193,"Act/365 (fixed)","Continuous",,TRUE)</f>
        <v>4.7194343067876385E-2</v>
      </c>
      <c r="E193" s="248">
        <f>_xll.qlYieldTSForwardRate($C$4,B193,B193,"Act/365 (fixed)","Continuous",,TRUE)</f>
        <v>4.4150099796410269E-2</v>
      </c>
      <c r="F193" s="249">
        <f>_xll.qlYieldTSForwardRate($C$5,B193,B193,"Act/365 (fixed)","Continuous",,TRUE)</f>
        <v>4.7181071551110759E-2</v>
      </c>
    </row>
    <row r="194" spans="2:6">
      <c r="B194" s="111">
        <f>_xll.qlCalendarAdvance("Null",B193,"1m")</f>
        <v>48823</v>
      </c>
      <c r="C194" s="112">
        <f t="shared" si="5"/>
        <v>13.92876712328767</v>
      </c>
      <c r="D194" s="77">
        <f>_xll.qlYieldTSForwardRate($C$3,B194,B194,"Act/365 (fixed)","Continuous",,TRUE)</f>
        <v>4.7180200729585536E-2</v>
      </c>
      <c r="E194" s="248">
        <f>_xll.qlYieldTSForwardRate($C$4,B194,B194,"Act/365 (fixed)","Continuous",,TRUE)</f>
        <v>4.432424296753773E-2</v>
      </c>
      <c r="F194" s="249">
        <f>_xll.qlYieldTSForwardRate($C$5,B194,B194,"Act/365 (fixed)","Continuous",,TRUE)</f>
        <v>4.7171717351194582E-2</v>
      </c>
    </row>
    <row r="195" spans="2:6">
      <c r="B195" s="111">
        <f>_xll.qlCalendarAdvance("Null",B194,"1m")</f>
        <v>48853</v>
      </c>
      <c r="C195" s="112">
        <f t="shared" si="5"/>
        <v>14.010958904109589</v>
      </c>
      <c r="D195" s="77">
        <f>_xll.qlYieldTSForwardRate($C$3,B195,B195,"Act/365 (fixed)","Continuous",,TRUE)</f>
        <v>4.7166514599747751E-2</v>
      </c>
      <c r="E195" s="248">
        <f>_xll.qlYieldTSForwardRate($C$4,B195,B195,"Act/365 (fixed)","Continuous",,TRUE)</f>
        <v>4.4505312957231875E-2</v>
      </c>
      <c r="F195" s="249">
        <f>_xll.qlYieldTSForwardRate($C$5,B195,B195,"Act/365 (fixed)","Continuous",,TRUE)</f>
        <v>4.7162435395361593E-2</v>
      </c>
    </row>
    <row r="196" spans="2:6">
      <c r="B196" s="111">
        <f>_xll.qlCalendarAdvance("Null",B195,"1m")</f>
        <v>48884</v>
      </c>
      <c r="C196" s="112">
        <f t="shared" si="5"/>
        <v>14.095890410958905</v>
      </c>
      <c r="D196" s="77">
        <f>_xll.qlYieldTSForwardRate($C$3,B196,B196,"Act/365 (fixed)","Continuous",,TRUE)</f>
        <v>4.7152372261417545E-2</v>
      </c>
      <c r="E196" s="248">
        <f>_xll.qlYieldTSForwardRate($C$4,B196,B196,"Act/365 (fixed)","Continuous",,TRUE)</f>
        <v>4.4703407860081402E-2</v>
      </c>
      <c r="F196" s="249">
        <f>_xll.qlYieldTSForwardRate($C$5,B196,B196,"Act/365 (fixed)","Continuous",,TRUE)</f>
        <v>4.7152517884244148E-2</v>
      </c>
    </row>
    <row r="197" spans="2:6">
      <c r="B197" s="111">
        <f>_xll.qlCalendarAdvance("Null",B196,"1m")</f>
        <v>48914</v>
      </c>
      <c r="C197" s="112">
        <f t="shared" si="5"/>
        <v>14.178082191780822</v>
      </c>
      <c r="D197" s="77">
        <f>_xll.qlYieldTSForwardRate($C$3,B197,B197,"Act/365 (fixed)","Continuous",,TRUE)</f>
        <v>4.713868612932124E-2</v>
      </c>
      <c r="E197" s="248">
        <f>_xll.qlYieldTSForwardRate($C$4,B197,B197,"Act/365 (fixed)","Continuous",,TRUE)</f>
        <v>4.4903858530664656E-2</v>
      </c>
      <c r="F197" s="249">
        <f>_xll.qlYieldTSForwardRate($C$5,B197,B197,"Act/365 (fixed)","Continuous",,TRUE)</f>
        <v>4.7142519444901221E-2</v>
      </c>
    </row>
    <row r="198" spans="2:6">
      <c r="B198" s="111">
        <f>_xll.qlCalendarAdvance("Null",B197,"1m")</f>
        <v>48945</v>
      </c>
      <c r="C198" s="112">
        <f t="shared" si="5"/>
        <v>14.263013698630138</v>
      </c>
      <c r="D198" s="77">
        <f>_xll.qlYieldTSForwardRate($C$3,B198,B198,"Act/365 (fixed)","Continuous",,TRUE)</f>
        <v>4.7124543795392548E-2</v>
      </c>
      <c r="E198" s="248">
        <f>_xll.qlYieldTSForwardRate($C$4,B198,B198,"Act/365 (fixed)","Continuous",,TRUE)</f>
        <v>4.5118055106248403E-2</v>
      </c>
      <c r="F198" s="249">
        <f>_xll.qlYieldTSForwardRate($C$5,B198,B198,"Act/365 (fixed)","Continuous",,TRUE)</f>
        <v>4.7131684509732541E-2</v>
      </c>
    </row>
    <row r="199" spans="2:6">
      <c r="B199" s="111">
        <f>_xll.qlCalendarAdvance("Null",B198,"1m")</f>
        <v>48976</v>
      </c>
      <c r="C199" s="112">
        <f t="shared" si="5"/>
        <v>14.347945205479451</v>
      </c>
      <c r="D199" s="77">
        <f>_xll.qlYieldTSForwardRate($C$3,B199,B199,"Act/365 (fixed)","Continuous",,TRUE)</f>
        <v>4.7110401461443858E-2</v>
      </c>
      <c r="E199" s="248">
        <f>_xll.qlYieldTSForwardRate($C$4,B199,B199,"Act/365 (fixed)","Continuous",,TRUE)</f>
        <v>4.5337426112425208E-2</v>
      </c>
      <c r="F199" s="249">
        <f>_xll.qlYieldTSForwardRate($C$5,B199,B199,"Act/365 (fixed)","Continuous",,TRUE)</f>
        <v>4.7120247645550735E-2</v>
      </c>
    </row>
    <row r="200" spans="2:6">
      <c r="B200" s="111">
        <f>_xll.qlCalendarAdvance("Null",B199,"1m")</f>
        <v>49004</v>
      </c>
      <c r="C200" s="112">
        <f t="shared" si="5"/>
        <v>14.424657534246576</v>
      </c>
      <c r="D200" s="77">
        <f>_xll.qlYieldTSForwardRate($C$3,B200,B200,"Act/365 (fixed)","Continuous",,TRUE)</f>
        <v>4.7097627735140361E-2</v>
      </c>
      <c r="E200" s="248">
        <f>_xll.qlYieldTSForwardRate($C$4,B200,B200,"Act/365 (fixed)","Continuous",,TRUE)</f>
        <v>4.5538328837733837E-2</v>
      </c>
      <c r="F200" s="249">
        <f>_xll.qlYieldTSForwardRate($C$5,B200,B200,"Act/365 (fixed)","Continuous",,TRUE)</f>
        <v>4.7109324128300531E-2</v>
      </c>
    </row>
    <row r="201" spans="2:6">
      <c r="B201" s="111">
        <f>_xll.qlCalendarAdvance("Null",B200,"1m")</f>
        <v>49035</v>
      </c>
      <c r="C201" s="112">
        <f t="shared" si="5"/>
        <v>14.509589041095891</v>
      </c>
      <c r="D201" s="77">
        <f>_xll.qlYieldTSForwardRate($C$3,B201,B201,"Act/365 (fixed)","Continuous",,TRUE)</f>
        <v>4.7083485401153605E-2</v>
      </c>
      <c r="E201" s="248">
        <f>_xll.qlYieldTSForwardRate($C$4,B201,B201,"Act/365 (fixed)","Continuous",,TRUE)</f>
        <v>4.5761946806904187E-2</v>
      </c>
      <c r="F201" s="249">
        <f>_xll.qlYieldTSForwardRate($C$5,B201,B201,"Act/365 (fixed)","Continuous",,TRUE)</f>
        <v>4.7096488984747192E-2</v>
      </c>
    </row>
    <row r="202" spans="2:6">
      <c r="B202" s="111">
        <f>_xll.qlCalendarAdvance("Null",B201,"1m")</f>
        <v>49065</v>
      </c>
      <c r="C202" s="112">
        <f t="shared" si="5"/>
        <v>14.591780821917808</v>
      </c>
      <c r="D202" s="77">
        <f>_xll.qlYieldTSForwardRate($C$3,B202,B202,"Act/365 (fixed)","Continuous",,TRUE)</f>
        <v>4.7069799268963014E-2</v>
      </c>
      <c r="E202" s="248">
        <f>_xll.qlYieldTSForwardRate($C$4,B202,B202,"Act/365 (fixed)","Continuous",,TRUE)</f>
        <v>4.597769458056996E-2</v>
      </c>
      <c r="F202" s="249">
        <f>_xll.qlYieldTSForwardRate($C$5,B202,B202,"Act/365 (fixed)","Continuous",,TRUE)</f>
        <v>4.7083242896280138E-2</v>
      </c>
    </row>
    <row r="203" spans="2:6">
      <c r="B203" s="111">
        <f>_xll.qlCalendarAdvance("Null",B202,"1m")</f>
        <v>49096</v>
      </c>
      <c r="C203" s="112">
        <f t="shared" si="5"/>
        <v>14.676712328767124</v>
      </c>
      <c r="D203" s="77">
        <f>_xll.qlYieldTSForwardRate($C$3,B203,B203,"Act/365 (fixed)","Continuous",,TRUE)</f>
        <v>4.7055656932716468E-2</v>
      </c>
      <c r="E203" s="248">
        <f>_xll.qlYieldTSForwardRate($C$4,B203,B203,"Act/365 (fixed)","Continuous",,TRUE)</f>
        <v>4.6197982103831671E-2</v>
      </c>
      <c r="F203" s="249">
        <f>_xll.qlYieldTSForwardRate($C$5,B203,B203,"Act/365 (fixed)","Continuous",,TRUE)</f>
        <v>4.7068613778397342E-2</v>
      </c>
    </row>
    <row r="204" spans="2:6">
      <c r="B204" s="111">
        <f>_xll.qlCalendarAdvance("Null",B203,"1m")</f>
        <v>49126</v>
      </c>
      <c r="C204" s="112">
        <f t="shared" si="5"/>
        <v>14.758904109589041</v>
      </c>
      <c r="D204" s="77">
        <f>_xll.qlYieldTSForwardRate($C$3,B204,B204,"Act/365 (fixed)","Continuous",,TRUE)</f>
        <v>4.7041970802708236E-2</v>
      </c>
      <c r="E204" s="248">
        <f>_xll.qlYieldTSForwardRate($C$4,B204,B204,"Act/365 (fixed)","Continuous",,TRUE)</f>
        <v>4.6406708448368271E-2</v>
      </c>
      <c r="F204" s="249">
        <f>_xll.qlYieldTSForwardRate($C$5,B204,B204,"Act/365 (fixed)","Continuous",,TRUE)</f>
        <v>4.7053460242453722E-2</v>
      </c>
    </row>
    <row r="205" spans="2:6">
      <c r="B205" s="111">
        <f>_xll.qlCalendarAdvance("Null",B204,"1m")</f>
        <v>49157</v>
      </c>
      <c r="C205" s="112">
        <f t="shared" si="5"/>
        <v>14.843835616438357</v>
      </c>
      <c r="D205" s="77">
        <f>_xll.qlYieldTSForwardRate($C$3,B205,B205,"Act/365 (fixed)","Continuous",,TRUE)</f>
        <v>4.7027828468642764E-2</v>
      </c>
      <c r="E205" s="248">
        <f>_xll.qlYieldTSForwardRate($C$4,B205,B205,"Act/365 (fixed)","Continuous",,TRUE)</f>
        <v>4.6615815464485205E-2</v>
      </c>
      <c r="F205" s="249">
        <f>_xll.qlYieldTSForwardRate($C$5,B205,B205,"Act/365 (fixed)","Continuous",,TRUE)</f>
        <v>4.7036683046257632E-2</v>
      </c>
    </row>
    <row r="206" spans="2:6">
      <c r="B206" s="111">
        <f>_xll.qlCalendarAdvance("Null",B205,"1m")</f>
        <v>49188</v>
      </c>
      <c r="C206" s="112">
        <f t="shared" si="5"/>
        <v>14.92876712328767</v>
      </c>
      <c r="D206" s="77">
        <f>_xll.qlYieldTSForwardRate($C$3,B206,B206,"Act/365 (fixed)","Continuous",,TRUE)</f>
        <v>4.7013686132336863E-2</v>
      </c>
      <c r="E206" s="248">
        <f>_xll.qlYieldTSForwardRate($C$4,B206,B206,"Act/365 (fixed)","Continuous",,TRUE)</f>
        <v>4.6816232204004306E-2</v>
      </c>
      <c r="F206" s="249">
        <f>_xll.qlYieldTSForwardRate($C$5,B206,B206,"Act/365 (fixed)","Continuous",,TRUE)</f>
        <v>4.7018678495368817E-2</v>
      </c>
    </row>
    <row r="207" spans="2:6">
      <c r="B207" s="111">
        <f>_xll.qlCalendarAdvance("Null",B206,"1m")</f>
        <v>49218</v>
      </c>
      <c r="C207" s="112">
        <f t="shared" si="5"/>
        <v>15.010958904109589</v>
      </c>
      <c r="D207" s="77">
        <f>_xll.qlYieldTSForwardRate($C$3,B207,B207,"Act/365 (fixed)","Continuous",,TRUE)</f>
        <v>4.6999997084618786E-2</v>
      </c>
      <c r="E207" s="248">
        <f>_xll.qlYieldTSForwardRate($C$4,B207,B207,"Act/365 (fixed)","Continuous",,TRUE)</f>
        <v>4.7000000000050744E-2</v>
      </c>
      <c r="F207" s="249">
        <f>_xll.qlYieldTSForwardRate($C$5,B207,B207,"Act/365 (fixed)","Continuous",,TRUE)</f>
        <v>4.7000000002271183E-2</v>
      </c>
    </row>
    <row r="208" spans="2:6">
      <c r="B208" s="111">
        <f>_xll.qlCalendarAdvance("Null",B207,"1m")</f>
        <v>49249</v>
      </c>
      <c r="C208" s="112">
        <f t="shared" si="5"/>
        <v>15.095890410958905</v>
      </c>
      <c r="D208" s="77">
        <f>_xll.qlYieldTSForwardRate($C$3,B208,B208,"Act/365 (fixed)","Continuous",,TRUE)</f>
        <v>4.6966046002313674E-2</v>
      </c>
      <c r="E208" s="248">
        <f>_xll.qlYieldTSForwardRate($C$4,B208,B208,"Act/365 (fixed)","Continuous",,TRUE)</f>
        <v>4.7177779484480147E-2</v>
      </c>
      <c r="F208" s="249">
        <f>_xll.qlYieldTSForwardRate($C$5,B208,B208,"Act/365 (fixed)","Continuous",,TRUE)</f>
        <v>4.6979561192189795E-2</v>
      </c>
    </row>
    <row r="209" spans="2:6">
      <c r="B209" s="111">
        <f>_xll.qlCalendarAdvance("Null",B208,"1m")</f>
        <v>49279</v>
      </c>
      <c r="C209" s="112">
        <f t="shared" si="5"/>
        <v>15.178082191780822</v>
      </c>
      <c r="D209" s="77">
        <f>_xll.qlYieldTSForwardRate($C$3,B209,B209,"Act/365 (fixed)","Continuous",,TRUE)</f>
        <v>4.6933187294286652E-2</v>
      </c>
      <c r="E209" s="248">
        <f>_xll.qlYieldTSForwardRate($C$4,B209,B209,"Act/365 (fixed)","Continuous",,TRUE)</f>
        <v>4.7338004562110528E-2</v>
      </c>
      <c r="F209" s="249">
        <f>_xll.qlYieldTSForwardRate($C$5,B209,B209,"Act/365 (fixed)","Continuous",,TRUE)</f>
        <v>4.695889988997641E-2</v>
      </c>
    </row>
    <row r="210" spans="2:6">
      <c r="B210" s="111">
        <f>_xll.qlCalendarAdvance("Null",B209,"1m")</f>
        <v>49310</v>
      </c>
      <c r="C210" s="112">
        <f t="shared" si="5"/>
        <v>15.263013698630138</v>
      </c>
      <c r="D210" s="77">
        <f>_xll.qlYieldTSForwardRate($C$3,B210,B210,"Act/365 (fixed)","Continuous",,TRUE)</f>
        <v>4.6899233296322729E-2</v>
      </c>
      <c r="E210" s="248">
        <f>_xll.qlYieldTSForwardRate($C$4,B210,B210,"Act/365 (fixed)","Continuous",,TRUE)</f>
        <v>4.7491618476979268E-2</v>
      </c>
      <c r="F210" s="249">
        <f>_xll.qlYieldTSForwardRate($C$5,B210,B210,"Act/365 (fixed)","Continuous",,TRUE)</f>
        <v>4.6936662218312566E-2</v>
      </c>
    </row>
    <row r="211" spans="2:6">
      <c r="B211" s="111">
        <f>_xll.qlCalendarAdvance("Null",B210,"1m")</f>
        <v>49341</v>
      </c>
      <c r="C211" s="112">
        <f t="shared" si="5"/>
        <v>15.347945205479451</v>
      </c>
      <c r="D211" s="77">
        <f>_xll.qlYieldTSForwardRate($C$3,B211,B211,"Act/365 (fixed)","Continuous",,TRUE)</f>
        <v>4.686527929602307E-2</v>
      </c>
      <c r="E211" s="248">
        <f>_xll.qlYieldTSForwardRate($C$4,B211,B211,"Act/365 (fixed)","Continuous",,TRUE)</f>
        <v>4.7633350313038517E-2</v>
      </c>
      <c r="F211" s="249">
        <f>_xll.qlYieldTSForwardRate($C$5,B211,B211,"Act/365 (fixed)","Continuous",,TRUE)</f>
        <v>4.6913546284371013E-2</v>
      </c>
    </row>
    <row r="212" spans="2:6">
      <c r="B212" s="111">
        <f>_xll.qlCalendarAdvance("Null",B211,"1m")</f>
        <v>49369</v>
      </c>
      <c r="C212" s="112">
        <f t="shared" si="5"/>
        <v>15.424657534246576</v>
      </c>
      <c r="D212" s="77">
        <f>_xll.qlYieldTSForwardRate($C$3,B212,B212,"Act/365 (fixed)","Continuous",,TRUE)</f>
        <v>4.6834611171778201E-2</v>
      </c>
      <c r="E212" s="248">
        <f>_xll.qlYieldTSForwardRate($C$4,B212,B212,"Act/365 (fixed)","Continuous",,TRUE)</f>
        <v>4.7751376807157624E-2</v>
      </c>
      <c r="F212" s="249">
        <f>_xll.qlYieldTSForwardRate($C$5,B212,B212,"Act/365 (fixed)","Continuous",,TRUE)</f>
        <v>4.6891932621633443E-2</v>
      </c>
    </row>
    <row r="213" spans="2:6">
      <c r="B213" s="111">
        <f>_xll.qlCalendarAdvance("Null",B212,"1m")</f>
        <v>49400</v>
      </c>
      <c r="C213" s="112">
        <f t="shared" si="5"/>
        <v>15.509589041095891</v>
      </c>
      <c r="D213" s="77">
        <f>_xll.qlYieldTSForwardRate($C$3,B213,B213,"Act/365 (fixed)","Continuous",,TRUE)</f>
        <v>4.6800657173479573E-2</v>
      </c>
      <c r="E213" s="248">
        <f>_xll.qlYieldTSForwardRate($C$4,B213,B213,"Act/365 (fixed)","Continuous",,TRUE)</f>
        <v>4.787123684885649E-2</v>
      </c>
      <c r="F213" s="249">
        <f>_xll.qlYieldTSForwardRate($C$5,B213,B213,"Act/365 (fixed)","Continuous",,TRUE)</f>
        <v>4.6867212018717519E-2</v>
      </c>
    </row>
    <row r="214" spans="2:6">
      <c r="B214" s="111">
        <f>_xll.qlCalendarAdvance("Null",B213,"1m")</f>
        <v>49430</v>
      </c>
      <c r="C214" s="112">
        <f t="shared" si="5"/>
        <v>15.591780821917808</v>
      </c>
      <c r="D214" s="77">
        <f>_xll.qlYieldTSForwardRate($C$3,B214,B214,"Act/365 (fixed)","Continuous",,TRUE)</f>
        <v>4.6767798467129543E-2</v>
      </c>
      <c r="E214" s="248">
        <f>_xll.qlYieldTSForwardRate($C$4,B214,B214,"Act/365 (fixed)","Continuous",,TRUE)</f>
        <v>4.7976657255639023E-2</v>
      </c>
      <c r="F214" s="249">
        <f>_xll.qlYieldTSForwardRate($C$5,B214,B214,"Act/365 (fixed)","Continuous",,TRUE)</f>
        <v>4.6842519286648746E-2</v>
      </c>
    </row>
    <row r="215" spans="2:6">
      <c r="B215" s="111">
        <f>_xll.qlCalendarAdvance("Null",B214,"1m")</f>
        <v>49461</v>
      </c>
      <c r="C215" s="112">
        <f t="shared" si="5"/>
        <v>15.676712328767124</v>
      </c>
      <c r="D215" s="77">
        <f>_xll.qlYieldTSForwardRate($C$3,B215,B215,"Act/365 (fixed)","Continuous",,TRUE)</f>
        <v>4.6733844468604055E-2</v>
      </c>
      <c r="E215" s="248">
        <f>_xll.qlYieldTSForwardRate($C$4,B215,B215,"Act/365 (fixed)","Continuous",,TRUE)</f>
        <v>4.8074927626261171E-2</v>
      </c>
      <c r="F215" s="249">
        <f>_xll.qlYieldTSForwardRate($C$5,B215,B215,"Act/365 (fixed)","Continuous",,TRUE)</f>
        <v>4.6816231795444148E-2</v>
      </c>
    </row>
    <row r="216" spans="2:6">
      <c r="B216" s="111">
        <f>_xll.qlCalendarAdvance("Null",B215,"1m")</f>
        <v>49491</v>
      </c>
      <c r="C216" s="112">
        <f t="shared" si="5"/>
        <v>15.758904109589041</v>
      </c>
      <c r="D216" s="77">
        <f>_xll.qlYieldTSForwardRate($C$3,B216,B216,"Act/365 (fixed)","Continuous",,TRUE)</f>
        <v>4.6700985759814045E-2</v>
      </c>
      <c r="E216" s="248">
        <f>_xll.qlYieldTSForwardRate($C$4,B216,B216,"Act/365 (fixed)","Continuous",,TRUE)</f>
        <v>4.8159958314832767E-2</v>
      </c>
      <c r="F216" s="249">
        <f>_xll.qlYieldTSForwardRate($C$5,B216,B216,"Act/365 (fixed)","Continuous",,TRUE)</f>
        <v>4.6790068064592821E-2</v>
      </c>
    </row>
    <row r="217" spans="2:6">
      <c r="B217" s="111">
        <f>_xll.qlCalendarAdvance("Null",B216,"1m")</f>
        <v>49522</v>
      </c>
      <c r="C217" s="112">
        <f t="shared" si="5"/>
        <v>15.843835616438357</v>
      </c>
      <c r="D217" s="77">
        <f>_xll.qlYieldTSForwardRate($C$3,B217,B217,"Act/365 (fixed)","Continuous",,TRUE)</f>
        <v>4.6667031763282137E-2</v>
      </c>
      <c r="E217" s="248">
        <f>_xll.qlYieldTSForwardRate($C$4,B217,B217,"Act/365 (fixed)","Continuous",,TRUE)</f>
        <v>4.8237679607104553E-2</v>
      </c>
      <c r="F217" s="249">
        <f>_xll.qlYieldTSForwardRate($C$5,B217,B217,"Act/365 (fixed)","Continuous",,TRUE)</f>
        <v>4.6762307398562644E-2</v>
      </c>
    </row>
    <row r="218" spans="2:6">
      <c r="B218" s="111">
        <f>_xll.qlCalendarAdvance("Null",B217,"1m")</f>
        <v>49553</v>
      </c>
      <c r="C218" s="112">
        <f t="shared" si="5"/>
        <v>15.92876712328767</v>
      </c>
      <c r="D218" s="77">
        <f>_xll.qlYieldTSForwardRate($C$3,B218,B218,"Act/365 (fixed)","Continuous",,TRUE)</f>
        <v>4.6633077766634938E-2</v>
      </c>
      <c r="E218" s="248">
        <f>_xll.qlYieldTSForwardRate($C$4,B218,B218,"Act/365 (fixed)","Continuous",,TRUE)</f>
        <v>4.8305356710742653E-2</v>
      </c>
      <c r="F218" s="249">
        <f>_xll.qlYieldTSForwardRate($C$5,B218,B218,"Act/365 (fixed)","Continuous",,TRUE)</f>
        <v>4.6733833983706813E-2</v>
      </c>
    </row>
    <row r="219" spans="2:6">
      <c r="B219" s="111">
        <f>_xll.qlCalendarAdvance("Null",B218,"1m")</f>
        <v>49583</v>
      </c>
      <c r="C219" s="112">
        <f t="shared" ref="C219:C282" si="6">(B219-$B$27)/365</f>
        <v>16.010958904109589</v>
      </c>
      <c r="D219" s="77">
        <f>_xll.qlYieldTSForwardRate($C$3,B219,B219,"Act/365 (fixed)","Continuous",,TRUE)</f>
        <v>4.6600219059734257E-2</v>
      </c>
      <c r="E219" s="248">
        <f>_xll.qlYieldTSForwardRate($C$4,B219,B219,"Act/365 (fixed)","Continuous",,TRUE)</f>
        <v>4.8361540414436764E-2</v>
      </c>
      <c r="F219" s="249">
        <f>_xll.qlYieldTSForwardRate($C$5,B219,B219,"Act/365 (fixed)","Continuous",,TRUE)</f>
        <v>4.670562322854719E-2</v>
      </c>
    </row>
    <row r="220" spans="2:6">
      <c r="B220" s="111">
        <f>_xll.qlCalendarAdvance("Null",B219,"1m")</f>
        <v>49614</v>
      </c>
      <c r="C220" s="112">
        <f t="shared" si="6"/>
        <v>16.095890410958905</v>
      </c>
      <c r="D220" s="77">
        <f>_xll.qlYieldTSForwardRate($C$3,B220,B220,"Act/365 (fixed)","Continuous",,TRUE)</f>
        <v>4.6566265060639767E-2</v>
      </c>
      <c r="E220" s="248">
        <f>_xll.qlYieldTSForwardRate($C$4,B220,B220,"Act/365 (fixed)","Continuous",,TRUE)</f>
        <v>4.8410237864693027E-2</v>
      </c>
      <c r="F220" s="249">
        <f>_xll.qlYieldTSForwardRate($C$5,B220,B220,"Act/365 (fixed)","Continuous",,TRUE)</f>
        <v>4.6675817978442592E-2</v>
      </c>
    </row>
    <row r="221" spans="2:6">
      <c r="B221" s="111">
        <f>_xll.qlCalendarAdvance("Null",B220,"1m")</f>
        <v>49644</v>
      </c>
      <c r="C221" s="112">
        <f t="shared" si="6"/>
        <v>16.17808219178082</v>
      </c>
      <c r="D221" s="77">
        <f>_xll.qlYieldTSForwardRate($C$3,B221,B221,"Act/365 (fixed)","Continuous",,TRUE)</f>
        <v>4.6533406353519553E-2</v>
      </c>
      <c r="E221" s="248">
        <f>_xll.qlYieldTSForwardRate($C$4,B221,B221,"Act/365 (fixed)","Continuous",,TRUE)</f>
        <v>4.8448557672956798E-2</v>
      </c>
      <c r="F221" s="249">
        <f>_xll.qlYieldTSForwardRate($C$5,B221,B221,"Act/365 (fixed)","Continuous",,TRUE)</f>
        <v>4.6646363692535033E-2</v>
      </c>
    </row>
    <row r="222" spans="2:6">
      <c r="B222" s="111">
        <f>_xll.qlCalendarAdvance("Null",B221,"1m")</f>
        <v>49675</v>
      </c>
      <c r="C222" s="112">
        <f t="shared" si="6"/>
        <v>16.263013698630136</v>
      </c>
      <c r="D222" s="77">
        <f>_xll.qlYieldTSForwardRate($C$3,B222,B222,"Act/365 (fixed)","Continuous",,TRUE)</f>
        <v>4.6499452354198216E-2</v>
      </c>
      <c r="E222" s="248">
        <f>_xll.qlYieldTSForwardRate($C$4,B222,B222,"Act/365 (fixed)","Continuous",,TRUE)</f>
        <v>4.8479316061828051E-2</v>
      </c>
      <c r="F222" s="249">
        <f>_xll.qlYieldTSForwardRate($C$5,B222,B222,"Act/365 (fixed)","Continuous",,TRUE)</f>
        <v>4.6615320313985742E-2</v>
      </c>
    </row>
    <row r="223" spans="2:6">
      <c r="B223" s="111">
        <f>_xll.qlCalendarAdvance("Null",B222,"1m")</f>
        <v>49706</v>
      </c>
      <c r="C223" s="112">
        <f t="shared" si="6"/>
        <v>16.347945205479451</v>
      </c>
      <c r="D223" s="77">
        <f>_xll.qlYieldTSForwardRate($C$3,B223,B223,"Act/365 (fixed)","Continuous",,TRUE)</f>
        <v>4.6465498356982014E-2</v>
      </c>
      <c r="E223" s="248">
        <f>_xll.qlYieldTSForwardRate($C$4,B223,B223,"Act/365 (fixed)","Continuous",,TRUE)</f>
        <v>4.850135667087118E-2</v>
      </c>
      <c r="F223" s="249">
        <f>_xll.qlYieldTSForwardRate($C$5,B223,B223,"Act/365 (fixed)","Continuous",,TRUE)</f>
        <v>4.6583683634919562E-2</v>
      </c>
    </row>
    <row r="224" spans="2:6">
      <c r="B224" s="111">
        <f>_xll.qlCalendarAdvance("Null",B223,"1m")</f>
        <v>49735</v>
      </c>
      <c r="C224" s="112">
        <f t="shared" si="6"/>
        <v>16.427397260273974</v>
      </c>
      <c r="D224" s="77">
        <f>_xll.qlYieldTSForwardRate($C$3,B224,B224,"Act/365 (fixed)","Continuous",,TRUE)</f>
        <v>4.6433734939410741E-2</v>
      </c>
      <c r="E224" s="248">
        <f>_xll.qlYieldTSForwardRate($C$4,B224,B224,"Act/365 (fixed)","Continuous",,TRUE)</f>
        <v>4.8514321099685793E-2</v>
      </c>
      <c r="F224" s="249">
        <f>_xll.qlYieldTSForwardRate($C$5,B224,B224,"Act/365 (fixed)","Continuous",,TRUE)</f>
        <v>4.6553572355119914E-2</v>
      </c>
    </row>
    <row r="225" spans="2:6">
      <c r="B225" s="111">
        <f>_xll.qlCalendarAdvance("Null",B224,"1m")</f>
        <v>49766</v>
      </c>
      <c r="C225" s="112">
        <f t="shared" si="6"/>
        <v>16.512328767123286</v>
      </c>
      <c r="D225" s="77">
        <f>_xll.qlYieldTSForwardRate($C$3,B225,B225,"Act/365 (fixed)","Continuous",,TRUE)</f>
        <v>4.6399780941971405E-2</v>
      </c>
      <c r="E225" s="248">
        <f>_xll.qlYieldTSForwardRate($C$4,B225,B225,"Act/365 (fixed)","Continuous",,TRUE)</f>
        <v>4.85202520377392E-2</v>
      </c>
      <c r="F225" s="249">
        <f>_xll.qlYieldTSForwardRate($C$5,B225,B225,"Act/365 (fixed)","Continuous",,TRUE)</f>
        <v>4.6520856115554635E-2</v>
      </c>
    </row>
    <row r="226" spans="2:6">
      <c r="B226" s="111">
        <f>_xll.qlCalendarAdvance("Null",B225,"1m")</f>
        <v>49796</v>
      </c>
      <c r="C226" s="112">
        <f t="shared" si="6"/>
        <v>16.594520547945205</v>
      </c>
      <c r="D226" s="77">
        <f>_xll.qlYieldTSForwardRate($C$3,B226,B226,"Act/365 (fixed)","Continuous",,TRUE)</f>
        <v>4.6366922236524583E-2</v>
      </c>
      <c r="E226" s="248">
        <f>_xll.qlYieldTSForwardRate($C$4,B226,B226,"Act/365 (fixed)","Continuous",,TRUE)</f>
        <v>4.8518439554154857E-2</v>
      </c>
      <c r="F226" s="249">
        <f>_xll.qlYieldTSForwardRate($C$5,B226,B226,"Act/365 (fixed)","Continuous",,TRUE)</f>
        <v>4.6488697738154318E-2</v>
      </c>
    </row>
    <row r="227" spans="2:6">
      <c r="B227" s="111">
        <f>_xll.qlCalendarAdvance("Null",B226,"1m")</f>
        <v>49827</v>
      </c>
      <c r="C227" s="112">
        <f t="shared" si="6"/>
        <v>16.67945205479452</v>
      </c>
      <c r="D227" s="77">
        <f>_xll.qlYieldTSForwardRate($C$3,B227,B227,"Act/365 (fixed)","Continuous",,TRUE)</f>
        <v>4.6332968238858387E-2</v>
      </c>
      <c r="E227" s="248">
        <f>_xll.qlYieldTSForwardRate($C$4,B227,B227,"Act/365 (fixed)","Continuous",,TRUE)</f>
        <v>4.8509024388998262E-2</v>
      </c>
      <c r="F227" s="249">
        <f>_xll.qlYieldTSForwardRate($C$5,B227,B227,"Act/365 (fixed)","Continuous",,TRUE)</f>
        <v>4.6454976882212819E-2</v>
      </c>
    </row>
    <row r="228" spans="2:6">
      <c r="B228" s="111">
        <f>_xll.qlCalendarAdvance("Null",B227,"1m")</f>
        <v>49857</v>
      </c>
      <c r="C228" s="112">
        <f t="shared" si="6"/>
        <v>16.761643835616439</v>
      </c>
      <c r="D228" s="77">
        <f>_xll.qlYieldTSForwardRate($C$3,B228,B228,"Act/365 (fixed)","Continuous",,TRUE)</f>
        <v>4.630010952875116E-2</v>
      </c>
      <c r="E228" s="248">
        <f>_xll.qlYieldTSForwardRate($C$4,B228,B228,"Act/365 (fixed)","Continuous",,TRUE)</f>
        <v>4.8492864354128577E-2</v>
      </c>
      <c r="F228" s="249">
        <f>_xll.qlYieldTSForwardRate($C$5,B228,B228,"Act/365 (fixed)","Continuous",,TRUE)</f>
        <v>4.6421891645872584E-2</v>
      </c>
    </row>
    <row r="229" spans="2:6">
      <c r="B229" s="111">
        <f>_xll.qlCalendarAdvance("Null",B228,"1m")</f>
        <v>49888</v>
      </c>
      <c r="C229" s="112">
        <f t="shared" si="6"/>
        <v>16.846575342465755</v>
      </c>
      <c r="D229" s="77">
        <f>_xll.qlYieldTSForwardRate($C$3,B229,B229,"Act/365 (fixed)","Continuous",,TRUE)</f>
        <v>4.6266155528637679E-2</v>
      </c>
      <c r="E229" s="248">
        <f>_xll.qlYieldTSForwardRate($C$4,B229,B229,"Act/365 (fixed)","Continuous",,TRUE)</f>
        <v>4.8469143683793077E-2</v>
      </c>
      <c r="F229" s="249">
        <f>_xll.qlYieldTSForwardRate($C$5,B229,B229,"Act/365 (fixed)","Continuous",,TRUE)</f>
        <v>4.6387259889246267E-2</v>
      </c>
    </row>
    <row r="230" spans="2:6">
      <c r="B230" s="111">
        <f>_xll.qlCalendarAdvance("Null",B229,"1m")</f>
        <v>49919</v>
      </c>
      <c r="C230" s="112">
        <f t="shared" si="6"/>
        <v>16.931506849315067</v>
      </c>
      <c r="D230" s="77">
        <f>_xll.qlYieldTSForwardRate($C$3,B230,B230,"Act/365 (fixed)","Continuous",,TRUE)</f>
        <v>4.6232201535070218E-2</v>
      </c>
      <c r="E230" s="248">
        <f>_xll.qlYieldTSForwardRate($C$4,B230,B230,"Act/365 (fixed)","Continuous",,TRUE)</f>
        <v>4.8438551794231031E-2</v>
      </c>
      <c r="F230" s="249">
        <f>_xll.qlYieldTSForwardRate($C$5,B230,B230,"Act/365 (fixed)","Continuous",,TRUE)</f>
        <v>4.6352201133822213E-2</v>
      </c>
    </row>
    <row r="231" spans="2:6">
      <c r="B231" s="111">
        <f>_xll.qlCalendarAdvance("Null",B230,"1m")</f>
        <v>49949</v>
      </c>
      <c r="C231" s="112">
        <f t="shared" si="6"/>
        <v>17.013698630136986</v>
      </c>
      <c r="D231" s="77">
        <f>_xll.qlYieldTSForwardRate($C$3,B231,B231,"Act/365 (fixed)","Continuous",,TRUE)</f>
        <v>4.6199342824631881E-2</v>
      </c>
      <c r="E231" s="248">
        <f>_xll.qlYieldTSForwardRate($C$4,B231,B231,"Act/365 (fixed)","Continuous",,TRUE)</f>
        <v>4.8402657549485001E-2</v>
      </c>
      <c r="F231" s="249">
        <f>_xll.qlYieldTSForwardRate($C$5,B231,B231,"Act/365 (fixed)","Continuous",,TRUE)</f>
        <v>4.6317889539367017E-2</v>
      </c>
    </row>
    <row r="232" spans="2:6">
      <c r="B232" s="111">
        <f>_xll.qlCalendarAdvance("Null",B231,"1m")</f>
        <v>49980</v>
      </c>
      <c r="C232" s="112">
        <f t="shared" si="6"/>
        <v>17.098630136986301</v>
      </c>
      <c r="D232" s="77">
        <f>_xll.qlYieldTSForwardRate($C$3,B232,B232,"Act/365 (fixed)","Continuous",,TRUE)</f>
        <v>4.6165388828617128E-2</v>
      </c>
      <c r="E232" s="248">
        <f>_xll.qlYieldTSForwardRate($C$4,B232,B232,"Act/365 (fixed)","Continuous",,TRUE)</f>
        <v>4.8359329573626632E-2</v>
      </c>
      <c r="F232" s="249">
        <f>_xll.qlYieldTSForwardRate($C$5,B232,B232,"Act/365 (fixed)","Continuous",,TRUE)</f>
        <v>4.6282061216187977E-2</v>
      </c>
    </row>
    <row r="233" spans="2:6">
      <c r="B233" s="111">
        <f>_xll.qlCalendarAdvance("Null",B232,"1m")</f>
        <v>50010</v>
      </c>
      <c r="C233" s="112">
        <f t="shared" si="6"/>
        <v>17.18082191780822</v>
      </c>
      <c r="D233" s="77">
        <f>_xll.qlYieldTSForwardRate($C$3,B233,B233,"Act/365 (fixed)","Continuous",,TRUE)</f>
        <v>4.6132530120179684E-2</v>
      </c>
      <c r="E233" s="248">
        <f>_xll.qlYieldTSForwardRate($C$4,B233,B233,"Act/365 (fixed)","Continuous",,TRUE)</f>
        <v>4.8311613604384386E-2</v>
      </c>
      <c r="F233" s="249">
        <f>_xll.qlYieldTSForwardRate($C$5,B233,B233,"Act/365 (fixed)","Continuous",,TRUE)</f>
        <v>4.624705022863005E-2</v>
      </c>
    </row>
    <row r="234" spans="2:6">
      <c r="B234" s="111">
        <f>_xll.qlCalendarAdvance("Null",B233,"1m")</f>
        <v>50041</v>
      </c>
      <c r="C234" s="112">
        <f t="shared" si="6"/>
        <v>17.265753424657536</v>
      </c>
      <c r="D234" s="77">
        <f>_xll.qlYieldTSForwardRate($C$3,B234,B234,"Act/365 (fixed)","Continuous",,TRUE)</f>
        <v>4.6098576121717645E-2</v>
      </c>
      <c r="E234" s="248">
        <f>_xll.qlYieldTSForwardRate($C$4,B234,B234,"Act/365 (fixed)","Continuous",,TRUE)</f>
        <v>4.8256590142264556E-2</v>
      </c>
      <c r="F234" s="249">
        <f>_xll.qlYieldTSForwardRate($C$5,B234,B234,"Act/365 (fixed)","Continuous",,TRUE)</f>
        <v>4.621054605783368E-2</v>
      </c>
    </row>
    <row r="235" spans="2:6">
      <c r="B235" s="111">
        <f>_xll.qlCalendarAdvance("Null",B234,"1m")</f>
        <v>50072</v>
      </c>
      <c r="C235" s="112">
        <f t="shared" si="6"/>
        <v>17.350684931506848</v>
      </c>
      <c r="D235" s="77">
        <f>_xll.qlYieldTSForwardRate($C$3,B235,B235,"Act/365 (fixed)","Continuous",,TRUE)</f>
        <v>4.6064622125360735E-2</v>
      </c>
      <c r="E235" s="248">
        <f>_xll.qlYieldTSForwardRate($C$4,B235,B235,"Act/365 (fixed)","Continuous",,TRUE)</f>
        <v>4.8196021861983913E-2</v>
      </c>
      <c r="F235" s="249">
        <f>_xll.qlYieldTSForwardRate($C$5,B235,B235,"Act/365 (fixed)","Continuous",,TRUE)</f>
        <v>4.61737343365623E-2</v>
      </c>
    </row>
    <row r="236" spans="2:6">
      <c r="B236" s="111">
        <f>_xll.qlCalendarAdvance("Null",B235,"1m")</f>
        <v>50100</v>
      </c>
      <c r="C236" s="112">
        <f t="shared" si="6"/>
        <v>17.427397260273974</v>
      </c>
      <c r="D236" s="77">
        <f>_xll.qlYieldTSForwardRate($C$3,B236,B236,"Act/365 (fixed)","Continuous",,TRUE)</f>
        <v>4.6033953998660414E-2</v>
      </c>
      <c r="E236" s="248">
        <f>_xll.qlYieldTSForwardRate($C$4,B236,B236,"Act/365 (fixed)","Continuous",,TRUE)</f>
        <v>4.8136772682032578E-2</v>
      </c>
      <c r="F236" s="249">
        <f>_xll.qlYieldTSForwardRate($C$5,B236,B236,"Act/365 (fixed)","Continuous",,TRUE)</f>
        <v>4.614024082553983E-2</v>
      </c>
    </row>
    <row r="237" spans="2:6">
      <c r="B237" s="111">
        <f>_xll.qlCalendarAdvance("Null",B236,"1m")</f>
        <v>50131</v>
      </c>
      <c r="C237" s="112">
        <f t="shared" si="6"/>
        <v>17.512328767123286</v>
      </c>
      <c r="D237" s="77">
        <f>_xll.qlYieldTSForwardRate($C$3,B237,B237,"Act/365 (fixed)","Continuous",,TRUE)</f>
        <v>4.5999999997643232E-2</v>
      </c>
      <c r="E237" s="248">
        <f>_xll.qlYieldTSForwardRate($C$4,B237,B237,"Act/365 (fixed)","Continuous",,TRUE)</f>
        <v>4.8066393838084906E-2</v>
      </c>
      <c r="F237" s="249">
        <f>_xll.qlYieldTSForwardRate($C$5,B237,B237,"Act/365 (fixed)","Continuous",,TRUE)</f>
        <v>4.6102910627806595E-2</v>
      </c>
    </row>
    <row r="238" spans="2:6">
      <c r="B238" s="111">
        <f>_xll.qlCalendarAdvance("Null",B237,"1m")</f>
        <v>50161</v>
      </c>
      <c r="C238" s="112">
        <f t="shared" si="6"/>
        <v>17.594520547945205</v>
      </c>
      <c r="D238" s="77">
        <f>_xll.qlYieldTSForwardRate($C$3,B238,B238,"Act/365 (fixed)","Continuous",,TRUE)</f>
        <v>4.5967141293103218E-2</v>
      </c>
      <c r="E238" s="248">
        <f>_xll.qlYieldTSForwardRate($C$4,B238,B238,"Act/365 (fixed)","Continuous",,TRUE)</f>
        <v>4.7993746010650221E-2</v>
      </c>
      <c r="F238" s="249">
        <f>_xll.qlYieldTSForwardRate($C$5,B238,B238,"Act/365 (fixed)","Continuous",,TRUE)</f>
        <v>4.6066558458638586E-2</v>
      </c>
    </row>
    <row r="239" spans="2:6">
      <c r="B239" s="111">
        <f>_xll.qlCalendarAdvance("Null",B238,"1m")</f>
        <v>50192</v>
      </c>
      <c r="C239" s="112">
        <f t="shared" si="6"/>
        <v>17.67945205479452</v>
      </c>
      <c r="D239" s="77">
        <f>_xll.qlYieldTSForwardRate($C$3,B239,B239,"Act/365 (fixed)","Continuous",,TRUE)</f>
        <v>4.5933187294079608E-2</v>
      </c>
      <c r="E239" s="248">
        <f>_xll.qlYieldTSForwardRate($C$4,B239,B239,"Act/365 (fixed)","Continuous",,TRUE)</f>
        <v>4.7914247582120435E-2</v>
      </c>
      <c r="F239" s="249">
        <f>_xll.qlYieldTSForwardRate($C$5,B239,B239,"Act/365 (fixed)","Continuous",,TRUE)</f>
        <v>4.6028784388846812E-2</v>
      </c>
    </row>
    <row r="240" spans="2:6">
      <c r="B240" s="111">
        <f>_xll.qlCalendarAdvance("Null",B239,"1m")</f>
        <v>50222</v>
      </c>
      <c r="C240" s="112">
        <f t="shared" si="6"/>
        <v>17.761643835616439</v>
      </c>
      <c r="D240" s="77">
        <f>_xll.qlYieldTSForwardRate($C$3,B240,B240,"Act/365 (fixed)","Continuous",,TRUE)</f>
        <v>4.5900328587099616E-2</v>
      </c>
      <c r="E240" s="248">
        <f>_xll.qlYieldTSForwardRate($C$4,B240,B240,"Act/365 (fixed)","Continuous",,TRUE)</f>
        <v>4.7833277863578404E-2</v>
      </c>
      <c r="F240" s="249">
        <f>_xll.qlYieldTSForwardRate($C$5,B240,B240,"Act/365 (fixed)","Continuous",,TRUE)</f>
        <v>4.5992048006294278E-2</v>
      </c>
    </row>
    <row r="241" spans="2:6">
      <c r="B241" s="111">
        <f>_xll.qlCalendarAdvance("Null",B240,"1m")</f>
        <v>50253</v>
      </c>
      <c r="C241" s="112">
        <f t="shared" si="6"/>
        <v>17.846575342465755</v>
      </c>
      <c r="D241" s="77">
        <f>_xll.qlYieldTSForwardRate($C$3,B241,B241,"Act/365 (fixed)","Continuous",,TRUE)</f>
        <v>4.5866374590069592E-2</v>
      </c>
      <c r="E241" s="248">
        <f>_xll.qlYieldTSForwardRate($C$4,B241,B241,"Act/365 (fixed)","Continuous",,TRUE)</f>
        <v>4.774570044379272E-2</v>
      </c>
      <c r="F241" s="249">
        <f>_xll.qlYieldTSForwardRate($C$5,B241,B241,"Act/365 (fixed)","Continuous",,TRUE)</f>
        <v>4.5953923775708665E-2</v>
      </c>
    </row>
    <row r="242" spans="2:6">
      <c r="B242" s="111">
        <f>_xll.qlCalendarAdvance("Null",B241,"1m")</f>
        <v>50284</v>
      </c>
      <c r="C242" s="112">
        <f t="shared" si="6"/>
        <v>17.931506849315067</v>
      </c>
      <c r="D242" s="77">
        <f>_xll.qlYieldTSForwardRate($C$3,B242,B242,"Act/365 (fixed)","Continuous",,TRUE)</f>
        <v>4.5832420590703839E-2</v>
      </c>
      <c r="E242" s="248">
        <f>_xll.qlYieldTSForwardRate($C$4,B242,B242,"Act/365 (fixed)","Continuous",,TRUE)</f>
        <v>4.7654416092824115E-2</v>
      </c>
      <c r="F242" s="249">
        <f>_xll.qlYieldTSForwardRate($C$5,B242,B242,"Act/365 (fixed)","Continuous",,TRUE)</f>
        <v>4.5915657510357442E-2</v>
      </c>
    </row>
    <row r="243" spans="2:6">
      <c r="B243" s="111">
        <f>_xll.qlCalendarAdvance("Null",B242,"1m")</f>
        <v>50314</v>
      </c>
      <c r="C243" s="112">
        <f t="shared" si="6"/>
        <v>18.013698630136986</v>
      </c>
      <c r="D243" s="77">
        <f>_xll.qlYieldTSForwardRate($C$3,B243,B243,"Act/365 (fixed)","Continuous",,TRUE)</f>
        <v>4.5799561883392743E-2</v>
      </c>
      <c r="E243" s="248">
        <f>_xll.qlYieldTSForwardRate($C$4,B243,B243,"Act/365 (fixed)","Continuous",,TRUE)</f>
        <v>4.756280004570769E-2</v>
      </c>
      <c r="F243" s="249">
        <f>_xll.qlYieldTSForwardRate($C$5,B243,B243,"Act/365 (fixed)","Continuous",,TRUE)</f>
        <v>4.5878513195574032E-2</v>
      </c>
    </row>
    <row r="244" spans="2:6">
      <c r="B244" s="111">
        <f>_xll.qlCalendarAdvance("Null",B243,"1m")</f>
        <v>50345</v>
      </c>
      <c r="C244" s="112">
        <f t="shared" si="6"/>
        <v>18.098630136986301</v>
      </c>
      <c r="D244" s="77">
        <f>_xll.qlYieldTSForwardRate($C$3,B244,B244,"Act/365 (fixed)","Continuous",,TRUE)</f>
        <v>4.5765607886020569E-2</v>
      </c>
      <c r="E244" s="248">
        <f>_xll.qlYieldTSForwardRate($C$4,B244,B244,"Act/365 (fixed)","Continuous",,TRUE)</f>
        <v>4.746500612888415E-2</v>
      </c>
      <c r="F244" s="249">
        <f>_xll.qlYieldTSForwardRate($C$5,B244,B244,"Act/365 (fixed)","Continuous",,TRUE)</f>
        <v>4.5840038102381471E-2</v>
      </c>
    </row>
    <row r="245" spans="2:6">
      <c r="B245" s="111">
        <f>_xll.qlCalendarAdvance("Null",B244,"1m")</f>
        <v>50375</v>
      </c>
      <c r="C245" s="112">
        <f t="shared" si="6"/>
        <v>18.18082191780822</v>
      </c>
      <c r="D245" s="77">
        <f>_xll.qlYieldTSForwardRate($C$3,B245,B245,"Act/365 (fixed)","Continuous",,TRUE)</f>
        <v>4.5732749180710373E-2</v>
      </c>
      <c r="E245" s="248">
        <f>_xll.qlYieldTSForwardRate($C$4,B245,B245,"Act/365 (fixed)","Continuous",,TRUE)</f>
        <v>4.7367594010553023E-2</v>
      </c>
      <c r="F245" s="249">
        <f>_xll.qlYieldTSForwardRate($C$5,B245,B245,"Act/365 (fixed)","Continuous",,TRUE)</f>
        <v>4.5802737046748483E-2</v>
      </c>
    </row>
    <row r="246" spans="2:6">
      <c r="B246" s="111">
        <f>_xll.qlCalendarAdvance("Null",B245,"1m")</f>
        <v>50406</v>
      </c>
      <c r="C246" s="112">
        <f t="shared" si="6"/>
        <v>18.265753424657536</v>
      </c>
      <c r="D246" s="77">
        <f>_xll.qlYieldTSForwardRate($C$3,B246,B246,"Act/365 (fixed)","Continuous",,TRUE)</f>
        <v>4.5698795180890921E-2</v>
      </c>
      <c r="E246" s="248">
        <f>_xll.qlYieldTSForwardRate($C$4,B246,B246,"Act/365 (fixed)","Continuous",,TRUE)</f>
        <v>4.7264331121303869E-2</v>
      </c>
      <c r="F246" s="249">
        <f>_xll.qlYieldTSForwardRate($C$5,B246,B246,"Act/365 (fixed)","Continuous",,TRUE)</f>
        <v>4.5764146843647519E-2</v>
      </c>
    </row>
    <row r="247" spans="2:6">
      <c r="B247" s="111">
        <f>_xll.qlCalendarAdvance("Null",B246,"1m")</f>
        <v>50437</v>
      </c>
      <c r="C247" s="112">
        <f t="shared" si="6"/>
        <v>18.350684931506848</v>
      </c>
      <c r="D247" s="77">
        <f>_xll.qlYieldTSForwardRate($C$3,B247,B247,"Act/365 (fixed)","Continuous",,TRUE)</f>
        <v>4.5664841183176604E-2</v>
      </c>
      <c r="E247" s="248">
        <f>_xll.qlYieldTSForwardRate($C$4,B247,B247,"Act/365 (fixed)","Continuous",,TRUE)</f>
        <v>4.7158687706446441E-2</v>
      </c>
      <c r="F247" s="249">
        <f>_xll.qlYieldTSForwardRate($C$5,B247,B247,"Act/365 (fixed)","Continuous",,TRUE)</f>
        <v>4.5725534056344136E-2</v>
      </c>
    </row>
    <row r="248" spans="2:6">
      <c r="B248" s="111">
        <f>_xll.qlCalendarAdvance("Null",B247,"1m")</f>
        <v>50465</v>
      </c>
      <c r="C248" s="112">
        <f t="shared" si="6"/>
        <v>18.427397260273974</v>
      </c>
      <c r="D248" s="77">
        <f>_xll.qlYieldTSForwardRate($C$3,B248,B248,"Act/365 (fixed)","Continuous",,TRUE)</f>
        <v>4.5634173055250221E-2</v>
      </c>
      <c r="E248" s="248">
        <f>_xll.qlYieldTSForwardRate($C$4,B248,B248,"Act/365 (fixed)","Continuous",,TRUE)</f>
        <v>4.7061445275260794E-2</v>
      </c>
      <c r="F248" s="249">
        <f>_xll.qlYieldTSForwardRate($C$5,B248,B248,"Act/365 (fixed)","Continuous",,TRUE)</f>
        <v>4.569065870882625E-2</v>
      </c>
    </row>
    <row r="249" spans="2:6">
      <c r="B249" s="111">
        <f>_xll.qlCalendarAdvance("Null",B248,"1m")</f>
        <v>50496</v>
      </c>
      <c r="C249" s="112">
        <f t="shared" si="6"/>
        <v>18.512328767123286</v>
      </c>
      <c r="D249" s="77">
        <f>_xll.qlYieldTSForwardRate($C$3,B249,B249,"Act/365 (fixed)","Continuous",,TRUE)</f>
        <v>4.5600219059536928E-2</v>
      </c>
      <c r="E249" s="248">
        <f>_xll.qlYieldTSForwardRate($C$4,B249,B249,"Act/365 (fixed)","Continuous",,TRUE)</f>
        <v>4.6952013668521635E-2</v>
      </c>
      <c r="F249" s="249">
        <f>_xll.qlYieldTSForwardRate($C$5,B249,B249,"Act/365 (fixed)","Continuous",,TRUE)</f>
        <v>4.5652069799806912E-2</v>
      </c>
    </row>
    <row r="250" spans="2:6">
      <c r="B250" s="111">
        <f>_xll.qlCalendarAdvance("Null",B249,"1m")</f>
        <v>50526</v>
      </c>
      <c r="C250" s="112">
        <f t="shared" si="6"/>
        <v>18.594520547945205</v>
      </c>
      <c r="D250" s="77">
        <f>_xll.qlYieldTSForwardRate($C$3,B250,B250,"Act/365 (fixed)","Continuous",,TRUE)</f>
        <v>4.5567360349242414E-2</v>
      </c>
      <c r="E250" s="248">
        <f>_xll.qlYieldTSForwardRate($C$4,B250,B250,"Act/365 (fixed)","Continuous",,TRUE)</f>
        <v>4.6844585668471404E-2</v>
      </c>
      <c r="F250" s="249">
        <f>_xll.qlYieldTSForwardRate($C$5,B250,B250,"Act/365 (fixed)","Continuous",,TRUE)</f>
        <v>4.5614770846225602E-2</v>
      </c>
    </row>
    <row r="251" spans="2:6">
      <c r="B251" s="111">
        <f>_xll.qlCalendarAdvance("Null",B250,"1m")</f>
        <v>50557</v>
      </c>
      <c r="C251" s="112">
        <f t="shared" si="6"/>
        <v>18.67945205479452</v>
      </c>
      <c r="D251" s="77">
        <f>_xll.qlYieldTSForwardRate($C$3,B251,B251,"Act/365 (fixed)","Continuous",,TRUE)</f>
        <v>4.5533406353302261E-2</v>
      </c>
      <c r="E251" s="248">
        <f>_xll.qlYieldTSForwardRate($C$4,B251,B251,"Act/365 (fixed)","Continuous",,TRUE)</f>
        <v>4.6732260984888169E-2</v>
      </c>
      <c r="F251" s="249">
        <f>_xll.qlYieldTSForwardRate($C$5,B251,B251,"Act/365 (fixed)","Continuous",,TRUE)</f>
        <v>4.5576298800676811E-2</v>
      </c>
    </row>
    <row r="252" spans="2:6">
      <c r="B252" s="111">
        <f>_xll.qlCalendarAdvance("Null",B251,"1m")</f>
        <v>50587</v>
      </c>
      <c r="C252" s="112">
        <f t="shared" si="6"/>
        <v>18.761643835616439</v>
      </c>
      <c r="D252" s="77">
        <f>_xll.qlYieldTSForwardRate($C$3,B252,B252,"Act/365 (fixed)","Continuous",,TRUE)</f>
        <v>4.5500547642788207E-2</v>
      </c>
      <c r="E252" s="248">
        <f>_xll.qlYieldTSForwardRate($C$4,B252,B252,"Act/365 (fixed)","Continuous",,TRUE)</f>
        <v>4.6622536752207927E-2</v>
      </c>
      <c r="F252" s="249">
        <f>_xll.qlYieldTSForwardRate($C$5,B252,B252,"Act/365 (fixed)","Continuous",,TRUE)</f>
        <v>4.5539158286019212E-2</v>
      </c>
    </row>
    <row r="253" spans="2:6">
      <c r="B253" s="111">
        <f>_xll.qlCalendarAdvance("Null",B252,"1m")</f>
        <v>50618</v>
      </c>
      <c r="C253" s="112">
        <f t="shared" si="6"/>
        <v>18.846575342465755</v>
      </c>
      <c r="D253" s="77">
        <f>_xll.qlYieldTSForwardRate($C$3,B253,B253,"Act/365 (fixed)","Continuous",,TRUE)</f>
        <v>4.546659364884164E-2</v>
      </c>
      <c r="E253" s="248">
        <f>_xll.qlYieldTSForwardRate($C$4,B253,B253,"Act/365 (fixed)","Continuous",,TRUE)</f>
        <v>4.6508359594354953E-2</v>
      </c>
      <c r="F253" s="249">
        <f>_xll.qlYieldTSForwardRate($C$5,B253,B253,"Act/365 (fixed)","Continuous",,TRUE)</f>
        <v>4.5500896821883782E-2</v>
      </c>
    </row>
    <row r="254" spans="2:6">
      <c r="B254" s="111">
        <f>_xll.qlCalendarAdvance("Null",B253,"1m")</f>
        <v>50649</v>
      </c>
      <c r="C254" s="112">
        <f t="shared" si="6"/>
        <v>18.931506849315067</v>
      </c>
      <c r="D254" s="77">
        <f>_xll.qlYieldTSForwardRate($C$3,B254,B254,"Act/365 (fixed)","Continuous",,TRUE)</f>
        <v>4.5432639650338912E-2</v>
      </c>
      <c r="E254" s="248">
        <f>_xll.qlYieldTSForwardRate($C$4,B254,B254,"Act/365 (fixed)","Continuous",,TRUE)</f>
        <v>4.6393639798448995E-2</v>
      </c>
      <c r="F254" s="249">
        <f>_xll.qlYieldTSForwardRate($C$5,B254,B254,"Act/365 (fixed)","Continuous",,TRUE)</f>
        <v>4.5462778284843915E-2</v>
      </c>
    </row>
    <row r="255" spans="2:6">
      <c r="B255" s="111">
        <f>_xll.qlCalendarAdvance("Null",B254,"1m")</f>
        <v>50679</v>
      </c>
      <c r="C255" s="112">
        <f t="shared" si="6"/>
        <v>19.013698630136986</v>
      </c>
      <c r="D255" s="77">
        <f>_xll.qlYieldTSForwardRate($C$3,B255,B255,"Act/365 (fixed)","Continuous",,TRUE)</f>
        <v>4.539978094171418E-2</v>
      </c>
      <c r="E255" s="248">
        <f>_xll.qlYieldTSForwardRate($C$4,B255,B255,"Act/365 (fixed)","Continuous",,TRUE)</f>
        <v>4.6282357113679472E-2</v>
      </c>
      <c r="F255" s="249">
        <f>_xll.qlYieldTSForwardRate($C$5,B255,B255,"Act/365 (fixed)","Continuous",,TRUE)</f>
        <v>4.5426048261761116E-2</v>
      </c>
    </row>
    <row r="256" spans="2:6">
      <c r="B256" s="111">
        <f>_xll.qlCalendarAdvance("Null",B255,"1m")</f>
        <v>50710</v>
      </c>
      <c r="C256" s="112">
        <f t="shared" si="6"/>
        <v>19.098630136986301</v>
      </c>
      <c r="D256" s="77">
        <f>_xll.qlYieldTSForwardRate($C$3,B256,B256,"Act/365 (fixed)","Continuous",,TRUE)</f>
        <v>4.536582694520503E-2</v>
      </c>
      <c r="E256" s="248">
        <f>_xll.qlYieldTSForwardRate($C$4,B256,B256,"Act/365 (fixed)","Continuous",,TRUE)</f>
        <v>4.6167354265127455E-2</v>
      </c>
      <c r="F256" s="249">
        <f>_xll.qlYieldTSForwardRate($C$5,B256,B256,"Act/365 (fixed)","Continuous",,TRUE)</f>
        <v>4.5388281641332996E-2</v>
      </c>
    </row>
    <row r="257" spans="2:6">
      <c r="B257" s="111">
        <f>_xll.qlCalendarAdvance("Null",B256,"1m")</f>
        <v>50740</v>
      </c>
      <c r="C257" s="112">
        <f t="shared" si="6"/>
        <v>19.18082191780822</v>
      </c>
      <c r="D257" s="77">
        <f>_xll.qlYieldTSForwardRate($C$3,B257,B257,"Act/365 (fixed)","Continuous",,TRUE)</f>
        <v>4.5332968236360772E-2</v>
      </c>
      <c r="E257" s="248">
        <f>_xll.qlYieldTSForwardRate($C$4,B257,B257,"Act/365 (fixed)","Continuous",,TRUE)</f>
        <v>4.6056301170903834E-2</v>
      </c>
      <c r="F257" s="249">
        <f>_xll.qlYieldTSForwardRate($C$5,B257,B257,"Act/365 (fixed)","Continuous",,TRUE)</f>
        <v>4.5351937525308875E-2</v>
      </c>
    </row>
    <row r="258" spans="2:6">
      <c r="B258" s="111">
        <f>_xll.qlCalendarAdvance("Null",B257,"1m")</f>
        <v>50771</v>
      </c>
      <c r="C258" s="112">
        <f t="shared" si="6"/>
        <v>19.265753424657536</v>
      </c>
      <c r="D258" s="77">
        <f>_xll.qlYieldTSForwardRate($C$3,B258,B258,"Act/365 (fixed)","Continuous",,TRUE)</f>
        <v>4.5299014237404331E-2</v>
      </c>
      <c r="E258" s="248">
        <f>_xll.qlYieldTSForwardRate($C$4,B258,B258,"Act/365 (fixed)","Continuous",,TRUE)</f>
        <v>4.5942055863630003E-2</v>
      </c>
      <c r="F258" s="249">
        <f>_xll.qlYieldTSForwardRate($C$5,B258,B258,"Act/365 (fixed)","Continuous",,TRUE)</f>
        <v>4.53146165305605E-2</v>
      </c>
    </row>
    <row r="259" spans="2:6">
      <c r="B259" s="111">
        <f>_xll.qlCalendarAdvance("Null",B258,"1m")</f>
        <v>50802</v>
      </c>
      <c r="C259" s="112">
        <f t="shared" si="6"/>
        <v>19.350684931506848</v>
      </c>
      <c r="D259" s="77">
        <f>_xll.qlYieldTSForwardRate($C$3,B259,B259,"Act/365 (fixed)","Continuous",,TRUE)</f>
        <v>4.5265060240553039E-2</v>
      </c>
      <c r="E259" s="248">
        <f>_xll.qlYieldTSForwardRate($C$4,B259,B259,"Act/365 (fixed)","Continuous",,TRUE)</f>
        <v>4.5828594324505555E-2</v>
      </c>
      <c r="F259" s="249">
        <f>_xll.qlYieldTSForwardRate($C$5,B259,B259,"Act/365 (fixed)","Continuous",,TRUE)</f>
        <v>4.5277557915712689E-2</v>
      </c>
    </row>
    <row r="260" spans="2:6">
      <c r="B260" s="111">
        <f>_xll.qlCalendarAdvance("Null",B259,"1m")</f>
        <v>50830</v>
      </c>
      <c r="C260" s="112">
        <f t="shared" si="6"/>
        <v>19.427397260273974</v>
      </c>
      <c r="D260" s="77">
        <f>_xll.qlYieldTSForwardRate($C$3,B260,B260,"Act/365 (fixed)","Continuous",,TRUE)</f>
        <v>4.5234392115841474E-2</v>
      </c>
      <c r="E260" s="248">
        <f>_xll.qlYieldTSForwardRate($C$4,B260,B260,"Act/365 (fixed)","Continuous",,TRUE)</f>
        <v>4.5727010139955594E-2</v>
      </c>
      <c r="F260" s="249">
        <f>_xll.qlYieldTSForwardRate($C$5,B260,B260,"Act/365 (fixed)","Continuous",,TRUE)</f>
        <v>4.5244331273671383E-2</v>
      </c>
    </row>
    <row r="261" spans="2:6">
      <c r="B261" s="111">
        <f>_xll.qlCalendarAdvance("Null",B260,"1m")</f>
        <v>50861</v>
      </c>
      <c r="C261" s="112">
        <f t="shared" si="6"/>
        <v>19.512328767123286</v>
      </c>
      <c r="D261" s="77">
        <f>_xll.qlYieldTSForwardRate($C$3,B261,B261,"Act/365 (fixed)","Continuous",,TRUE)</f>
        <v>4.5200438116550327E-2</v>
      </c>
      <c r="E261" s="248">
        <f>_xll.qlYieldTSForwardRate($C$4,B261,B261,"Act/365 (fixed)","Continuous",,TRUE)</f>
        <v>4.5615782774369465E-2</v>
      </c>
      <c r="F261" s="249">
        <f>_xll.qlYieldTSForwardRate($C$5,B261,B261,"Act/365 (fixed)","Continuous",,TRUE)</f>
        <v>4.5207838894170765E-2</v>
      </c>
    </row>
    <row r="262" spans="2:6">
      <c r="B262" s="111">
        <f>_xll.qlCalendarAdvance("Null",B261,"1m")</f>
        <v>50891</v>
      </c>
      <c r="C262" s="112">
        <f t="shared" si="6"/>
        <v>19.594520547945205</v>
      </c>
      <c r="D262" s="77">
        <f>_xll.qlYieldTSForwardRate($C$3,B262,B262,"Act/365 (fixed)","Continuous",,TRUE)</f>
        <v>4.5167579409383055E-2</v>
      </c>
      <c r="E262" s="248">
        <f>_xll.qlYieldTSForwardRate($C$4,B262,B262,"Act/365 (fixed)","Continuous",,TRUE)</f>
        <v>4.5509629772030963E-2</v>
      </c>
      <c r="F262" s="249">
        <f>_xll.qlYieldTSForwardRate($C$5,B262,B262,"Act/365 (fixed)","Continuous",,TRUE)</f>
        <v>4.5172840161879134E-2</v>
      </c>
    </row>
    <row r="263" spans="2:6">
      <c r="B263" s="111">
        <f>_xll.qlCalendarAdvance("Null",B262,"1m")</f>
        <v>50922</v>
      </c>
      <c r="C263" s="112">
        <f t="shared" si="6"/>
        <v>19.67945205479452</v>
      </c>
      <c r="D263" s="77">
        <f>_xll.qlYieldTSForwardRate($C$3,B263,B263,"Act/365 (fixed)","Continuous",,TRUE)</f>
        <v>4.5133625412085487E-2</v>
      </c>
      <c r="E263" s="248">
        <f>_xll.qlYieldTSForwardRate($C$4,B263,B263,"Act/365 (fixed)","Continuous",,TRUE)</f>
        <v>4.5401735844626763E-2</v>
      </c>
      <c r="F263" s="249">
        <f>_xll.qlYieldTSForwardRate($C$5,B263,B263,"Act/365 (fixed)","Continuous",,TRUE)</f>
        <v>4.5137025388139088E-2</v>
      </c>
    </row>
    <row r="264" spans="2:6">
      <c r="B264" s="111">
        <f>_xll.qlCalendarAdvance("Null",B263,"1m")</f>
        <v>50952</v>
      </c>
      <c r="C264" s="112">
        <f t="shared" si="6"/>
        <v>19.761643835616439</v>
      </c>
      <c r="D264" s="77">
        <f>_xll.qlYieldTSForwardRate($C$3,B264,B264,"Act/365 (fixed)","Continuous",,TRUE)</f>
        <v>4.5100766704698682E-2</v>
      </c>
      <c r="E264" s="248">
        <f>_xll.qlYieldTSForwardRate($C$4,B264,B264,"Act/365 (fixed)","Continuous",,TRUE)</f>
        <v>4.5299312270984327E-2</v>
      </c>
      <c r="F264" s="249">
        <f>_xll.qlYieldTSForwardRate($C$5,B264,B264,"Act/365 (fixed)","Continuous",,TRUE)</f>
        <v>4.5102727747175345E-2</v>
      </c>
    </row>
    <row r="265" spans="2:6">
      <c r="B265" s="111">
        <f>_xll.qlCalendarAdvance("Null",B264,"1m")</f>
        <v>50983</v>
      </c>
      <c r="C265" s="112">
        <f t="shared" si="6"/>
        <v>19.846575342465755</v>
      </c>
      <c r="D265" s="77">
        <f>_xll.qlYieldTSForwardRate($C$3,B265,B265,"Act/365 (fixed)","Continuous",,TRUE)</f>
        <v>4.5066812704953822E-2</v>
      </c>
      <c r="E265" s="248">
        <f>_xll.qlYieldTSForwardRate($C$4,B265,B265,"Act/365 (fixed)","Continuous",,TRUE)</f>
        <v>4.5195792380435883E-2</v>
      </c>
      <c r="F265" s="249">
        <f>_xll.qlYieldTSForwardRate($C$5,B265,B265,"Act/365 (fixed)","Continuous",,TRUE)</f>
        <v>4.5067684288272646E-2</v>
      </c>
    </row>
    <row r="266" spans="2:6">
      <c r="B266" s="111">
        <f>_xll.qlCalendarAdvance("Null",B265,"1m")</f>
        <v>51014</v>
      </c>
      <c r="C266" s="112">
        <f t="shared" si="6"/>
        <v>19.931506849315067</v>
      </c>
      <c r="D266" s="77">
        <f>_xll.qlYieldTSForwardRate($C$3,B266,B266,"Act/365 (fixed)","Continuous",,TRUE)</f>
        <v>4.5032858707314112E-2</v>
      </c>
      <c r="E266" s="248">
        <f>_xll.qlYieldTSForwardRate($C$4,B266,B266,"Act/365 (fixed)","Continuous",,TRUE)</f>
        <v>4.5094894148762339E-2</v>
      </c>
      <c r="F266" s="249">
        <f>_xll.qlYieldTSForwardRate($C$5,B266,B266,"Act/365 (fixed)","Continuous",,TRUE)</f>
        <v>4.5033068725037456E-2</v>
      </c>
    </row>
    <row r="267" spans="2:6">
      <c r="B267" s="111">
        <f>_xll.qlCalendarAdvance("Null",B266,"1m")</f>
        <v>51044</v>
      </c>
      <c r="C267" s="112">
        <f t="shared" si="6"/>
        <v>20.013698630136986</v>
      </c>
      <c r="D267" s="77">
        <f>_xll.qlYieldTSForwardRate($C$3,B267,B267,"Act/365 (fixed)","Continuous",,TRUE)</f>
        <v>4.5000000006257507E-2</v>
      </c>
      <c r="E267" s="248">
        <f>_xll.qlYieldTSForwardRate($C$4,B267,B267,"Act/365 (fixed)","Continuous",,TRUE)</f>
        <v>4.4999999999596196E-2</v>
      </c>
      <c r="F267" s="249">
        <f>_xll.qlYieldTSForwardRate($C$5,B267,B267,"Act/365 (fixed)","Continuous",,TRUE)</f>
        <v>4.5000000001816629E-2</v>
      </c>
    </row>
    <row r="268" spans="2:6">
      <c r="B268" s="111">
        <f>_xll.qlCalendarAdvance("Null",B267,"1m")</f>
        <v>51075</v>
      </c>
      <c r="C268" s="112">
        <f t="shared" si="6"/>
        <v>20.098630136986301</v>
      </c>
      <c r="D268" s="77">
        <f>_xll.qlYieldTSForwardRate($C$3,B268,B268,"Act/365 (fixed)","Continuous",,TRUE)</f>
        <v>4.4966064586779493E-2</v>
      </c>
      <c r="E268" s="248">
        <f>_xll.qlYieldTSForwardRate($C$4,B268,B268,"Act/365 (fixed)","Continuous",,TRUE)</f>
        <v>4.4904991743539929E-2</v>
      </c>
      <c r="F268" s="249">
        <f>_xll.qlYieldTSForwardRate($C$5,B268,B268,"Act/365 (fixed)","Continuous",,TRUE)</f>
        <v>4.4965489573774393E-2</v>
      </c>
    </row>
    <row r="269" spans="2:6">
      <c r="B269" s="111">
        <f>_xll.qlCalendarAdvance("Null",B268,"1m")</f>
        <v>51105</v>
      </c>
      <c r="C269" s="112">
        <f t="shared" si="6"/>
        <v>20.18082191780822</v>
      </c>
      <c r="D269" s="77">
        <f>_xll.qlYieldTSForwardRate($C$3,B269,B269,"Act/365 (fixed)","Continuous",,TRUE)</f>
        <v>4.4933223864374282E-2</v>
      </c>
      <c r="E269" s="248">
        <f>_xll.qlYieldTSForwardRate($C$4,B269,B269,"Act/365 (fixed)","Continuous",,TRUE)</f>
        <v>4.4815998818946212E-2</v>
      </c>
      <c r="F269" s="249">
        <f>_xll.qlYieldTSForwardRate($C$5,B269,B269,"Act/365 (fixed)","Continuous",,TRUE)</f>
        <v>4.4931051698361729E-2</v>
      </c>
    </row>
    <row r="270" spans="2:6">
      <c r="B270" s="111">
        <f>_xll.qlCalendarAdvance("Null",B269,"1m")</f>
        <v>51136</v>
      </c>
      <c r="C270" s="112">
        <f t="shared" si="6"/>
        <v>20.265753424657536</v>
      </c>
      <c r="D270" s="77">
        <f>_xll.qlYieldTSForwardRate($C$3,B270,B270,"Act/365 (fixed)","Continuous",,TRUE)</f>
        <v>4.4899288451330968E-2</v>
      </c>
      <c r="E270" s="248">
        <f>_xll.qlYieldTSForwardRate($C$4,B270,B270,"Act/365 (fixed)","Continuous",,TRUE)</f>
        <v>4.4727037588065656E-2</v>
      </c>
      <c r="F270" s="249">
        <f>_xll.qlYieldTSForwardRate($C$5,B270,B270,"Act/365 (fixed)","Continuous",,TRUE)</f>
        <v>4.4894447554288182E-2</v>
      </c>
    </row>
    <row r="271" spans="2:6">
      <c r="B271" s="111">
        <f>_xll.qlCalendarAdvance("Null",B270,"1m")</f>
        <v>51167</v>
      </c>
      <c r="C271" s="112">
        <f t="shared" si="6"/>
        <v>20.350684931506848</v>
      </c>
      <c r="D271" s="77">
        <f>_xll.qlYieldTSForwardRate($C$3,B271,B271,"Act/365 (fixed)","Continuous",,TRUE)</f>
        <v>4.4865353038172504E-2</v>
      </c>
      <c r="E271" s="248">
        <f>_xll.qlYieldTSForwardRate($C$4,B271,B271,"Act/365 (fixed)","Continuous",,TRUE)</f>
        <v>4.4641072033383529E-2</v>
      </c>
      <c r="F271" s="249">
        <f>_xll.qlYieldTSForwardRate($C$5,B271,B271,"Act/365 (fixed)","Continuous",,TRUE)</f>
        <v>4.4856866351588441E-2</v>
      </c>
    </row>
    <row r="272" spans="2:6">
      <c r="B272" s="111">
        <f>_xll.qlCalendarAdvance("Null",B271,"1m")</f>
        <v>51196</v>
      </c>
      <c r="C272" s="112">
        <f t="shared" si="6"/>
        <v>20.43013698630137</v>
      </c>
      <c r="D272" s="77">
        <f>_xll.qlYieldTSForwardRate($C$3,B272,B272,"Act/365 (fixed)","Continuous",,TRUE)</f>
        <v>4.4833607005974108E-2</v>
      </c>
      <c r="E272" s="248">
        <f>_xll.qlYieldTSForwardRate($C$4,B272,B272,"Act/365 (fixed)","Continuous",,TRUE)</f>
        <v>4.4563318436898508E-2</v>
      </c>
      <c r="F272" s="249">
        <f>_xll.qlYieldTSForwardRate($C$5,B272,B272,"Act/365 (fixed)","Continuous",,TRUE)</f>
        <v>4.4820877121493463E-2</v>
      </c>
    </row>
    <row r="273" spans="2:6">
      <c r="B273" s="111">
        <f>_xll.qlCalendarAdvance("Null",B272,"1m")</f>
        <v>51227</v>
      </c>
      <c r="C273" s="112">
        <f t="shared" si="6"/>
        <v>20.515068493150686</v>
      </c>
      <c r="D273" s="77">
        <f>_xll.qlYieldTSForwardRate($C$3,B273,B273,"Act/365 (fixed)","Continuous",,TRUE)</f>
        <v>4.4799671592592745E-2</v>
      </c>
      <c r="E273" s="248">
        <f>_xll.qlYieldTSForwardRate($C$4,B273,B273,"Act/365 (fixed)","Continuous",,TRUE)</f>
        <v>4.4483002769548183E-2</v>
      </c>
      <c r="F273" s="249">
        <f>_xll.qlYieldTSForwardRate($C$5,B273,B273,"Act/365 (fixed)","Continuous",,TRUE)</f>
        <v>4.4781571321337088E-2</v>
      </c>
    </row>
    <row r="274" spans="2:6">
      <c r="B274" s="111">
        <f>_xll.qlCalendarAdvance("Null",B273,"1m")</f>
        <v>51257</v>
      </c>
      <c r="C274" s="112">
        <f t="shared" si="6"/>
        <v>20.597260273972601</v>
      </c>
      <c r="D274" s="77">
        <f>_xll.qlYieldTSForwardRate($C$3,B274,B274,"Act/365 (fixed)","Continuous",,TRUE)</f>
        <v>4.4766830869641082E-2</v>
      </c>
      <c r="E274" s="248">
        <f>_xll.qlYieldTSForwardRate($C$4,B274,B274,"Act/365 (fixed)","Continuous",,TRUE)</f>
        <v>4.4407984944617375E-2</v>
      </c>
      <c r="F274" s="249">
        <f>_xll.qlYieldTSForwardRate($C$5,B274,B274,"Act/365 (fixed)","Continuous",,TRUE)</f>
        <v>4.4742766358155314E-2</v>
      </c>
    </row>
    <row r="275" spans="2:6">
      <c r="B275" s="111">
        <f>_xll.qlCalendarAdvance("Null",B274,"1m")</f>
        <v>51288</v>
      </c>
      <c r="C275" s="112">
        <f t="shared" si="6"/>
        <v>20.682191780821917</v>
      </c>
      <c r="D275" s="77">
        <f>_xll.qlYieldTSForwardRate($C$3,B275,B275,"Act/365 (fixed)","Continuous",,TRUE)</f>
        <v>4.4732895458253555E-2</v>
      </c>
      <c r="E275" s="248">
        <f>_xll.qlYieldTSForwardRate($C$4,B275,B275,"Act/365 (fixed)","Continuous",,TRUE)</f>
        <v>4.4333213001347432E-2</v>
      </c>
      <c r="F275" s="249">
        <f>_xll.qlYieldTSForwardRate($C$5,B275,B275,"Act/365 (fixed)","Continuous",,TRUE)</f>
        <v>4.4701932278137416E-2</v>
      </c>
    </row>
    <row r="276" spans="2:6">
      <c r="B276" s="111">
        <f>_xll.qlCalendarAdvance("Null",B275,"1m")</f>
        <v>51318</v>
      </c>
      <c r="C276" s="112">
        <f t="shared" si="6"/>
        <v>20.764383561643836</v>
      </c>
      <c r="D276" s="77">
        <f>_xll.qlYieldTSForwardRate($C$3,B276,B276,"Act/365 (fixed)","Continuous",,TRUE)</f>
        <v>4.4700054735082595E-2</v>
      </c>
      <c r="E276" s="248">
        <f>_xll.qlYieldTSForwardRate($C$4,B276,B276,"Act/365 (fixed)","Continuous",,TRUE)</f>
        <v>4.4263462334225907E-2</v>
      </c>
      <c r="F276" s="249">
        <f>_xll.qlYieldTSForwardRate($C$5,B276,B276,"Act/365 (fixed)","Continuous",,TRUE)</f>
        <v>4.4661758133775709E-2</v>
      </c>
    </row>
    <row r="277" spans="2:6">
      <c r="B277" s="111">
        <f>_xll.qlCalendarAdvance("Null",B276,"1m")</f>
        <v>51349</v>
      </c>
      <c r="C277" s="112">
        <f t="shared" si="6"/>
        <v>20.849315068493151</v>
      </c>
      <c r="D277" s="77">
        <f>_xll.qlYieldTSForwardRate($C$3,B277,B277,"Act/365 (fixed)","Continuous",,TRUE)</f>
        <v>4.4666119321248011E-2</v>
      </c>
      <c r="E277" s="248">
        <f>_xll.qlYieldTSForwardRate($C$4,B277,B277,"Act/365 (fixed)","Continuous",,TRUE)</f>
        <v>4.419403213329811E-2</v>
      </c>
      <c r="F277" s="249">
        <f>_xll.qlYieldTSForwardRate($C$5,B277,B277,"Act/365 (fixed)","Continuous",,TRUE)</f>
        <v>4.461962268467011E-2</v>
      </c>
    </row>
    <row r="278" spans="2:6">
      <c r="B278" s="111">
        <f>_xll.qlCalendarAdvance("Null",B277,"1m")</f>
        <v>51380</v>
      </c>
      <c r="C278" s="112">
        <f t="shared" si="6"/>
        <v>20.934246575342467</v>
      </c>
      <c r="D278" s="77">
        <f>_xll.qlYieldTSForwardRate($C$3,B278,B278,"Act/365 (fixed)","Continuous",,TRUE)</f>
        <v>4.463218390729827E-2</v>
      </c>
      <c r="E278" s="248">
        <f>_xll.qlYieldTSForwardRate($C$4,B278,B278,"Act/365 (fixed)","Continuous",,TRUE)</f>
        <v>4.412723917955097E-2</v>
      </c>
      <c r="F278" s="249">
        <f>_xll.qlYieldTSForwardRate($C$5,B278,B278,"Act/365 (fixed)","Continuous",,TRUE)</f>
        <v>4.4576912848522526E-2</v>
      </c>
    </row>
    <row r="279" spans="2:6">
      <c r="B279" s="111">
        <f>_xll.qlCalendarAdvance("Null",B278,"1m")</f>
        <v>51410</v>
      </c>
      <c r="C279" s="112">
        <f t="shared" si="6"/>
        <v>21.016438356164382</v>
      </c>
      <c r="D279" s="77">
        <f>_xll.qlYieldTSForwardRate($C$3,B279,B279,"Act/365 (fixed)","Continuous",,TRUE)</f>
        <v>4.4599343183796575E-2</v>
      </c>
      <c r="E279" s="248">
        <f>_xll.qlYieldTSForwardRate($C$4,B279,B279,"Act/365 (fixed)","Continuous",,TRUE)</f>
        <v>4.4065062714413107E-2</v>
      </c>
      <c r="F279" s="249">
        <f>_xll.qlYieldTSForwardRate($C$5,B279,B279,"Act/365 (fixed)","Continuous",,TRUE)</f>
        <v>4.453508905503805E-2</v>
      </c>
    </row>
    <row r="280" spans="2:6">
      <c r="B280" s="111">
        <f>_xll.qlCalendarAdvance("Null",B279,"1m")</f>
        <v>51441</v>
      </c>
      <c r="C280" s="112">
        <f t="shared" si="6"/>
        <v>21.101369863013698</v>
      </c>
      <c r="D280" s="77">
        <f>_xll.qlYieldTSForwardRate($C$3,B280,B280,"Act/365 (fixed)","Continuous",,TRUE)</f>
        <v>4.4565407771840662E-2</v>
      </c>
      <c r="E280" s="248">
        <f>_xll.qlYieldTSForwardRate($C$4,B280,B280,"Act/365 (fixed)","Continuous",,TRUE)</f>
        <v>4.400330686835334E-2</v>
      </c>
      <c r="F280" s="249">
        <f>_xll.qlYieldTSForwardRate($C$5,B280,B280,"Act/365 (fixed)","Continuous",,TRUE)</f>
        <v>4.4491420090023576E-2</v>
      </c>
    </row>
    <row r="281" spans="2:6">
      <c r="B281" s="111">
        <f>_xll.qlCalendarAdvance("Null",B280,"1m")</f>
        <v>51471</v>
      </c>
      <c r="C281" s="112">
        <f t="shared" si="6"/>
        <v>21.183561643835617</v>
      </c>
      <c r="D281" s="77">
        <f>_xll.qlYieldTSForwardRate($C$3,B281,B281,"Act/365 (fixed)","Continuous",,TRUE)</f>
        <v>4.4532567048119663E-2</v>
      </c>
      <c r="E281" s="248">
        <f>_xll.qlYieldTSForwardRate($C$4,B281,B281,"Act/365 (fixed)","Continuous",,TRUE)</f>
        <v>4.3945907291432218E-2</v>
      </c>
      <c r="F281" s="249">
        <f>_xll.qlYieldTSForwardRate($C$5,B281,B281,"Act/365 (fixed)","Continuous",,TRUE)</f>
        <v>4.4448777905577962E-2</v>
      </c>
    </row>
    <row r="282" spans="2:6">
      <c r="B282" s="111">
        <f>_xll.qlCalendarAdvance("Null",B281,"1m")</f>
        <v>51502</v>
      </c>
      <c r="C282" s="112">
        <f t="shared" si="6"/>
        <v>21.268493150684932</v>
      </c>
      <c r="D282" s="77">
        <f>_xll.qlYieldTSForwardRate($C$3,B282,B282,"Act/365 (fixed)","Continuous",,TRUE)</f>
        <v>4.4498631635937147E-2</v>
      </c>
      <c r="E282" s="248">
        <f>_xll.qlYieldTSForwardRate($C$4,B282,B282,"Act/365 (fixed)","Continuous",,TRUE)</f>
        <v>4.3888986569034075E-2</v>
      </c>
      <c r="F282" s="249">
        <f>_xll.qlYieldTSForwardRate($C$5,B282,B282,"Act/365 (fixed)","Continuous",,TRUE)</f>
        <v>4.4404376726928312E-2</v>
      </c>
    </row>
    <row r="283" spans="2:6">
      <c r="B283" s="111">
        <f>_xll.qlCalendarAdvance("Null",B282,"1m")</f>
        <v>51533</v>
      </c>
      <c r="C283" s="112">
        <f t="shared" ref="C283:C346" si="7">(B283-$B$27)/365</f>
        <v>21.353424657534248</v>
      </c>
      <c r="D283" s="77">
        <f>_xll.qlYieldTSForwardRate($C$3,B283,B283,"Act/365 (fixed)","Continuous",,TRUE)</f>
        <v>4.4464696223639466E-2</v>
      </c>
      <c r="E283" s="248">
        <f>_xll.qlYieldTSForwardRate($C$4,B283,B283,"Act/365 (fixed)","Continuous",,TRUE)</f>
        <v>4.3834445638901827E-2</v>
      </c>
      <c r="F283" s="249">
        <f>_xll.qlYieldTSForwardRate($C$5,B283,B283,"Act/365 (fixed)","Continuous",,TRUE)</f>
        <v>4.4359690406326098E-2</v>
      </c>
    </row>
    <row r="284" spans="2:6">
      <c r="B284" s="111">
        <f>_xll.qlCalendarAdvance("Null",B283,"1m")</f>
        <v>51561</v>
      </c>
      <c r="C284" s="112">
        <f t="shared" si="7"/>
        <v>21.43013698630137</v>
      </c>
      <c r="D284" s="77">
        <f>_xll.qlYieldTSForwardRate($C$3,B284,B284,"Act/365 (fixed)","Continuous",,TRUE)</f>
        <v>4.4434044880750444E-2</v>
      </c>
      <c r="E284" s="248">
        <f>_xll.qlYieldTSForwardRate($C$4,B284,B284,"Act/365 (fixed)","Continuous",,TRUE)</f>
        <v>4.3787184952978293E-2</v>
      </c>
      <c r="F284" s="249">
        <f>_xll.qlYieldTSForwardRate($C$5,B284,B284,"Act/365 (fixed)","Continuous",,TRUE)</f>
        <v>4.4319132222824589E-2</v>
      </c>
    </row>
    <row r="285" spans="2:6">
      <c r="B285" s="111">
        <f>_xll.qlCalendarAdvance("Null",B284,"1m")</f>
        <v>51592</v>
      </c>
      <c r="C285" s="112">
        <f t="shared" si="7"/>
        <v>21.515068493150686</v>
      </c>
      <c r="D285" s="77">
        <f>_xll.qlYieldTSForwardRate($C$3,B285,B285,"Act/365 (fixed)","Continuous",,TRUE)</f>
        <v>4.4400109470454023E-2</v>
      </c>
      <c r="E285" s="248">
        <f>_xll.qlYieldTSForwardRate($C$4,B285,B285,"Act/365 (fixed)","Continuous",,TRUE)</f>
        <v>4.3737029175337706E-2</v>
      </c>
      <c r="F285" s="249">
        <f>_xll.qlYieldTSForwardRate($C$5,B285,B285,"Act/365 (fixed)","Continuous",,TRUE)</f>
        <v>4.4274065114793482E-2</v>
      </c>
    </row>
    <row r="286" spans="2:6">
      <c r="B286" s="111">
        <f>_xll.qlCalendarAdvance("Null",B285,"1m")</f>
        <v>51622</v>
      </c>
      <c r="C286" s="112">
        <f t="shared" si="7"/>
        <v>21.597260273972601</v>
      </c>
      <c r="D286" s="77">
        <f>_xll.qlYieldTSForwardRate($C$3,B286,B286,"Act/365 (fixed)","Continuous",,TRUE)</f>
        <v>4.4367268746190174E-2</v>
      </c>
      <c r="E286" s="248">
        <f>_xll.qlYieldTSForwardRate($C$4,B286,B286,"Act/365 (fixed)","Continuous",,TRUE)</f>
        <v>4.3690613538178262E-2</v>
      </c>
      <c r="F286" s="249">
        <f>_xll.qlYieldTSForwardRate($C$5,B286,B286,"Act/365 (fixed)","Continuous",,TRUE)</f>
        <v>4.4230341683558903E-2</v>
      </c>
    </row>
    <row r="287" spans="2:6">
      <c r="B287" s="111">
        <f>_xll.qlCalendarAdvance("Null",B286,"1m")</f>
        <v>51653</v>
      </c>
      <c r="C287" s="112">
        <f t="shared" si="7"/>
        <v>21.682191780821917</v>
      </c>
      <c r="D287" s="77">
        <f>_xll.qlYieldTSForwardRate($C$3,B287,B287,"Act/365 (fixed)","Continuous",,TRUE)</f>
        <v>4.4333333333446703E-2</v>
      </c>
      <c r="E287" s="248">
        <f>_xll.qlYieldTSForwardRate($C$4,B287,B287,"Act/365 (fixed)","Continuous",,TRUE)</f>
        <v>4.3644792893370803E-2</v>
      </c>
      <c r="F287" s="249">
        <f>_xll.qlYieldTSForwardRate($C$5,B287,B287,"Act/365 (fixed)","Continuous",,TRUE)</f>
        <v>4.4185104074490208E-2</v>
      </c>
    </row>
    <row r="288" spans="2:6">
      <c r="B288" s="111">
        <f>_xll.qlCalendarAdvance("Null",B287,"1m")</f>
        <v>51683</v>
      </c>
      <c r="C288" s="112">
        <f t="shared" si="7"/>
        <v>21.764383561643836</v>
      </c>
      <c r="D288" s="77">
        <f>_xll.qlYieldTSForwardRate($C$3,B288,B288,"Act/365 (fixed)","Continuous",,TRUE)</f>
        <v>4.4300492608963557E-2</v>
      </c>
      <c r="E288" s="248">
        <f>_xll.qlYieldTSForwardRate($C$4,B288,B288,"Act/365 (fixed)","Continuous",,TRUE)</f>
        <v>4.3602474811309383E-2</v>
      </c>
      <c r="F288" s="249">
        <f>_xll.qlYieldTSForwardRate($C$5,B288,B288,"Act/365 (fixed)","Continuous",,TRUE)</f>
        <v>4.4141325445041971E-2</v>
      </c>
    </row>
    <row r="289" spans="2:6">
      <c r="B289" s="111">
        <f>_xll.qlCalendarAdvance("Null",B288,"1m")</f>
        <v>51714</v>
      </c>
      <c r="C289" s="112">
        <f t="shared" si="7"/>
        <v>21.849315068493151</v>
      </c>
      <c r="D289" s="77">
        <f>_xll.qlYieldTSForwardRate($C$3,B289,B289,"Act/365 (fixed)","Continuous",,TRUE)</f>
        <v>4.4266557198213922E-2</v>
      </c>
      <c r="E289" s="248">
        <f>_xll.qlYieldTSForwardRate($C$4,B289,B289,"Act/365 (fixed)","Continuous",,TRUE)</f>
        <v>4.3560787319677302E-2</v>
      </c>
      <c r="F289" s="249">
        <f>_xll.qlYieldTSForwardRate($C$5,B289,B289,"Act/365 (fixed)","Continuous",,TRUE)</f>
        <v>4.4096144256855908E-2</v>
      </c>
    </row>
    <row r="290" spans="2:6">
      <c r="B290" s="111">
        <f>_xll.qlCalendarAdvance("Null",B289,"1m")</f>
        <v>51745</v>
      </c>
      <c r="C290" s="112">
        <f t="shared" si="7"/>
        <v>21.934246575342467</v>
      </c>
      <c r="D290" s="77">
        <f>_xll.qlYieldTSForwardRate($C$3,B290,B290,"Act/365 (fixed)","Continuous",,TRUE)</f>
        <v>4.4232621782908252E-2</v>
      </c>
      <c r="E290" s="248">
        <f>_xll.qlYieldTSForwardRate($C$4,B290,B290,"Act/365 (fixed)","Continuous",,TRUE)</f>
        <v>4.3521122869683043E-2</v>
      </c>
      <c r="F290" s="249">
        <f>_xll.qlYieldTSForwardRate($C$5,B290,B290,"Act/365 (fixed)","Continuous",,TRUE)</f>
        <v>4.405107870212524E-2</v>
      </c>
    </row>
    <row r="291" spans="2:6">
      <c r="B291" s="111">
        <f>_xll.qlCalendarAdvance("Null",B290,"1m")</f>
        <v>51775</v>
      </c>
      <c r="C291" s="112">
        <f t="shared" si="7"/>
        <v>22.016438356164382</v>
      </c>
      <c r="D291" s="77">
        <f>_xll.qlYieldTSForwardRate($C$3,B291,B291,"Act/365 (fixed)","Continuous",,TRUE)</f>
        <v>4.4199781060314795E-2</v>
      </c>
      <c r="E291" s="248">
        <f>_xll.qlYieldTSForwardRate($C$4,B291,B291,"Act/365 (fixed)","Continuous",,TRUE)</f>
        <v>4.3484614994129735E-2</v>
      </c>
      <c r="F291" s="249">
        <f>_xll.qlYieldTSForwardRate($C$5,B291,B291,"Act/365 (fixed)","Continuous",,TRUE)</f>
        <v>4.4007632176083E-2</v>
      </c>
    </row>
    <row r="292" spans="2:6">
      <c r="B292" s="111">
        <f>_xll.qlCalendarAdvance("Null",B291,"1m")</f>
        <v>51806</v>
      </c>
      <c r="C292" s="112">
        <f t="shared" si="7"/>
        <v>22.101369863013698</v>
      </c>
      <c r="D292" s="77">
        <f>_xll.qlYieldTSForwardRate($C$3,B292,B292,"Act/365 (fixed)","Continuous",,TRUE)</f>
        <v>4.416584564700296E-2</v>
      </c>
      <c r="E292" s="248">
        <f>_xll.qlYieldTSForwardRate($C$4,B292,B292,"Act/365 (fixed)","Continuous",,TRUE)</f>
        <v>4.3448779060245746E-2</v>
      </c>
      <c r="F292" s="249">
        <f>_xll.qlYieldTSForwardRate($C$5,B292,B292,"Act/365 (fixed)","Continuous",,TRUE)</f>
        <v>4.3962965278084513E-2</v>
      </c>
    </row>
    <row r="293" spans="2:6">
      <c r="B293" s="111">
        <f>_xll.qlCalendarAdvance("Null",B292,"1m")</f>
        <v>51836</v>
      </c>
      <c r="C293" s="112">
        <f t="shared" si="7"/>
        <v>22.183561643835617</v>
      </c>
      <c r="D293" s="77">
        <f>_xll.qlYieldTSForwardRate($C$3,B293,B293,"Act/365 (fixed)","Continuous",,TRUE)</f>
        <v>4.4133004926410639E-2</v>
      </c>
      <c r="E293" s="248">
        <f>_xll.qlYieldTSForwardRate($C$4,B293,B293,"Act/365 (fixed)","Continuous",,TRUE)</f>
        <v>4.3415878467671636E-2</v>
      </c>
      <c r="F293" s="249">
        <f>_xll.qlYieldTSForwardRate($C$5,B293,B293,"Act/365 (fixed)","Continuous",,TRUE)</f>
        <v>4.3920014344159229E-2</v>
      </c>
    </row>
    <row r="294" spans="2:6">
      <c r="B294" s="111">
        <f>_xll.qlCalendarAdvance("Null",B293,"1m")</f>
        <v>51867</v>
      </c>
      <c r="C294" s="112">
        <f t="shared" si="7"/>
        <v>22.268493150684932</v>
      </c>
      <c r="D294" s="77">
        <f>_xll.qlYieldTSForwardRate($C$3,B294,B294,"Act/365 (fixed)","Continuous",,TRUE)</f>
        <v>4.4099069512872187E-2</v>
      </c>
      <c r="E294" s="248">
        <f>_xll.qlYieldTSForwardRate($C$4,B294,B294,"Act/365 (fixed)","Continuous",,TRUE)</f>
        <v>4.3383669067979976E-2</v>
      </c>
      <c r="F294" s="249">
        <f>_xll.qlYieldTSForwardRate($C$5,B294,B294,"Act/365 (fixed)","Continuous",,TRUE)</f>
        <v>4.3875973020392318E-2</v>
      </c>
    </row>
    <row r="295" spans="2:6">
      <c r="B295" s="111">
        <f>_xll.qlCalendarAdvance("Null",B294,"1m")</f>
        <v>51898</v>
      </c>
      <c r="C295" s="112">
        <f t="shared" si="7"/>
        <v>22.353424657534248</v>
      </c>
      <c r="D295" s="77">
        <f>_xll.qlYieldTSForwardRate($C$3,B295,B295,"Act/365 (fixed)","Continuous",,TRUE)</f>
        <v>4.4065134099218577E-2</v>
      </c>
      <c r="E295" s="248">
        <f>_xll.qlYieldTSForwardRate($C$4,B295,B295,"Act/365 (fixed)","Continuous",,TRUE)</f>
        <v>4.3353225254867733E-2</v>
      </c>
      <c r="F295" s="249">
        <f>_xll.qlYieldTSForwardRate($C$5,B295,B295,"Act/365 (fixed)","Continuous",,TRUE)</f>
        <v>4.3832336570789401E-2</v>
      </c>
    </row>
    <row r="296" spans="2:6">
      <c r="B296" s="111">
        <f>_xll.qlCalendarAdvance("Null",B295,"1m")</f>
        <v>51926</v>
      </c>
      <c r="C296" s="112">
        <f t="shared" si="7"/>
        <v>22.43013698630137</v>
      </c>
      <c r="D296" s="77">
        <f>_xll.qlYieldTSForwardRate($C$3,B296,B296,"Act/365 (fixed)","Continuous",,TRUE)</f>
        <v>4.4034482759545718E-2</v>
      </c>
      <c r="E296" s="248">
        <f>_xll.qlYieldTSForwardRate($C$4,B296,B296,"Act/365 (fixed)","Continuous",,TRUE)</f>
        <v>4.3327201786586403E-2</v>
      </c>
      <c r="F296" s="249">
        <f>_xll.qlYieldTSForwardRate($C$5,B296,B296,"Act/365 (fixed)","Continuous",,TRUE)</f>
        <v>4.379331974987391E-2</v>
      </c>
    </row>
    <row r="297" spans="2:6">
      <c r="B297" s="111">
        <f>_xll.qlCalendarAdvance("Null",B296,"1m")</f>
        <v>51957</v>
      </c>
      <c r="C297" s="112">
        <f t="shared" si="7"/>
        <v>22.515068493150686</v>
      </c>
      <c r="D297" s="77">
        <f>_xll.qlYieldTSForwardRate($C$3,B297,B297,"Act/365 (fixed)","Continuous",,TRUE)</f>
        <v>4.4000547343452497E-2</v>
      </c>
      <c r="E297" s="248">
        <f>_xll.qlYieldTSForwardRate($C$4,B297,B297,"Act/365 (fixed)","Continuous",,TRUE)</f>
        <v>4.3299974162236229E-2</v>
      </c>
      <c r="F297" s="249">
        <f>_xll.qlYieldTSForwardRate($C$5,B297,B297,"Act/365 (fixed)","Continuous",,TRUE)</f>
        <v>4.3750615781030865E-2</v>
      </c>
    </row>
    <row r="298" spans="2:6">
      <c r="B298" s="111">
        <f>_xll.qlCalendarAdvance("Null",B297,"1m")</f>
        <v>51987</v>
      </c>
      <c r="C298" s="112">
        <f t="shared" si="7"/>
        <v>22.597260273972601</v>
      </c>
      <c r="D298" s="77">
        <f>_xll.qlYieldTSForwardRate($C$3,B298,B298,"Act/365 (fixed)","Continuous",,TRUE)</f>
        <v>4.3967706624537764E-2</v>
      </c>
      <c r="E298" s="248">
        <f>_xll.qlYieldTSForwardRate($C$4,B298,B298,"Act/365 (fixed)","Continuous",,TRUE)</f>
        <v>4.3275162259416966E-2</v>
      </c>
      <c r="F298" s="249">
        <f>_xll.qlYieldTSForwardRate($C$5,B298,B298,"Act/365 (fixed)","Continuous",,TRUE)</f>
        <v>4.3709836255303024E-2</v>
      </c>
    </row>
    <row r="299" spans="2:6">
      <c r="B299" s="111">
        <f>_xll.qlCalendarAdvance("Null",B298,"1m")</f>
        <v>52018</v>
      </c>
      <c r="C299" s="112">
        <f t="shared" si="7"/>
        <v>22.682191780821917</v>
      </c>
      <c r="D299" s="77">
        <f>_xll.qlYieldTSForwardRate($C$3,B299,B299,"Act/365 (fixed)","Continuous",,TRUE)</f>
        <v>4.3933771210438365E-2</v>
      </c>
      <c r="E299" s="248">
        <f>_xll.qlYieldTSForwardRate($C$4,B299,B299,"Act/365 (fixed)","Continuous",,TRUE)</f>
        <v>4.3251061175973743E-2</v>
      </c>
      <c r="F299" s="249">
        <f>_xll.qlYieldTSForwardRate($C$5,B299,B299,"Act/365 (fixed)","Continuous",,TRUE)</f>
        <v>4.3668319575625829E-2</v>
      </c>
    </row>
    <row r="300" spans="2:6">
      <c r="B300" s="111">
        <f>_xll.qlCalendarAdvance("Null",B299,"1m")</f>
        <v>52048</v>
      </c>
      <c r="C300" s="112">
        <f t="shared" si="7"/>
        <v>22.764383561643836</v>
      </c>
      <c r="D300" s="77">
        <f>_xll.qlYieldTSForwardRate($C$3,B300,B300,"Act/365 (fixed)","Continuous",,TRUE)</f>
        <v>4.3900930484643025E-2</v>
      </c>
      <c r="E300" s="248">
        <f>_xll.qlYieldTSForwardRate($C$4,B300,B300,"Act/365 (fixed)","Continuous",,TRUE)</f>
        <v>4.3229177220472842E-2</v>
      </c>
      <c r="F300" s="249">
        <f>_xll.qlYieldTSForwardRate($C$5,B300,B300,"Act/365 (fixed)","Continuous",,TRUE)</f>
        <v>4.3628798837140291E-2</v>
      </c>
    </row>
    <row r="301" spans="2:6">
      <c r="B301" s="111">
        <f>_xll.qlCalendarAdvance("Null",B300,"1m")</f>
        <v>52079</v>
      </c>
      <c r="C301" s="112">
        <f t="shared" si="7"/>
        <v>22.849315068493151</v>
      </c>
      <c r="D301" s="77">
        <f>_xll.qlYieldTSForwardRate($C$3,B301,B301,"Act/365 (fixed)","Continuous",,TRUE)</f>
        <v>4.38669950747579E-2</v>
      </c>
      <c r="E301" s="248">
        <f>_xll.qlYieldTSForwardRate($C$4,B301,B301,"Act/365 (fixed)","Continuous",,TRUE)</f>
        <v>4.3208000695978681E-2</v>
      </c>
      <c r="F301" s="249">
        <f>_xll.qlYieldTSForwardRate($C$5,B301,B301,"Act/365 (fixed)","Continuous",,TRUE)</f>
        <v>4.3588696357492088E-2</v>
      </c>
    </row>
    <row r="302" spans="2:6">
      <c r="B302" s="111">
        <f>_xll.qlCalendarAdvance("Null",B301,"1m")</f>
        <v>52110</v>
      </c>
      <c r="C302" s="112">
        <f t="shared" si="7"/>
        <v>22.934246575342467</v>
      </c>
      <c r="D302" s="77">
        <f>_xll.qlYieldTSForwardRate($C$3,B302,B302,"Act/365 (fixed)","Continuous",,TRUE)</f>
        <v>4.3833059660316726E-2</v>
      </c>
      <c r="E302" s="248">
        <f>_xll.qlYieldTSForwardRate($C$4,B302,B302,"Act/365 (fixed)","Continuous",,TRUE)</f>
        <v>4.3188233011728132E-2</v>
      </c>
      <c r="F302" s="249">
        <f>_xll.qlYieldTSForwardRate($C$5,B302,B302,"Act/365 (fixed)","Continuous",,TRUE)</f>
        <v>4.354939953859855E-2</v>
      </c>
    </row>
    <row r="303" spans="2:6">
      <c r="B303" s="111">
        <f>_xll.qlCalendarAdvance("Null",B302,"1m")</f>
        <v>52140</v>
      </c>
      <c r="C303" s="112">
        <f t="shared" si="7"/>
        <v>23.016438356164382</v>
      </c>
      <c r="D303" s="77">
        <f>_xll.qlYieldTSForwardRate($C$3,B303,B303,"Act/365 (fixed)","Continuous",,TRUE)</f>
        <v>4.3800218936411089E-2</v>
      </c>
      <c r="E303" s="248">
        <f>_xll.qlYieldTSForwardRate($C$4,B303,B303,"Act/365 (fixed)","Continuous",,TRUE)</f>
        <v>4.3170395266420129E-2</v>
      </c>
      <c r="F303" s="249">
        <f>_xll.qlYieldTSForwardRate($C$5,B303,B303,"Act/365 (fixed)","Continuous",,TRUE)</f>
        <v>4.3512192652010194E-2</v>
      </c>
    </row>
    <row r="304" spans="2:6">
      <c r="B304" s="111">
        <f>_xll.qlCalendarAdvance("Null",B303,"1m")</f>
        <v>52171</v>
      </c>
      <c r="C304" s="112">
        <f t="shared" si="7"/>
        <v>23.101369863013698</v>
      </c>
      <c r="D304" s="77">
        <f>_xll.qlYieldTSForwardRate($C$3,B304,B304,"Act/365 (fixed)","Continuous",,TRUE)</f>
        <v>4.376628352618419E-2</v>
      </c>
      <c r="E304" s="248">
        <f>_xll.qlYieldTSForwardRate($C$4,B304,B304,"Act/365 (fixed)","Continuous",,TRUE)</f>
        <v>4.3153247512830797E-2</v>
      </c>
      <c r="F304" s="249">
        <f>_xll.qlYieldTSForwardRate($C$5,B304,B304,"Act/365 (fixed)","Continuous",,TRUE)</f>
        <v>4.3474652273500211E-2</v>
      </c>
    </row>
    <row r="305" spans="2:6">
      <c r="B305" s="111">
        <f>_xll.qlCalendarAdvance("Null",B304,"1m")</f>
        <v>52201</v>
      </c>
      <c r="C305" s="112">
        <f t="shared" si="7"/>
        <v>23.183561643835617</v>
      </c>
      <c r="D305" s="77">
        <f>_xll.qlYieldTSForwardRate($C$3,B305,B305,"Act/365 (fixed)","Continuous",,TRUE)</f>
        <v>4.3733442802059243E-2</v>
      </c>
      <c r="E305" s="248">
        <f>_xll.qlYieldTSForwardRate($C$4,B305,B305,"Act/365 (fixed)","Continuous",,TRUE)</f>
        <v>4.3137847444774405E-2</v>
      </c>
      <c r="F305" s="249">
        <f>_xll.qlYieldTSForwardRate($C$5,B305,B305,"Act/365 (fixed)","Continuous",,TRUE)</f>
        <v>4.343925496458774E-2</v>
      </c>
    </row>
    <row r="306" spans="2:6">
      <c r="B306" s="111">
        <f>_xll.qlCalendarAdvance("Null",B305,"1m")</f>
        <v>52232</v>
      </c>
      <c r="C306" s="112">
        <f t="shared" si="7"/>
        <v>23.268493150684932</v>
      </c>
      <c r="D306" s="77">
        <f>_xll.qlYieldTSForwardRate($C$3,B306,B306,"Act/365 (fixed)","Continuous",,TRUE)</f>
        <v>4.3699507389385293E-2</v>
      </c>
      <c r="E306" s="248">
        <f>_xll.qlYieldTSForwardRate($C$4,B306,B306,"Act/365 (fixed)","Continuous",,TRUE)</f>
        <v>4.3123117630987071E-2</v>
      </c>
      <c r="F306" s="249">
        <f>_xll.qlYieldTSForwardRate($C$5,B306,B306,"Act/365 (fixed)","Continuous",,TRUE)</f>
        <v>4.3403697946220191E-2</v>
      </c>
    </row>
    <row r="307" spans="2:6">
      <c r="B307" s="111">
        <f>_xll.qlCalendarAdvance("Null",B306,"1m")</f>
        <v>52263</v>
      </c>
      <c r="C307" s="112">
        <f t="shared" si="7"/>
        <v>23.353424657534248</v>
      </c>
      <c r="D307" s="77">
        <f>_xll.qlYieldTSForwardRate($C$3,B307,B307,"Act/365 (fixed)","Continuous",,TRUE)</f>
        <v>4.3665571976596193E-2</v>
      </c>
      <c r="E307" s="248">
        <f>_xll.qlYieldTSForwardRate($C$4,B307,B307,"Act/365 (fixed)","Continuous",,TRUE)</f>
        <v>4.3109539195647584E-2</v>
      </c>
      <c r="F307" s="249">
        <f>_xll.qlYieldTSForwardRate($C$5,B307,B307,"Act/365 (fixed)","Continuous",,TRUE)</f>
        <v>4.3369235824924648E-2</v>
      </c>
    </row>
    <row r="308" spans="2:6">
      <c r="B308" s="111">
        <f>_xll.qlCalendarAdvance("Null",B307,"1m")</f>
        <v>52291</v>
      </c>
      <c r="C308" s="112">
        <f t="shared" si="7"/>
        <v>23.43013698630137</v>
      </c>
      <c r="D308" s="77">
        <f>_xll.qlYieldTSForwardRate($C$3,B308,B308,"Act/365 (fixed)","Continuous",,TRUE)</f>
        <v>4.363492063347818E-2</v>
      </c>
      <c r="E308" s="248">
        <f>_xll.qlYieldTSForwardRate($C$4,B308,B308,"Act/365 (fixed)","Continuous",,TRUE)</f>
        <v>4.3098221053604273E-2</v>
      </c>
      <c r="F308" s="249">
        <f>_xll.qlYieldTSForwardRate($C$5,B308,B308,"Act/365 (fixed)","Continuous",,TRUE)</f>
        <v>4.3339098582984945E-2</v>
      </c>
    </row>
    <row r="309" spans="2:6">
      <c r="B309" s="111">
        <f>_xll.qlCalendarAdvance("Null",B308,"1m")</f>
        <v>52322</v>
      </c>
      <c r="C309" s="112">
        <f t="shared" si="7"/>
        <v>23.515068493150686</v>
      </c>
      <c r="D309" s="77">
        <f>_xll.qlYieldTSForwardRate($C$3,B309,B309,"Act/365 (fixed)","Continuous",,TRUE)</f>
        <v>4.3600985220469901E-2</v>
      </c>
      <c r="E309" s="248">
        <f>_xll.qlYieldTSForwardRate($C$4,B309,B309,"Act/365 (fixed)","Continuous",,TRUE)</f>
        <v>4.3086689842904202E-2</v>
      </c>
      <c r="F309" s="249">
        <f>_xll.qlYieldTSForwardRate($C$5,B309,B309,"Act/365 (fixed)","Continuous",,TRUE)</f>
        <v>4.3306882208655147E-2</v>
      </c>
    </row>
    <row r="310" spans="2:6">
      <c r="B310" s="111">
        <f>_xll.qlCalendarAdvance("Null",B309,"1m")</f>
        <v>52352</v>
      </c>
      <c r="C310" s="112">
        <f t="shared" si="7"/>
        <v>23.597260273972601</v>
      </c>
      <c r="D310" s="77">
        <f>_xll.qlYieldTSForwardRate($C$3,B310,B310,"Act/365 (fixed)","Continuous",,TRUE)</f>
        <v>4.3568144498022543E-2</v>
      </c>
      <c r="E310" s="248">
        <f>_xll.qlYieldTSForwardRate($C$4,B310,B310,"Act/365 (fixed)","Continuous",,TRUE)</f>
        <v>4.3076483213591754E-2</v>
      </c>
      <c r="F310" s="249">
        <f>_xll.qlYieldTSForwardRate($C$5,B310,B310,"Act/365 (fixed)","Continuous",,TRUE)</f>
        <v>4.3276908959081234E-2</v>
      </c>
    </row>
    <row r="311" spans="2:6">
      <c r="B311" s="111">
        <f>_xll.qlCalendarAdvance("Null",B310,"1m")</f>
        <v>52383</v>
      </c>
      <c r="C311" s="112">
        <f t="shared" si="7"/>
        <v>23.682191780821917</v>
      </c>
      <c r="D311" s="77">
        <f>_xll.qlYieldTSForwardRate($C$3,B311,B311,"Act/365 (fixed)","Continuous",,TRUE)</f>
        <v>4.3534209087008092E-2</v>
      </c>
      <c r="E311" s="248">
        <f>_xll.qlYieldTSForwardRate($C$4,B311,B311,"Act/365 (fixed)","Continuous",,TRUE)</f>
        <v>4.3066869953731608E-2</v>
      </c>
      <c r="F311" s="249">
        <f>_xll.qlYieldTSForwardRate($C$5,B311,B311,"Act/365 (fixed)","Continuous",,TRUE)</f>
        <v>4.3247237659908525E-2</v>
      </c>
    </row>
    <row r="312" spans="2:6">
      <c r="B312" s="111">
        <f>_xll.qlCalendarAdvance("Null",B311,"1m")</f>
        <v>52413</v>
      </c>
      <c r="C312" s="112">
        <f t="shared" si="7"/>
        <v>23.764383561643836</v>
      </c>
      <c r="D312" s="77">
        <f>_xll.qlYieldTSForwardRate($C$3,B312,B312,"Act/365 (fixed)","Continuous",,TRUE)</f>
        <v>4.3501368364341438E-2</v>
      </c>
      <c r="E312" s="248">
        <f>_xll.qlYieldTSForwardRate($C$4,B312,B312,"Act/365 (fixed)","Continuous",,TRUE)</f>
        <v>4.3058421670290739E-2</v>
      </c>
      <c r="F312" s="249">
        <f>_xll.qlYieldTSForwardRate($C$5,B312,B312,"Act/365 (fixed)","Continuous",,TRUE)</f>
        <v>4.3219837183244549E-2</v>
      </c>
    </row>
    <row r="313" spans="2:6">
      <c r="B313" s="111">
        <f>_xll.qlCalendarAdvance("Null",B312,"1m")</f>
        <v>52444</v>
      </c>
      <c r="C313" s="112">
        <f t="shared" si="7"/>
        <v>23.849315068493151</v>
      </c>
      <c r="D313" s="77">
        <f>_xll.qlYieldTSForwardRate($C$3,B313,B313,"Act/365 (fixed)","Continuous",,TRUE)</f>
        <v>4.346743295310037E-2</v>
      </c>
      <c r="E313" s="248">
        <f>_xll.qlYieldTSForwardRate($C$4,B313,B313,"Act/365 (fixed)","Continuous",,TRUE)</f>
        <v>4.3050524374835149E-2</v>
      </c>
      <c r="F313" s="249">
        <f>_xll.qlYieldTSForwardRate($C$5,B313,B313,"Act/365 (fixed)","Continuous",,TRUE)</f>
        <v>4.3192937870116382E-2</v>
      </c>
    </row>
    <row r="314" spans="2:6">
      <c r="B314" s="111">
        <f>_xll.qlCalendarAdvance("Null",B313,"1m")</f>
        <v>52475</v>
      </c>
      <c r="C314" s="112">
        <f t="shared" si="7"/>
        <v>23.934246575342467</v>
      </c>
      <c r="D314" s="77">
        <f>_xll.qlYieldTSForwardRate($C$3,B314,B314,"Act/365 (fixed)","Continuous",,TRUE)</f>
        <v>4.3433497539523712E-2</v>
      </c>
      <c r="E314" s="248">
        <f>_xll.qlYieldTSForwardRate($C$4,B314,B314,"Act/365 (fixed)","Continuous",,TRUE)</f>
        <v>4.3043421718082828E-2</v>
      </c>
      <c r="F314" s="249">
        <f>_xll.qlYieldTSForwardRate($C$5,B314,B314,"Act/365 (fixed)","Continuous",,TRUE)</f>
        <v>4.3167534240697782E-2</v>
      </c>
    </row>
    <row r="315" spans="2:6">
      <c r="B315" s="111">
        <f>_xll.qlCalendarAdvance("Null",B314,"1m")</f>
        <v>52505</v>
      </c>
      <c r="C315" s="112">
        <f t="shared" si="7"/>
        <v>24.016438356164382</v>
      </c>
      <c r="D315" s="77">
        <f>_xll.qlYieldTSForwardRate($C$3,B315,B315,"Act/365 (fixed)","Continuous",,TRUE)</f>
        <v>4.3400656814305875E-2</v>
      </c>
      <c r="E315" s="248">
        <f>_xll.qlYieldTSForwardRate($C$4,B315,B315,"Act/365 (fixed)","Continuous",,TRUE)</f>
        <v>4.3037255648099598E-2</v>
      </c>
      <c r="F315" s="249">
        <f>_xll.qlYieldTSForwardRate($C$5,B315,B315,"Act/365 (fixed)","Continuous",,TRUE)</f>
        <v>4.3144429364698901E-2</v>
      </c>
    </row>
    <row r="316" spans="2:6">
      <c r="B316" s="111">
        <f>_xll.qlCalendarAdvance("Null",B315,"1m")</f>
        <v>52536</v>
      </c>
      <c r="C316" s="112">
        <f t="shared" si="7"/>
        <v>24.101369863013698</v>
      </c>
      <c r="D316" s="77">
        <f>_xll.qlYieldTSForwardRate($C$3,B316,B316,"Act/365 (fixed)","Continuous",,TRUE)</f>
        <v>4.3366721400502607E-2</v>
      </c>
      <c r="E316" s="248">
        <f>_xll.qlYieldTSForwardRate($C$4,B316,B316,"Act/365 (fixed)","Continuous",,TRUE)</f>
        <v>4.3031564327418989E-2</v>
      </c>
      <c r="F316" s="249">
        <f>_xll.qlYieldTSForwardRate($C$5,B316,B316,"Act/365 (fixed)","Continuous",,TRUE)</f>
        <v>4.312213996170533E-2</v>
      </c>
    </row>
    <row r="317" spans="2:6">
      <c r="B317" s="111">
        <f>_xll.qlCalendarAdvance("Null",B316,"1m")</f>
        <v>52566</v>
      </c>
      <c r="C317" s="112">
        <f t="shared" si="7"/>
        <v>24.183561643835617</v>
      </c>
      <c r="D317" s="77">
        <f>_xll.qlYieldTSForwardRate($C$3,B317,B317,"Act/365 (fixed)","Continuous",,TRUE)</f>
        <v>4.3333880677285913E-2</v>
      </c>
      <c r="E317" s="248">
        <f>_xll.qlYieldTSForwardRate($C$4,B317,B317,"Act/365 (fixed)","Continuous",,TRUE)</f>
        <v>4.3026666330947573E-2</v>
      </c>
      <c r="F317" s="249">
        <f>_xll.qlYieldTSForwardRate($C$5,B317,B317,"Act/365 (fixed)","Continuous",,TRUE)</f>
        <v>4.3102158651311874E-2</v>
      </c>
    </row>
    <row r="318" spans="2:6">
      <c r="B318" s="111">
        <f>_xll.qlCalendarAdvance("Null",B317,"1m")</f>
        <v>52597</v>
      </c>
      <c r="C318" s="112">
        <f t="shared" si="7"/>
        <v>24.268493150684932</v>
      </c>
      <c r="D318" s="77">
        <f>_xll.qlYieldTSForwardRate($C$3,B318,B318,"Act/365 (fixed)","Continuous",,TRUE)</f>
        <v>4.3299945263256034E-2</v>
      </c>
      <c r="E318" s="248">
        <f>_xll.qlYieldTSForwardRate($C$4,B318,B318,"Act/365 (fixed)","Continuous",,TRUE)</f>
        <v>4.3022184359896611E-2</v>
      </c>
      <c r="F318" s="249">
        <f>_xll.qlYieldTSForwardRate($C$5,B318,B318,"Act/365 (fixed)","Continuous",,TRUE)</f>
        <v>4.3083210390070466E-2</v>
      </c>
    </row>
    <row r="319" spans="2:6">
      <c r="B319" s="111">
        <f>_xll.qlCalendarAdvance("Null",B318,"1m")</f>
        <v>52628</v>
      </c>
      <c r="C319" s="112">
        <f t="shared" si="7"/>
        <v>24.353424657534248</v>
      </c>
      <c r="D319" s="77">
        <f>_xll.qlYieldTSForwardRate($C$3,B319,B319,"Act/365 (fixed)","Continuous",,TRUE)</f>
        <v>4.3266009851331437E-2</v>
      </c>
      <c r="E319" s="248">
        <f>_xll.qlYieldTSForwardRate($C$4,B319,B319,"Act/365 (fixed)","Continuous",,TRUE)</f>
        <v>4.3018239565722836E-2</v>
      </c>
      <c r="F319" s="249">
        <f>_xll.qlYieldTSForwardRate($C$5,B319,B319,"Act/365 (fixed)","Continuous",,TRUE)</f>
        <v>4.3066047046647057E-2</v>
      </c>
    </row>
    <row r="320" spans="2:6">
      <c r="B320" s="111">
        <f>_xll.qlCalendarAdvance("Null",B319,"1m")</f>
        <v>52657</v>
      </c>
      <c r="C320" s="112">
        <f t="shared" si="7"/>
        <v>24.432876712328767</v>
      </c>
      <c r="D320" s="77">
        <f>_xll.qlYieldTSForwardRate($C$3,B320,B320,"Act/365 (fixed)","Continuous",,TRUE)</f>
        <v>4.3234263820717073E-2</v>
      </c>
      <c r="E320" s="248">
        <f>_xll.qlYieldTSForwardRate($C$4,B320,B320,"Act/365 (fixed)","Continuous",,TRUE)</f>
        <v>4.3014989381815451E-2</v>
      </c>
      <c r="F320" s="249">
        <f>_xll.qlYieldTSForwardRate($C$5,B320,B320,"Act/365 (fixed)","Continuous",,TRUE)</f>
        <v>4.3051658833585318E-2</v>
      </c>
    </row>
    <row r="321" spans="2:6">
      <c r="B321" s="111">
        <f>_xll.qlCalendarAdvance("Null",B320,"1m")</f>
        <v>52688</v>
      </c>
      <c r="C321" s="112">
        <f t="shared" si="7"/>
        <v>24.517808219178082</v>
      </c>
      <c r="D321" s="77">
        <f>_xll.qlYieldTSForwardRate($C$3,B321,B321,"Act/365 (fixed)","Continuous",,TRUE)</f>
        <v>4.3200328406349145E-2</v>
      </c>
      <c r="E321" s="248">
        <f>_xll.qlYieldTSForwardRate($C$4,B321,B321,"Act/365 (fixed)","Continuous",,TRUE)</f>
        <v>4.3011936103995285E-2</v>
      </c>
      <c r="F321" s="249">
        <f>_xll.qlYieldTSForwardRate($C$5,B321,B321,"Act/365 (fixed)","Continuous",,TRUE)</f>
        <v>4.3038116660097166E-2</v>
      </c>
    </row>
    <row r="322" spans="2:6">
      <c r="B322" s="111">
        <f>_xll.qlCalendarAdvance("Null",B321,"1m")</f>
        <v>52718</v>
      </c>
      <c r="C322" s="112">
        <f t="shared" si="7"/>
        <v>24.6</v>
      </c>
      <c r="D322" s="77">
        <f>_xll.qlYieldTSForwardRate($C$3,B322,B322,"Act/365 (fixed)","Continuous",,TRUE)</f>
        <v>4.3167487684806438E-2</v>
      </c>
      <c r="E322" s="248">
        <f>_xll.qlYieldTSForwardRate($C$4,B322,B322,"Act/365 (fixed)","Continuous",,TRUE)</f>
        <v>4.3009347519124753E-2</v>
      </c>
      <c r="F322" s="249">
        <f>_xll.qlYieldTSForwardRate($C$5,B322,B322,"Act/365 (fixed)","Continuous",,TRUE)</f>
        <v>4.3026874010593429E-2</v>
      </c>
    </row>
    <row r="323" spans="2:6">
      <c r="B323" s="111">
        <f>_xll.qlCalendarAdvance("Null",B322,"1m")</f>
        <v>52749</v>
      </c>
      <c r="C323" s="112">
        <f t="shared" si="7"/>
        <v>24.684931506849313</v>
      </c>
      <c r="D323" s="77">
        <f>_xll.qlYieldTSForwardRate($C$3,B323,B323,"Act/365 (fixed)","Continuous",,TRUE)</f>
        <v>4.3133552272432332E-2</v>
      </c>
      <c r="E323" s="248">
        <f>_xll.qlYieldTSForwardRate($C$4,B323,B323,"Act/365 (fixed)","Continuous",,TRUE)</f>
        <v>4.3007000291260221E-2</v>
      </c>
      <c r="F323" s="249">
        <f>_xll.qlYieldTSForwardRate($C$5,B323,B323,"Act/365 (fixed)","Continuous",,TRUE)</f>
        <v>4.301723841309444E-2</v>
      </c>
    </row>
    <row r="324" spans="2:6">
      <c r="B324" s="111">
        <f>_xll.qlCalendarAdvance("Null",B323,"1m")</f>
        <v>52779</v>
      </c>
      <c r="C324" s="112">
        <f t="shared" si="7"/>
        <v>24.767123287671232</v>
      </c>
      <c r="D324" s="77">
        <f>_xll.qlYieldTSForwardRate($C$3,B324,B324,"Act/365 (fixed)","Continuous",,TRUE)</f>
        <v>4.3100711548449896E-2</v>
      </c>
      <c r="E324" s="248">
        <f>_xll.qlYieldTSForwardRate($C$4,B324,B324,"Act/365 (fixed)","Continuous",,TRUE)</f>
        <v>4.3004997244375294E-2</v>
      </c>
      <c r="F324" s="249">
        <f>_xll.qlYieldTSForwardRate($C$5,B324,B324,"Act/365 (fixed)","Continuous",,TRUE)</f>
        <v>4.300988612374506E-2</v>
      </c>
    </row>
    <row r="325" spans="2:6">
      <c r="B325" s="111">
        <f>_xll.qlCalendarAdvance("Null",B324,"1m")</f>
        <v>52810</v>
      </c>
      <c r="C325" s="112">
        <f t="shared" si="7"/>
        <v>24.852054794520548</v>
      </c>
      <c r="D325" s="77">
        <f>_xll.qlYieldTSForwardRate($C$3,B325,B325,"Act/365 (fixed)","Continuous",,TRUE)</f>
        <v>4.3066776133628755E-2</v>
      </c>
      <c r="E325" s="248">
        <f>_xll.qlYieldTSForwardRate($C$4,B325,B325,"Act/365 (fixed)","Continuous",,TRUE)</f>
        <v>4.3003154073358897E-2</v>
      </c>
      <c r="F325" s="249">
        <f>_xll.qlYieldTSForwardRate($C$5,B325,B325,"Act/365 (fixed)","Continuous",,TRUE)</f>
        <v>4.3004384021986135E-2</v>
      </c>
    </row>
    <row r="326" spans="2:6">
      <c r="B326" s="111">
        <f>_xll.qlCalendarAdvance("Null",B325,"1m")</f>
        <v>52841</v>
      </c>
      <c r="C326" s="112">
        <f t="shared" si="7"/>
        <v>24.936986301369863</v>
      </c>
      <c r="D326" s="77">
        <f>_xll.qlYieldTSForwardRate($C$3,B326,B326,"Act/365 (fixed)","Continuous",,TRUE)</f>
        <v>4.3032840720912888E-2</v>
      </c>
      <c r="E326" s="248">
        <f>_xll.qlYieldTSForwardRate($C$4,B326,B326,"Act/365 (fixed)","Continuous",,TRUE)</f>
        <v>4.3001489660803111E-2</v>
      </c>
      <c r="F326" s="249">
        <f>_xll.qlYieldTSForwardRate($C$5,B326,B326,"Act/365 (fixed)","Continuous",,TRUE)</f>
        <v>4.300106951424925E-2</v>
      </c>
    </row>
    <row r="327" spans="2:6">
      <c r="B327" s="111">
        <f>_xll.qlCalendarAdvance("Null",B326,"1m")</f>
        <v>52871</v>
      </c>
      <c r="C327" s="112">
        <f t="shared" si="7"/>
        <v>25.019178082191782</v>
      </c>
      <c r="D327" s="77">
        <f>_xll.qlYieldTSForwardRate($C$3,B327,B327,"Act/365 (fixed)","Continuous",,TRUE)</f>
        <v>4.3000004994802263E-2</v>
      </c>
      <c r="E327" s="248">
        <f>_xll.qlYieldTSForwardRate($C$4,B327,B327,"Act/365 (fixed)","Continuous",,TRUE)</f>
        <v>4.3000000001040574E-2</v>
      </c>
      <c r="F327" s="249">
        <f>_xll.qlYieldTSForwardRate($C$5,B327,B327,"Act/365 (fixed)","Continuous",,TRUE)</f>
        <v>4.2999999996599696E-2</v>
      </c>
    </row>
    <row r="328" spans="2:6">
      <c r="B328" s="111">
        <f>_xll.qlCalendarAdvance("Null",B327,"1m")</f>
        <v>52902</v>
      </c>
      <c r="C328" s="112">
        <f t="shared" si="7"/>
        <v>25.104109589041094</v>
      </c>
      <c r="D328" s="77">
        <f>_xll.qlYieldTSForwardRate($C$3,B328,B328,"Act/365 (fixed)","Continuous",,TRUE)</f>
        <v>4.2999999998820135E-2</v>
      </c>
      <c r="E328" s="248">
        <f>_xll.qlYieldTSForwardRate($C$4,B328,B328,"Act/365 (fixed)","Continuous",,TRUE)</f>
        <v>4.2998543494615224E-2</v>
      </c>
      <c r="F328" s="249">
        <f>_xll.qlYieldTSForwardRate($C$5,B328,B328,"Act/365 (fixed)","Continuous",,TRUE)</f>
        <v>4.2999999998820135E-2</v>
      </c>
    </row>
    <row r="329" spans="2:6">
      <c r="B329" s="111">
        <f>_xll.qlCalendarAdvance("Null",B328,"1m")</f>
        <v>52932</v>
      </c>
      <c r="C329" s="112">
        <f t="shared" si="7"/>
        <v>25.186301369863013</v>
      </c>
      <c r="D329" s="77">
        <f>_xll.qlYieldTSForwardRate($C$3,B329,B329,"Act/365 (fixed)","Continuous",,TRUE)</f>
        <v>4.2999999996599696E-2</v>
      </c>
      <c r="E329" s="248">
        <f>_xll.qlYieldTSForwardRate($C$4,B329,B329,"Act/365 (fixed)","Continuous",,TRUE)</f>
        <v>4.2997205219772079E-2</v>
      </c>
      <c r="F329" s="249">
        <f>_xll.qlYieldTSForwardRate($C$5,B329,B329,"Act/365 (fixed)","Continuous",,TRUE)</f>
        <v>4.2999999998820135E-2</v>
      </c>
    </row>
    <row r="330" spans="2:6">
      <c r="B330" s="111">
        <f>_xll.qlCalendarAdvance("Null",B329,"1m")</f>
        <v>52963</v>
      </c>
      <c r="C330" s="112">
        <f t="shared" si="7"/>
        <v>25.271232876712329</v>
      </c>
      <c r="D330" s="77">
        <f>_xll.qlYieldTSForwardRate($C$3,B330,B330,"Act/365 (fixed)","Continuous",,TRUE)</f>
        <v>4.2999999998820135E-2</v>
      </c>
      <c r="E330" s="248">
        <f>_xll.qlYieldTSForwardRate($C$4,B330,B330,"Act/365 (fixed)","Continuous",,TRUE)</f>
        <v>4.2995894704825906E-2</v>
      </c>
      <c r="F330" s="249">
        <f>_xll.qlYieldTSForwardRate($C$5,B330,B330,"Act/365 (fixed)","Continuous",,TRUE)</f>
        <v>4.3000000001040574E-2</v>
      </c>
    </row>
    <row r="331" spans="2:6">
      <c r="B331" s="111">
        <f>_xll.qlCalendarAdvance("Null",B330,"1m")</f>
        <v>52994</v>
      </c>
      <c r="C331" s="112">
        <f t="shared" si="7"/>
        <v>25.356164383561644</v>
      </c>
      <c r="D331" s="77">
        <f>_xll.qlYieldTSForwardRate($C$3,B331,B331,"Act/365 (fixed)","Continuous",,TRUE)</f>
        <v>4.2999999998820135E-2</v>
      </c>
      <c r="E331" s="248">
        <f>_xll.qlYieldTSForwardRate($C$4,B331,B331,"Act/365 (fixed)","Continuous",,TRUE)</f>
        <v>4.2994656460646853E-2</v>
      </c>
      <c r="F331" s="249">
        <f>_xll.qlYieldTSForwardRate($C$5,B331,B331,"Act/365 (fixed)","Continuous",,TRUE)</f>
        <v>4.2999999998820135E-2</v>
      </c>
    </row>
    <row r="332" spans="2:6">
      <c r="B332" s="111">
        <f>_xll.qlCalendarAdvance("Null",B331,"1m")</f>
        <v>53022</v>
      </c>
      <c r="C332" s="112">
        <f t="shared" si="7"/>
        <v>25.432876712328767</v>
      </c>
      <c r="D332" s="77">
        <f>_xll.qlYieldTSForwardRate($C$3,B332,B332,"Act/365 (fixed)","Continuous",,TRUE)</f>
        <v>4.2999999998820135E-2</v>
      </c>
      <c r="E332" s="248">
        <f>_xll.qlYieldTSForwardRate($C$4,B332,B332,"Act/365 (fixed)","Continuous",,TRUE)</f>
        <v>4.2993599093225164E-2</v>
      </c>
      <c r="F332" s="249">
        <f>_xll.qlYieldTSForwardRate($C$5,B332,B332,"Act/365 (fixed)","Continuous",,TRUE)</f>
        <v>4.3000000001040574E-2</v>
      </c>
    </row>
    <row r="333" spans="2:6">
      <c r="B333" s="111">
        <f>_xll.qlCalendarAdvance("Null",B332,"1m")</f>
        <v>53053</v>
      </c>
      <c r="C333" s="112">
        <f t="shared" si="7"/>
        <v>25.517808219178082</v>
      </c>
      <c r="D333" s="77">
        <f>_xll.qlYieldTSForwardRate($C$3,B333,B333,"Act/365 (fixed)","Continuous",,TRUE)</f>
        <v>4.3000000001040574E-2</v>
      </c>
      <c r="E333" s="248">
        <f>_xll.qlYieldTSForwardRate($C$4,B333,B333,"Act/365 (fixed)","Continuous",,TRUE)</f>
        <v>4.2992494834625285E-2</v>
      </c>
      <c r="F333" s="249">
        <f>_xll.qlYieldTSForwardRate($C$5,B333,B333,"Act/365 (fixed)","Continuous",,TRUE)</f>
        <v>4.3000000001040574E-2</v>
      </c>
    </row>
    <row r="334" spans="2:6">
      <c r="B334" s="111">
        <f>_xll.qlCalendarAdvance("Null",B333,"1m")</f>
        <v>53083</v>
      </c>
      <c r="C334" s="112">
        <f t="shared" si="7"/>
        <v>25.6</v>
      </c>
      <c r="D334" s="77">
        <f>_xll.qlYieldTSForwardRate($C$3,B334,B334,"Act/365 (fixed)","Continuous",,TRUE)</f>
        <v>4.2999999998820135E-2</v>
      </c>
      <c r="E334" s="248">
        <f>_xll.qlYieldTSForwardRate($C$4,B334,B334,"Act/365 (fixed)","Continuous",,TRUE)</f>
        <v>4.2991491454896509E-2</v>
      </c>
      <c r="F334" s="249">
        <f>_xll.qlYieldTSForwardRate($C$5,B334,B334,"Act/365 (fixed)","Continuous",,TRUE)</f>
        <v>4.3000000001040574E-2</v>
      </c>
    </row>
    <row r="335" spans="2:6">
      <c r="B335" s="111">
        <f>_xll.qlCalendarAdvance("Null",B334,"1m")</f>
        <v>53114</v>
      </c>
      <c r="C335" s="112">
        <f t="shared" si="7"/>
        <v>25.684931506849313</v>
      </c>
      <c r="D335" s="77">
        <f>_xll.qlYieldTSForwardRate($C$3,B335,B335,"Act/365 (fixed)","Continuous",,TRUE)</f>
        <v>4.3000000001040574E-2</v>
      </c>
      <c r="E335" s="248">
        <f>_xll.qlYieldTSForwardRate($C$4,B335,B335,"Act/365 (fixed)","Continuous",,TRUE)</f>
        <v>4.299052079996081E-2</v>
      </c>
      <c r="F335" s="249">
        <f>_xll.qlYieldTSForwardRate($C$5,B335,B335,"Act/365 (fixed)","Continuous",,TRUE)</f>
        <v>4.2999999998820135E-2</v>
      </c>
    </row>
    <row r="336" spans="2:6">
      <c r="B336" s="111">
        <f>_xll.qlCalendarAdvance("Null",B335,"1m")</f>
        <v>53144</v>
      </c>
      <c r="C336" s="112">
        <f t="shared" si="7"/>
        <v>25.767123287671232</v>
      </c>
      <c r="D336" s="77">
        <f>_xll.qlYieldTSForwardRate($C$3,B336,B336,"Act/365 (fixed)","Continuous",,TRUE)</f>
        <v>4.3000000001040574E-2</v>
      </c>
      <c r="E336" s="248">
        <f>_xll.qlYieldTSForwardRate($C$4,B336,B336,"Act/365 (fixed)","Continuous",,TRUE)</f>
        <v>4.2989644289312345E-2</v>
      </c>
      <c r="F336" s="249">
        <f>_xll.qlYieldTSForwardRate($C$5,B336,B336,"Act/365 (fixed)","Continuous",,TRUE)</f>
        <v>4.3000000001040574E-2</v>
      </c>
    </row>
    <row r="337" spans="2:6">
      <c r="B337" s="111">
        <f>_xll.qlCalendarAdvance("Null",B336,"1m")</f>
        <v>53175</v>
      </c>
      <c r="C337" s="112">
        <f t="shared" si="7"/>
        <v>25.852054794520548</v>
      </c>
      <c r="D337" s="77">
        <f>_xll.qlYieldTSForwardRate($C$3,B337,B337,"Act/365 (fixed)","Continuous",,TRUE)</f>
        <v>4.2999999998820135E-2</v>
      </c>
      <c r="E337" s="248">
        <f>_xll.qlYieldTSForwardRate($C$4,B337,B337,"Act/365 (fixed)","Continuous",,TRUE)</f>
        <v>4.2988802239838329E-2</v>
      </c>
      <c r="F337" s="249">
        <f>_xll.qlYieldTSForwardRate($C$5,B337,B337,"Act/365 (fixed)","Continuous",,TRUE)</f>
        <v>4.2999999998820135E-2</v>
      </c>
    </row>
    <row r="338" spans="2:6">
      <c r="B338" s="111">
        <f>_xll.qlCalendarAdvance("Null",B337,"1m")</f>
        <v>53206</v>
      </c>
      <c r="C338" s="112">
        <f t="shared" si="7"/>
        <v>25.936986301369863</v>
      </c>
      <c r="D338" s="77">
        <f>_xll.qlYieldTSForwardRate($C$3,B338,B338,"Act/365 (fixed)","Continuous",,TRUE)</f>
        <v>4.3000000001040574E-2</v>
      </c>
      <c r="E338" s="248">
        <f>_xll.qlYieldTSForwardRate($C$4,B338,B338,"Act/365 (fixed)","Continuous",,TRUE)</f>
        <v>4.2988023623794308E-2</v>
      </c>
      <c r="F338" s="249">
        <f>_xll.qlYieldTSForwardRate($C$5,B338,B338,"Act/365 (fixed)","Continuous",,TRUE)</f>
        <v>4.2999999998820135E-2</v>
      </c>
    </row>
    <row r="339" spans="2:6">
      <c r="B339" s="111">
        <f>_xll.qlCalendarAdvance("Null",B338,"1m")</f>
        <v>53236</v>
      </c>
      <c r="C339" s="112">
        <f t="shared" si="7"/>
        <v>26.019178082191782</v>
      </c>
      <c r="D339" s="77">
        <f>_xll.qlYieldTSForwardRate($C$3,B339,B339,"Act/365 (fixed)","Continuous",,TRUE)</f>
        <v>4.3000000001040574E-2</v>
      </c>
      <c r="E339" s="248">
        <f>_xll.qlYieldTSForwardRate($C$4,B339,B339,"Act/365 (fixed)","Continuous",,TRUE)</f>
        <v>4.2987329308842526E-2</v>
      </c>
      <c r="F339" s="249">
        <f>_xll.qlYieldTSForwardRate($C$5,B339,B339,"Act/365 (fixed)","Continuous",,TRUE)</f>
        <v>4.3000000001040574E-2</v>
      </c>
    </row>
    <row r="340" spans="2:6">
      <c r="B340" s="111">
        <f>_xll.qlCalendarAdvance("Null",B339,"1m")</f>
        <v>53267</v>
      </c>
      <c r="C340" s="112">
        <f t="shared" si="7"/>
        <v>26.104109589041094</v>
      </c>
      <c r="D340" s="77">
        <f>_xll.qlYieldTSForwardRate($C$3,B340,B340,"Act/365 (fixed)","Continuous",,TRUE)</f>
        <v>4.3000000001040574E-2</v>
      </c>
      <c r="E340" s="248">
        <f>_xll.qlYieldTSForwardRate($C$4,B340,B340,"Act/365 (fixed)","Continuous",,TRUE)</f>
        <v>4.2986671748776163E-2</v>
      </c>
      <c r="F340" s="249">
        <f>_xll.qlYieldTSForwardRate($C$5,B340,B340,"Act/365 (fixed)","Continuous",,TRUE)</f>
        <v>4.2999999998820135E-2</v>
      </c>
    </row>
    <row r="341" spans="2:6">
      <c r="B341" s="111">
        <f>_xll.qlCalendarAdvance("Null",B340,"1m")</f>
        <v>53297</v>
      </c>
      <c r="C341" s="112">
        <f t="shared" si="7"/>
        <v>26.186301369863013</v>
      </c>
      <c r="D341" s="77">
        <f>_xll.qlYieldTSForwardRate($C$3,B341,B341,"Act/365 (fixed)","Continuous",,TRUE)</f>
        <v>4.3000000001040574E-2</v>
      </c>
      <c r="E341" s="248">
        <f>_xll.qlYieldTSForwardRate($C$4,B341,B341,"Act/365 (fixed)","Continuous",,TRUE)</f>
        <v>4.2986092165998926E-2</v>
      </c>
      <c r="F341" s="249">
        <f>_xll.qlYieldTSForwardRate($C$5,B341,B341,"Act/365 (fixed)","Continuous",,TRUE)</f>
        <v>4.3000000001040574E-2</v>
      </c>
    </row>
    <row r="342" spans="2:6">
      <c r="B342" s="111">
        <f>_xll.qlCalendarAdvance("Null",B341,"1m")</f>
        <v>53328</v>
      </c>
      <c r="C342" s="112">
        <f t="shared" si="7"/>
        <v>26.271232876712329</v>
      </c>
      <c r="D342" s="77">
        <f>_xll.qlYieldTSForwardRate($C$3,B342,B342,"Act/365 (fixed)","Continuous",,TRUE)</f>
        <v>4.2999999998820135E-2</v>
      </c>
      <c r="E342" s="248">
        <f>_xll.qlYieldTSForwardRate($C$4,B342,B342,"Act/365 (fixed)","Continuous",,TRUE)</f>
        <v>4.2985550659266826E-2</v>
      </c>
      <c r="F342" s="249">
        <f>_xll.qlYieldTSForwardRate($C$5,B342,B342,"Act/365 (fixed)","Continuous",,TRUE)</f>
        <v>4.3000000003261013E-2</v>
      </c>
    </row>
    <row r="343" spans="2:6">
      <c r="B343" s="111">
        <f>_xll.qlCalendarAdvance("Null",B342,"1m")</f>
        <v>53359</v>
      </c>
      <c r="C343" s="112">
        <f t="shared" si="7"/>
        <v>26.356164383561644</v>
      </c>
      <c r="D343" s="77">
        <f>_xll.qlYieldTSForwardRate($C$3,B343,B343,"Act/365 (fixed)","Continuous",,TRUE)</f>
        <v>4.2999999998820135E-2</v>
      </c>
      <c r="E343" s="248">
        <f>_xll.qlYieldTSForwardRate($C$4,B343,B343,"Act/365 (fixed)","Continuous",,TRUE)</f>
        <v>4.2985066215532428E-2</v>
      </c>
      <c r="F343" s="249">
        <f>_xll.qlYieldTSForwardRate($C$5,B343,B343,"Act/365 (fixed)","Continuous",,TRUE)</f>
        <v>4.2999999998820135E-2</v>
      </c>
    </row>
    <row r="344" spans="2:6">
      <c r="B344" s="111">
        <f>_xll.qlCalendarAdvance("Null",B343,"1m")</f>
        <v>53387</v>
      </c>
      <c r="C344" s="112">
        <f t="shared" si="7"/>
        <v>26.432876712328767</v>
      </c>
      <c r="D344" s="77">
        <f>_xll.qlYieldTSForwardRate($C$3,B344,B344,"Act/365 (fixed)","Continuous",,TRUE)</f>
        <v>4.3000000001040574E-2</v>
      </c>
      <c r="E344" s="248">
        <f>_xll.qlYieldTSForwardRate($C$4,B344,B344,"Act/365 (fixed)","Continuous",,TRUE)</f>
        <v>4.2984676619963746E-2</v>
      </c>
      <c r="F344" s="249">
        <f>_xll.qlYieldTSForwardRate($C$5,B344,B344,"Act/365 (fixed)","Continuous",,TRUE)</f>
        <v>4.3000000001040574E-2</v>
      </c>
    </row>
    <row r="345" spans="2:6">
      <c r="B345" s="111">
        <f>_xll.qlCalendarAdvance("Null",B344,"1m")</f>
        <v>53418</v>
      </c>
      <c r="C345" s="112">
        <f t="shared" si="7"/>
        <v>26.517808219178082</v>
      </c>
      <c r="D345" s="77">
        <f>_xll.qlYieldTSForwardRate($C$3,B345,B345,"Act/365 (fixed)","Continuous",,TRUE)</f>
        <v>4.2999999998820135E-2</v>
      </c>
      <c r="E345" s="248">
        <f>_xll.qlYieldTSForwardRate($C$4,B345,B345,"Act/365 (fixed)","Continuous",,TRUE)</f>
        <v>4.2984297205096431E-2</v>
      </c>
      <c r="F345" s="249">
        <f>_xll.qlYieldTSForwardRate($C$5,B345,B345,"Act/365 (fixed)","Continuous",,TRUE)</f>
        <v>4.2999999998820135E-2</v>
      </c>
    </row>
    <row r="346" spans="2:6">
      <c r="B346" s="111">
        <f>_xll.qlCalendarAdvance("Null",B345,"1m")</f>
        <v>53448</v>
      </c>
      <c r="C346" s="112">
        <f t="shared" si="7"/>
        <v>26.6</v>
      </c>
      <c r="D346" s="77">
        <f>_xll.qlYieldTSForwardRate($C$3,B346,B346,"Act/365 (fixed)","Continuous",,TRUE)</f>
        <v>4.2999999998820135E-2</v>
      </c>
      <c r="E346" s="248">
        <f>_xll.qlYieldTSForwardRate($C$4,B346,B346,"Act/365 (fixed)","Continuous",,TRUE)</f>
        <v>4.2983980797335362E-2</v>
      </c>
      <c r="F346" s="249">
        <f>_xll.qlYieldTSForwardRate($C$5,B346,B346,"Act/365 (fixed)","Continuous",,TRUE)</f>
        <v>4.2999999996599696E-2</v>
      </c>
    </row>
    <row r="347" spans="2:6">
      <c r="B347" s="111">
        <f>_xll.qlCalendarAdvance("Null",B346,"1m")</f>
        <v>53479</v>
      </c>
      <c r="C347" s="112">
        <f t="shared" ref="C347:C387" si="8">(B347-$B$27)/365</f>
        <v>26.684931506849313</v>
      </c>
      <c r="D347" s="77">
        <f>_xll.qlYieldTSForwardRate($C$3,B347,B347,"Act/365 (fixed)","Continuous",,TRUE)</f>
        <v>4.3000000001040574E-2</v>
      </c>
      <c r="E347" s="248">
        <f>_xll.qlYieldTSForwardRate($C$4,B347,B347,"Act/365 (fixed)","Continuous",,TRUE)</f>
        <v>4.2983705050207557E-2</v>
      </c>
      <c r="F347" s="249">
        <f>_xll.qlYieldTSForwardRate($C$5,B347,B347,"Act/365 (fixed)","Continuous",,TRUE)</f>
        <v>4.2999999998820135E-2</v>
      </c>
    </row>
    <row r="348" spans="2:6">
      <c r="B348" s="111">
        <f>_xll.qlCalendarAdvance("Null",B347,"1m")</f>
        <v>53509</v>
      </c>
      <c r="C348" s="112">
        <f t="shared" si="8"/>
        <v>26.767123287671232</v>
      </c>
      <c r="D348" s="77">
        <f>_xll.qlYieldTSForwardRate($C$3,B348,B348,"Act/365 (fixed)","Continuous",,TRUE)</f>
        <v>4.2999999996599696E-2</v>
      </c>
      <c r="E348" s="248">
        <f>_xll.qlYieldTSForwardRate($C$4,B348,B348,"Act/365 (fixed)","Continuous",,TRUE)</f>
        <v>4.2983486548153281E-2</v>
      </c>
      <c r="F348" s="249">
        <f>_xll.qlYieldTSForwardRate($C$5,B348,B348,"Act/365 (fixed)","Continuous",,TRUE)</f>
        <v>4.2999999998820135E-2</v>
      </c>
    </row>
    <row r="349" spans="2:6">
      <c r="B349" s="111">
        <f>_xll.qlCalendarAdvance("Null",B348,"1m")</f>
        <v>53540</v>
      </c>
      <c r="C349" s="112">
        <f t="shared" si="8"/>
        <v>26.852054794520548</v>
      </c>
      <c r="D349" s="77">
        <f>_xll.qlYieldTSForwardRate($C$3,B349,B349,"Act/365 (fixed)","Continuous",,TRUE)</f>
        <v>4.2999999998820135E-2</v>
      </c>
      <c r="E349" s="248">
        <f>_xll.qlYieldTSForwardRate($C$4,B349,B349,"Act/365 (fixed)","Continuous",,TRUE)</f>
        <v>4.298330946390113E-2</v>
      </c>
      <c r="F349" s="249">
        <f>_xll.qlYieldTSForwardRate($C$5,B349,B349,"Act/365 (fixed)","Continuous",,TRUE)</f>
        <v>4.3000000001040574E-2</v>
      </c>
    </row>
    <row r="350" spans="2:6">
      <c r="B350" s="111">
        <f>_xll.qlCalendarAdvance("Null",B349,"1m")</f>
        <v>53571</v>
      </c>
      <c r="C350" s="112">
        <f t="shared" si="8"/>
        <v>26.936986301369863</v>
      </c>
      <c r="D350" s="77">
        <f>_xll.qlYieldTSForwardRate($C$3,B350,B350,"Act/365 (fixed)","Continuous",,TRUE)</f>
        <v>4.3000000001040574E-2</v>
      </c>
      <c r="E350" s="248">
        <f>_xll.qlYieldTSForwardRate($C$4,B350,B350,"Act/365 (fixed)","Continuous",,TRUE)</f>
        <v>4.298318060530943E-2</v>
      </c>
      <c r="F350" s="249">
        <f>_xll.qlYieldTSForwardRate($C$5,B350,B350,"Act/365 (fixed)","Continuous",,TRUE)</f>
        <v>4.3000000001040574E-2</v>
      </c>
    </row>
    <row r="351" spans="2:6">
      <c r="B351" s="111">
        <f>_xll.qlCalendarAdvance("Null",B350,"1m")</f>
        <v>53601</v>
      </c>
      <c r="C351" s="112">
        <f t="shared" si="8"/>
        <v>27.019178082191782</v>
      </c>
      <c r="D351" s="77">
        <f>_xll.qlYieldTSForwardRate($C$3,B351,B351,"Act/365 (fixed)","Continuous",,TRUE)</f>
        <v>4.3000000001040574E-2</v>
      </c>
      <c r="E351" s="248">
        <f>_xll.qlYieldTSForwardRate($C$4,B351,B351,"Act/365 (fixed)","Continuous",,TRUE)</f>
        <v>4.2983100605202593E-2</v>
      </c>
      <c r="F351" s="249">
        <f>_xll.qlYieldTSForwardRate($C$5,B351,B351,"Act/365 (fixed)","Continuous",,TRUE)</f>
        <v>4.3000000001040574E-2</v>
      </c>
    </row>
    <row r="352" spans="2:6">
      <c r="B352" s="111">
        <f>_xll.qlCalendarAdvance("Null",B351,"1m")</f>
        <v>53632</v>
      </c>
      <c r="C352" s="112">
        <f t="shared" si="8"/>
        <v>27.104109589041094</v>
      </c>
      <c r="D352" s="77">
        <f>_xll.qlYieldTSForwardRate($C$3,B352,B352,"Act/365 (fixed)","Continuous",,TRUE)</f>
        <v>4.3000000001040574E-2</v>
      </c>
      <c r="E352" s="248">
        <f>_xll.qlYieldTSForwardRate($C$4,B352,B352,"Act/365 (fixed)","Continuous",,TRUE)</f>
        <v>4.298306286666375E-2</v>
      </c>
      <c r="F352" s="249">
        <f>_xll.qlYieldTSForwardRate($C$5,B352,B352,"Act/365 (fixed)","Continuous",,TRUE)</f>
        <v>4.3000000001040574E-2</v>
      </c>
    </row>
    <row r="353" spans="2:6">
      <c r="B353" s="111">
        <f>_xll.qlCalendarAdvance("Null",B352,"1m")</f>
        <v>53662</v>
      </c>
      <c r="C353" s="112">
        <f t="shared" si="8"/>
        <v>27.186301369863013</v>
      </c>
      <c r="D353" s="77">
        <f>_xll.qlYieldTSForwardRate($C$3,B353,B353,"Act/365 (fixed)","Continuous",,TRUE)</f>
        <v>4.3000000001040574E-2</v>
      </c>
      <c r="E353" s="248">
        <f>_xll.qlYieldTSForwardRate($C$4,B353,B353,"Act/365 (fixed)","Continuous",,TRUE)</f>
        <v>4.2983068626476044E-2</v>
      </c>
      <c r="F353" s="249">
        <f>_xll.qlYieldTSForwardRate($C$5,B353,B353,"Act/365 (fixed)","Continuous",,TRUE)</f>
        <v>4.3000000001040574E-2</v>
      </c>
    </row>
    <row r="354" spans="2:6">
      <c r="B354" s="111">
        <f>_xll.qlCalendarAdvance("Null",B353,"1m")</f>
        <v>53693</v>
      </c>
      <c r="C354" s="112">
        <f t="shared" si="8"/>
        <v>27.271232876712329</v>
      </c>
      <c r="D354" s="77">
        <f>_xll.qlYieldTSForwardRate($C$3,B354,B354,"Act/365 (fixed)","Continuous",,TRUE)</f>
        <v>4.2999999998820135E-2</v>
      </c>
      <c r="E354" s="248">
        <f>_xll.qlYieldTSForwardRate($C$4,B354,B354,"Act/365 (fixed)","Continuous",,TRUE)</f>
        <v>4.2983117003126181E-2</v>
      </c>
      <c r="F354" s="249">
        <f>_xll.qlYieldTSForwardRate($C$5,B354,B354,"Act/365 (fixed)","Continuous",,TRUE)</f>
        <v>4.2999999998820135E-2</v>
      </c>
    </row>
    <row r="355" spans="2:6">
      <c r="B355" s="111">
        <f>_xll.qlCalendarAdvance("Null",B354,"1m")</f>
        <v>53724</v>
      </c>
      <c r="C355" s="112">
        <f t="shared" si="8"/>
        <v>27.356164383561644</v>
      </c>
      <c r="D355" s="77">
        <f>_xll.qlYieldTSForwardRate($C$3,B355,B355,"Act/365 (fixed)","Continuous",,TRUE)</f>
        <v>4.2999999998820135E-2</v>
      </c>
      <c r="E355" s="248">
        <f>_xll.qlYieldTSForwardRate($C$4,B355,B355,"Act/365 (fixed)","Continuous",,TRUE)</f>
        <v>4.2983207230563564E-2</v>
      </c>
      <c r="F355" s="249">
        <f>_xll.qlYieldTSForwardRate($C$5,B355,B355,"Act/365 (fixed)","Continuous",,TRUE)</f>
        <v>4.3000000001040574E-2</v>
      </c>
    </row>
    <row r="356" spans="2:6">
      <c r="B356" s="111">
        <f>_xll.qlCalendarAdvance("Null",B355,"1m")</f>
        <v>53752</v>
      </c>
      <c r="C356" s="112">
        <f t="shared" si="8"/>
        <v>27.432876712328767</v>
      </c>
      <c r="D356" s="77">
        <f>_xll.qlYieldTSForwardRate($C$3,B356,B356,"Act/365 (fixed)","Continuous",,TRUE)</f>
        <v>4.2999999998820135E-2</v>
      </c>
      <c r="E356" s="248">
        <f>_xll.qlYieldTSForwardRate($C$4,B356,B356,"Act/365 (fixed)","Continuous",,TRUE)</f>
        <v>4.2983323621404286E-2</v>
      </c>
      <c r="F356" s="249">
        <f>_xll.qlYieldTSForwardRate($C$5,B356,B356,"Act/365 (fixed)","Continuous",,TRUE)</f>
        <v>4.2999999998820135E-2</v>
      </c>
    </row>
    <row r="357" spans="2:6">
      <c r="B357" s="111">
        <f>_xll.qlCalendarAdvance("Null",B356,"1m")</f>
        <v>53783</v>
      </c>
      <c r="C357" s="112">
        <f t="shared" si="8"/>
        <v>27.517808219178082</v>
      </c>
      <c r="D357" s="77">
        <f>_xll.qlYieldTSForwardRate($C$3,B357,B357,"Act/365 (fixed)","Continuous",,TRUE)</f>
        <v>4.3000000001040574E-2</v>
      </c>
      <c r="E357" s="248">
        <f>_xll.qlYieldTSForwardRate($C$4,B357,B357,"Act/365 (fixed)","Continuous",,TRUE)</f>
        <v>4.2983489923216767E-2</v>
      </c>
      <c r="F357" s="249">
        <f>_xll.qlYieldTSForwardRate($C$5,B357,B357,"Act/365 (fixed)","Continuous",,TRUE)</f>
        <v>4.3000000001040574E-2</v>
      </c>
    </row>
    <row r="358" spans="2:6">
      <c r="B358" s="111">
        <f>_xll.qlCalendarAdvance("Null",B357,"1m")</f>
        <v>53813</v>
      </c>
      <c r="C358" s="112">
        <f t="shared" si="8"/>
        <v>27.6</v>
      </c>
      <c r="D358" s="77">
        <f>_xll.qlYieldTSForwardRate($C$3,B358,B358,"Act/365 (fixed)","Continuous",,TRUE)</f>
        <v>4.3000000001040574E-2</v>
      </c>
      <c r="E358" s="248">
        <f>_xll.qlYieldTSForwardRate($C$4,B358,B358,"Act/365 (fixed)","Continuous",,TRUE)</f>
        <v>4.2983687144607576E-2</v>
      </c>
      <c r="F358" s="249">
        <f>_xll.qlYieldTSForwardRate($C$5,B358,B358,"Act/365 (fixed)","Continuous",,TRUE)</f>
        <v>4.3000000001040574E-2</v>
      </c>
    </row>
    <row r="359" spans="2:6">
      <c r="B359" s="111">
        <f>_xll.qlCalendarAdvance("Null",B358,"1m")</f>
        <v>53844</v>
      </c>
      <c r="C359" s="112">
        <f t="shared" si="8"/>
        <v>27.684931506849313</v>
      </c>
      <c r="D359" s="77">
        <f>_xll.qlYieldTSForwardRate($C$3,B359,B359,"Act/365 (fixed)","Continuous",,TRUE)</f>
        <v>4.3000000001040574E-2</v>
      </c>
      <c r="E359" s="248">
        <f>_xll.qlYieldTSForwardRate($C$4,B359,B359,"Act/365 (fixed)","Continuous",,TRUE)</f>
        <v>4.2983927178234634E-2</v>
      </c>
      <c r="F359" s="249">
        <f>_xll.qlYieldTSForwardRate($C$5,B359,B359,"Act/365 (fixed)","Continuous",,TRUE)</f>
        <v>4.3000000001040574E-2</v>
      </c>
    </row>
    <row r="360" spans="2:6">
      <c r="B360" s="111">
        <f>_xll.qlCalendarAdvance("Null",B359,"1m")</f>
        <v>53874</v>
      </c>
      <c r="C360" s="112">
        <f t="shared" si="8"/>
        <v>27.767123287671232</v>
      </c>
      <c r="D360" s="77">
        <f>_xll.qlYieldTSForwardRate($C$3,B360,B360,"Act/365 (fixed)","Continuous",,TRUE)</f>
        <v>4.3000000001040574E-2</v>
      </c>
      <c r="E360" s="248">
        <f>_xll.qlYieldTSForwardRate($C$4,B360,B360,"Act/365 (fixed)","Continuous",,TRUE)</f>
        <v>4.2984193333076737E-2</v>
      </c>
      <c r="F360" s="249">
        <f>_xll.qlYieldTSForwardRate($C$5,B360,B360,"Act/365 (fixed)","Continuous",,TRUE)</f>
        <v>4.3000000001040574E-2</v>
      </c>
    </row>
    <row r="361" spans="2:6">
      <c r="B361" s="111">
        <f>_xll.qlCalendarAdvance("Null",B360,"1m")</f>
        <v>53905</v>
      </c>
      <c r="C361" s="112">
        <f t="shared" si="8"/>
        <v>27.852054794520548</v>
      </c>
      <c r="D361" s="77">
        <f>_xll.qlYieldTSForwardRate($C$3,B361,B361,"Act/365 (fixed)","Continuous",,TRUE)</f>
        <v>4.3000000001040574E-2</v>
      </c>
      <c r="E361" s="248">
        <f>_xll.qlYieldTSForwardRate($C$4,B361,B361,"Act/365 (fixed)","Continuous",,TRUE)</f>
        <v>4.2984502098095345E-2</v>
      </c>
      <c r="F361" s="249">
        <f>_xll.qlYieldTSForwardRate($C$5,B361,B361,"Act/365 (fixed)","Continuous",,TRUE)</f>
        <v>4.2999999998820135E-2</v>
      </c>
    </row>
    <row r="362" spans="2:6">
      <c r="B362" s="111">
        <f>_xll.qlCalendarAdvance("Null",B361,"1m")</f>
        <v>53936</v>
      </c>
      <c r="C362" s="112">
        <f t="shared" si="8"/>
        <v>27.936986301369863</v>
      </c>
      <c r="D362" s="77">
        <f>_xll.qlYieldTSForwardRate($C$3,B362,B362,"Act/365 (fixed)","Continuous",,TRUE)</f>
        <v>4.2999999998820135E-2</v>
      </c>
      <c r="E362" s="248">
        <f>_xll.qlYieldTSForwardRate($C$4,B362,B362,"Act/365 (fixed)","Continuous",,TRUE)</f>
        <v>4.2984843874343467E-2</v>
      </c>
      <c r="F362" s="249">
        <f>_xll.qlYieldTSForwardRate($C$5,B362,B362,"Act/365 (fixed)","Continuous",,TRUE)</f>
        <v>4.2999999998820135E-2</v>
      </c>
    </row>
    <row r="363" spans="2:6">
      <c r="B363" s="111">
        <f>_xll.qlCalendarAdvance("Null",B362,"1m")</f>
        <v>53966</v>
      </c>
      <c r="C363" s="112">
        <f t="shared" si="8"/>
        <v>28.019178082191782</v>
      </c>
      <c r="D363" s="77">
        <f>_xll.qlYieldTSForwardRate($C$3,B363,B363,"Act/365 (fixed)","Continuous",,TRUE)</f>
        <v>4.2999999998820135E-2</v>
      </c>
      <c r="E363" s="248">
        <f>_xll.qlYieldTSForwardRate($C$4,B363,B363,"Act/365 (fixed)","Continuous",,TRUE)</f>
        <v>4.298520483516298E-2</v>
      </c>
      <c r="F363" s="249">
        <f>_xll.qlYieldTSForwardRate($C$5,B363,B363,"Act/365 (fixed)","Continuous",,TRUE)</f>
        <v>4.2999999998820135E-2</v>
      </c>
    </row>
    <row r="364" spans="2:6">
      <c r="B364" s="111">
        <f>_xll.qlCalendarAdvance("Null",B363,"1m")</f>
        <v>53997</v>
      </c>
      <c r="C364" s="112">
        <f t="shared" si="8"/>
        <v>28.104109589041094</v>
      </c>
      <c r="D364" s="77">
        <f>_xll.qlYieldTSForwardRate($C$3,B364,B364,"Act/365 (fixed)","Continuous",,TRUE)</f>
        <v>4.2999999998820135E-2</v>
      </c>
      <c r="E364" s="248">
        <f>_xll.qlYieldTSForwardRate($C$4,B364,B364,"Act/365 (fixed)","Continuous",,TRUE)</f>
        <v>4.2985607795538956E-2</v>
      </c>
      <c r="F364" s="249">
        <f>_xll.qlYieldTSForwardRate($C$5,B364,B364,"Act/365 (fixed)","Continuous",,TRUE)</f>
        <v>4.2999999998820135E-2</v>
      </c>
    </row>
    <row r="365" spans="2:6">
      <c r="B365" s="111">
        <f>_xll.qlCalendarAdvance("Null",B364,"1m")</f>
        <v>54027</v>
      </c>
      <c r="C365" s="112">
        <f t="shared" si="8"/>
        <v>28.186301369863013</v>
      </c>
      <c r="D365" s="77">
        <f>_xll.qlYieldTSForwardRate($C$3,B365,B365,"Act/365 (fixed)","Continuous",,TRUE)</f>
        <v>4.2999999998820135E-2</v>
      </c>
      <c r="E365" s="248">
        <f>_xll.qlYieldTSForwardRate($C$4,B365,B365,"Act/365 (fixed)","Continuous",,TRUE)</f>
        <v>4.2986025548462911E-2</v>
      </c>
      <c r="F365" s="249">
        <f>_xll.qlYieldTSForwardRate($C$5,B365,B365,"Act/365 (fixed)","Continuous",,TRUE)</f>
        <v>4.2999999998820135E-2</v>
      </c>
    </row>
    <row r="366" spans="2:6">
      <c r="B366" s="111">
        <f>_xll.qlCalendarAdvance("Null",B365,"1m")</f>
        <v>54058</v>
      </c>
      <c r="C366" s="112">
        <f t="shared" si="8"/>
        <v>28.271232876712329</v>
      </c>
      <c r="D366" s="77">
        <f>_xll.qlYieldTSForwardRate($C$3,B366,B366,"Act/365 (fixed)","Continuous",,TRUE)</f>
        <v>4.3000000001040574E-2</v>
      </c>
      <c r="E366" s="248">
        <f>_xll.qlYieldTSForwardRate($C$4,B366,B366,"Act/365 (fixed)","Continuous",,TRUE)</f>
        <v>4.2986484690323297E-2</v>
      </c>
      <c r="F366" s="249">
        <f>_xll.qlYieldTSForwardRate($C$5,B366,B366,"Act/365 (fixed)","Continuous",,TRUE)</f>
        <v>4.2999999998820135E-2</v>
      </c>
    </row>
    <row r="367" spans="2:6">
      <c r="B367" s="111">
        <f>_xll.qlCalendarAdvance("Null",B366,"1m")</f>
        <v>54089</v>
      </c>
      <c r="C367" s="112">
        <f t="shared" si="8"/>
        <v>28.356164383561644</v>
      </c>
      <c r="D367" s="77">
        <f>_xll.qlYieldTSForwardRate($C$3,B367,B367,"Act/365 (fixed)","Continuous",,TRUE)</f>
        <v>4.3000000001040574E-2</v>
      </c>
      <c r="E367" s="248">
        <f>_xll.qlYieldTSForwardRate($C$4,B367,B367,"Act/365 (fixed)","Continuous",,TRUE)</f>
        <v>4.2986970464099092E-2</v>
      </c>
      <c r="F367" s="249">
        <f>_xll.qlYieldTSForwardRate($C$5,B367,B367,"Act/365 (fixed)","Continuous",,TRUE)</f>
        <v>4.3000000001040574E-2</v>
      </c>
    </row>
    <row r="368" spans="2:6">
      <c r="B368" s="111">
        <f>_xll.qlCalendarAdvance("Null",B367,"1m")</f>
        <v>54118</v>
      </c>
      <c r="C368" s="112">
        <f t="shared" si="8"/>
        <v>28.435616438356163</v>
      </c>
      <c r="D368" s="77">
        <f>_xll.qlYieldTSForwardRate($C$3,B368,B368,"Act/365 (fixed)","Continuous",,TRUE)</f>
        <v>4.3000000001040574E-2</v>
      </c>
      <c r="E368" s="248">
        <f>_xll.qlYieldTSForwardRate($C$4,B368,B368,"Act/365 (fixed)","Continuous",,TRUE)</f>
        <v>4.2987447862388367E-2</v>
      </c>
      <c r="F368" s="249">
        <f>_xll.qlYieldTSForwardRate($C$5,B368,B368,"Act/365 (fixed)","Continuous",,TRUE)</f>
        <v>4.3000000001040574E-2</v>
      </c>
    </row>
    <row r="369" spans="2:6">
      <c r="B369" s="111">
        <f>_xll.qlCalendarAdvance("Null",B368,"1m")</f>
        <v>54149</v>
      </c>
      <c r="C369" s="112">
        <f t="shared" si="8"/>
        <v>28.520547945205479</v>
      </c>
      <c r="D369" s="77">
        <f>_xll.qlYieldTSForwardRate($C$3,B369,B369,"Act/365 (fixed)","Continuous",,TRUE)</f>
        <v>4.3000000001040574E-2</v>
      </c>
      <c r="E369" s="248">
        <f>_xll.qlYieldTSForwardRate($C$4,B369,B369,"Act/365 (fixed)","Continuous",,TRUE)</f>
        <v>4.2987981515436445E-2</v>
      </c>
      <c r="F369" s="249">
        <f>_xll.qlYieldTSForwardRate($C$5,B369,B369,"Act/365 (fixed)","Continuous",,TRUE)</f>
        <v>4.3000000001040574E-2</v>
      </c>
    </row>
    <row r="370" spans="2:6">
      <c r="B370" s="111">
        <f>_xll.qlCalendarAdvance("Null",B369,"1m")</f>
        <v>54179</v>
      </c>
      <c r="C370" s="112">
        <f t="shared" si="8"/>
        <v>28.602739726027398</v>
      </c>
      <c r="D370" s="77">
        <f>_xll.qlYieldTSForwardRate($C$3,B370,B370,"Act/365 (fixed)","Continuous",,TRUE)</f>
        <v>4.3000000001040574E-2</v>
      </c>
      <c r="E370" s="248">
        <f>_xll.qlYieldTSForwardRate($C$4,B370,B370,"Act/365 (fixed)","Continuous",,TRUE)</f>
        <v>4.2988519718158889E-2</v>
      </c>
      <c r="F370" s="249">
        <f>_xll.qlYieldTSForwardRate($C$5,B370,B370,"Act/365 (fixed)","Continuous",,TRUE)</f>
        <v>4.3000000001040574E-2</v>
      </c>
    </row>
    <row r="371" spans="2:6">
      <c r="B371" s="111">
        <f>_xll.qlCalendarAdvance("Null",B370,"1m")</f>
        <v>54210</v>
      </c>
      <c r="C371" s="112">
        <f t="shared" si="8"/>
        <v>28.687671232876713</v>
      </c>
      <c r="D371" s="77">
        <f>_xll.qlYieldTSForwardRate($C$3,B371,B371,"Act/365 (fixed)","Continuous",,TRUE)</f>
        <v>4.3000000001040574E-2</v>
      </c>
      <c r="E371" s="248">
        <f>_xll.qlYieldTSForwardRate($C$4,B371,B371,"Act/365 (fixed)","Continuous",,TRUE)</f>
        <v>4.2989097084940364E-2</v>
      </c>
      <c r="F371" s="249">
        <f>_xll.qlYieldTSForwardRate($C$5,B371,B371,"Act/365 (fixed)","Continuous",,TRUE)</f>
        <v>4.3000000001040574E-2</v>
      </c>
    </row>
    <row r="372" spans="2:6">
      <c r="B372" s="111">
        <f>_xll.qlCalendarAdvance("Null",B371,"1m")</f>
        <v>54240</v>
      </c>
      <c r="C372" s="112">
        <f t="shared" si="8"/>
        <v>28.769863013698629</v>
      </c>
      <c r="D372" s="77">
        <f>_xll.qlYieldTSForwardRate($C$3,B372,B372,"Act/365 (fixed)","Continuous",,TRUE)</f>
        <v>4.2999999998820135E-2</v>
      </c>
      <c r="E372" s="248">
        <f>_xll.qlYieldTSForwardRate($C$4,B372,B372,"Act/365 (fixed)","Continuous",,TRUE)</f>
        <v>4.2989675162261494E-2</v>
      </c>
      <c r="F372" s="249">
        <f>_xll.qlYieldTSForwardRate($C$5,B372,B372,"Act/365 (fixed)","Continuous",,TRUE)</f>
        <v>4.2999999998820135E-2</v>
      </c>
    </row>
    <row r="373" spans="2:6">
      <c r="B373" s="111">
        <f>_xll.qlCalendarAdvance("Null",B372,"1m")</f>
        <v>54271</v>
      </c>
      <c r="C373" s="112">
        <f t="shared" si="8"/>
        <v>28.854794520547944</v>
      </c>
      <c r="D373" s="77">
        <f>_xll.qlYieldTSForwardRate($C$3,B373,B373,"Act/365 (fixed)","Continuous",,TRUE)</f>
        <v>4.3000000001040574E-2</v>
      </c>
      <c r="E373" s="248">
        <f>_xll.qlYieldTSForwardRate($C$4,B373,B373,"Act/365 (fixed)","Continuous",,TRUE)</f>
        <v>4.2990291244573771E-2</v>
      </c>
      <c r="F373" s="249">
        <f>_xll.qlYieldTSForwardRate($C$5,B373,B373,"Act/365 (fixed)","Continuous",,TRUE)</f>
        <v>4.3000000001040574E-2</v>
      </c>
    </row>
    <row r="374" spans="2:6">
      <c r="B374" s="111">
        <f>_xll.qlCalendarAdvance("Null",B373,"1m")</f>
        <v>54302</v>
      </c>
      <c r="C374" s="112">
        <f t="shared" si="8"/>
        <v>28.93972602739726</v>
      </c>
      <c r="D374" s="77">
        <f>_xll.qlYieldTSForwardRate($C$3,B374,B374,"Act/365 (fixed)","Continuous",,TRUE)</f>
        <v>4.2999999998820135E-2</v>
      </c>
      <c r="E374" s="248">
        <f>_xll.qlYieldTSForwardRate($C$4,B374,B374,"Act/365 (fixed)","Continuous",,TRUE)</f>
        <v>4.2990925079275856E-2</v>
      </c>
      <c r="F374" s="249">
        <f>_xll.qlYieldTSForwardRate($C$5,B374,B374,"Act/365 (fixed)","Continuous",,TRUE)</f>
        <v>4.2999999998820135E-2</v>
      </c>
    </row>
    <row r="375" spans="2:6">
      <c r="B375" s="111">
        <f>_xll.qlCalendarAdvance("Null",B374,"1m")</f>
        <v>54332</v>
      </c>
      <c r="C375" s="112">
        <f t="shared" si="8"/>
        <v>29.021917808219179</v>
      </c>
      <c r="D375" s="77">
        <f>_xll.qlYieldTSForwardRate($C$3,B375,B375,"Act/365 (fixed)","Continuous",,TRUE)</f>
        <v>4.2999999998820135E-2</v>
      </c>
      <c r="E375" s="248">
        <f>_xll.qlYieldTSForwardRate($C$4,B375,B375,"Act/365 (fixed)","Continuous",,TRUE)</f>
        <v>4.2991554157802918E-2</v>
      </c>
      <c r="F375" s="249">
        <f>_xll.qlYieldTSForwardRate($C$5,B375,B375,"Act/365 (fixed)","Continuous",,TRUE)</f>
        <v>4.2999999998820135E-2</v>
      </c>
    </row>
    <row r="376" spans="2:6">
      <c r="B376" s="111">
        <f>_xll.qlCalendarAdvance("Null",B375,"1m")</f>
        <v>54363</v>
      </c>
      <c r="C376" s="112">
        <f t="shared" si="8"/>
        <v>29.106849315068494</v>
      </c>
      <c r="D376" s="77">
        <f>_xll.qlYieldTSForwardRate($C$3,B376,B376,"Act/365 (fixed)","Continuous",,TRUE)</f>
        <v>4.3000000001040574E-2</v>
      </c>
      <c r="E376" s="248">
        <f>_xll.qlYieldTSForwardRate($C$4,B376,B376,"Act/365 (fixed)","Continuous",,TRUE)</f>
        <v>4.2992219156331252E-2</v>
      </c>
      <c r="F376" s="249">
        <f>_xll.qlYieldTSForwardRate($C$5,B376,B376,"Act/365 (fixed)","Continuous",,TRUE)</f>
        <v>4.3000000001040574E-2</v>
      </c>
    </row>
    <row r="377" spans="2:6">
      <c r="B377" s="111">
        <f>_xll.qlCalendarAdvance("Null",B376,"1m")</f>
        <v>54393</v>
      </c>
      <c r="C377" s="112">
        <f t="shared" si="8"/>
        <v>29.18904109589041</v>
      </c>
      <c r="D377" s="77">
        <f>_xll.qlYieldTSForwardRate($C$3,B377,B377,"Act/365 (fixed)","Continuous",,TRUE)</f>
        <v>4.3000000001040574E-2</v>
      </c>
      <c r="E377" s="248">
        <f>_xll.qlYieldTSForwardRate($C$4,B377,B377,"Act/365 (fixed)","Continuous",,TRUE)</f>
        <v>4.2992875976991897E-2</v>
      </c>
      <c r="F377" s="249">
        <f>_xll.qlYieldTSForwardRate($C$5,B377,B377,"Act/365 (fixed)","Continuous",,TRUE)</f>
        <v>4.3000000001040574E-2</v>
      </c>
    </row>
    <row r="378" spans="2:6">
      <c r="B378" s="111">
        <f>_xll.qlCalendarAdvance("Null",B377,"1m")</f>
        <v>54424</v>
      </c>
      <c r="C378" s="112">
        <f t="shared" si="8"/>
        <v>29.273972602739725</v>
      </c>
      <c r="D378" s="77">
        <f>_xll.qlYieldTSForwardRate($C$3,B378,B378,"Act/365 (fixed)","Continuous",,TRUE)</f>
        <v>4.2999999998820135E-2</v>
      </c>
      <c r="E378" s="248">
        <f>_xll.qlYieldTSForwardRate($C$4,B378,B378,"Act/365 (fixed)","Continuous",,TRUE)</f>
        <v>4.2993567141143885E-2</v>
      </c>
      <c r="F378" s="249">
        <f>_xll.qlYieldTSForwardRate($C$5,B378,B378,"Act/365 (fixed)","Continuous",,TRUE)</f>
        <v>4.2999999998820135E-2</v>
      </c>
    </row>
    <row r="379" spans="2:6">
      <c r="B379" s="111">
        <f>_xll.qlCalendarAdvance("Null",B378,"1m")</f>
        <v>54455</v>
      </c>
      <c r="C379" s="112">
        <f t="shared" si="8"/>
        <v>29.358904109589041</v>
      </c>
      <c r="D379" s="77">
        <f>_xll.qlYieldTSForwardRate($C$3,B379,B379,"Act/365 (fixed)","Continuous",,TRUE)</f>
        <v>4.3000000001040574E-2</v>
      </c>
      <c r="E379" s="248">
        <f>_xll.qlYieldTSForwardRate($C$4,B379,B379,"Act/365 (fixed)","Continuous",,TRUE)</f>
        <v>4.2994269682812461E-2</v>
      </c>
      <c r="F379" s="249">
        <f>_xll.qlYieldTSForwardRate($C$5,B379,B379,"Act/365 (fixed)","Continuous",,TRUE)</f>
        <v>4.3000000001040574E-2</v>
      </c>
    </row>
    <row r="380" spans="2:6">
      <c r="B380" s="111">
        <f>_xll.qlCalendarAdvance("Null",B379,"1m")</f>
        <v>54483</v>
      </c>
      <c r="C380" s="112">
        <f t="shared" si="8"/>
        <v>29.435616438356163</v>
      </c>
      <c r="D380" s="77">
        <f>_xll.qlYieldTSForwardRate($C$3,B380,B380,"Act/365 (fixed)","Continuous",,TRUE)</f>
        <v>4.2999999996599696E-2</v>
      </c>
      <c r="E380" s="248">
        <f>_xll.qlYieldTSForwardRate($C$4,B380,B380,"Act/365 (fixed)","Continuous",,TRUE)</f>
        <v>4.2994912943267259E-2</v>
      </c>
      <c r="F380" s="249">
        <f>_xll.qlYieldTSForwardRate($C$5,B380,B380,"Act/365 (fixed)","Continuous",,TRUE)</f>
        <v>4.2999999996599696E-2</v>
      </c>
    </row>
    <row r="381" spans="2:6">
      <c r="B381" s="111">
        <f>_xll.qlCalendarAdvance("Null",B380,"1m")</f>
        <v>54514</v>
      </c>
      <c r="C381" s="112">
        <f t="shared" si="8"/>
        <v>29.520547945205479</v>
      </c>
      <c r="D381" s="77">
        <f>_xll.qlYieldTSForwardRate($C$3,B381,B381,"Act/365 (fixed)","Continuous",,TRUE)</f>
        <v>4.3000000001040574E-2</v>
      </c>
      <c r="E381" s="248">
        <f>_xll.qlYieldTSForwardRate($C$4,B381,B381,"Act/365 (fixed)","Continuous",,TRUE)</f>
        <v>4.2995633572611498E-2</v>
      </c>
      <c r="F381" s="249">
        <f>_xll.qlYieldTSForwardRate($C$5,B381,B381,"Act/365 (fixed)","Continuous",,TRUE)</f>
        <v>4.3000000001040574E-2</v>
      </c>
    </row>
    <row r="382" spans="2:6">
      <c r="B382" s="111">
        <f>_xll.qlCalendarAdvance("Null",B381,"1m")</f>
        <v>54544</v>
      </c>
      <c r="C382" s="112">
        <f t="shared" si="8"/>
        <v>29.602739726027398</v>
      </c>
      <c r="D382" s="77">
        <f>_xll.qlYieldTSForwardRate($C$3,B382,B382,"Act/365 (fixed)","Continuous",,TRUE)</f>
        <v>4.3000000001040574E-2</v>
      </c>
      <c r="E382" s="248">
        <f>_xll.qlYieldTSForwardRate($C$4,B382,B382,"Act/365 (fixed)","Continuous",,TRUE)</f>
        <v>4.2996338232576349E-2</v>
      </c>
      <c r="F382" s="249">
        <f>_xll.qlYieldTSForwardRate($C$5,B382,B382,"Act/365 (fixed)","Continuous",,TRUE)</f>
        <v>4.2999999998820135E-2</v>
      </c>
    </row>
    <row r="383" spans="2:6">
      <c r="B383" s="111">
        <f>_xll.qlCalendarAdvance("Null",B382,"1m")</f>
        <v>54575</v>
      </c>
      <c r="C383" s="112">
        <f t="shared" si="8"/>
        <v>29.687671232876713</v>
      </c>
      <c r="D383" s="77">
        <f>_xll.qlYieldTSForwardRate($C$3,B383,B383,"Act/365 (fixed)","Continuous",,TRUE)</f>
        <v>4.2999999998820135E-2</v>
      </c>
      <c r="E383" s="248">
        <f>_xll.qlYieldTSForwardRate($C$4,B383,B383,"Act/365 (fixed)","Continuous",,TRUE)</f>
        <v>4.2997072641949415E-2</v>
      </c>
      <c r="F383" s="249">
        <f>_xll.qlYieldTSForwardRate($C$5,B383,B383,"Act/365 (fixed)","Continuous",,TRUE)</f>
        <v>4.2999999996599696E-2</v>
      </c>
    </row>
    <row r="384" spans="2:6">
      <c r="B384" s="111">
        <f>_xll.qlCalendarAdvance("Null",B383,"1m")</f>
        <v>54605</v>
      </c>
      <c r="C384" s="112">
        <f t="shared" si="8"/>
        <v>29.769863013698629</v>
      </c>
      <c r="D384" s="77">
        <f>_xll.qlYieldTSForwardRate($C$3,B384,B384,"Act/365 (fixed)","Continuous",,TRUE)</f>
        <v>4.3000000001040574E-2</v>
      </c>
      <c r="E384" s="248">
        <f>_xll.qlYieldTSForwardRate($C$4,B384,B384,"Act/365 (fixed)","Continuous",,TRUE)</f>
        <v>4.2997788213139147E-2</v>
      </c>
      <c r="F384" s="249">
        <f>_xll.qlYieldTSForwardRate($C$5,B384,B384,"Act/365 (fixed)","Continuous",,TRUE)</f>
        <v>4.2999999998820135E-2</v>
      </c>
    </row>
    <row r="385" spans="2:6">
      <c r="B385" s="111">
        <f>_xll.qlCalendarAdvance("Null",B384,"1m")</f>
        <v>54636</v>
      </c>
      <c r="C385" s="112">
        <f t="shared" si="8"/>
        <v>29.854794520547944</v>
      </c>
      <c r="D385" s="77">
        <f>_xll.qlYieldTSForwardRate($C$3,B385,B385,"Act/365 (fixed)","Continuous",,TRUE)</f>
        <v>4.3000000001040574E-2</v>
      </c>
      <c r="E385" s="248">
        <f>_xll.qlYieldTSForwardRate($C$4,B385,B385,"Act/365 (fixed)","Continuous",,TRUE)</f>
        <v>4.2998531397677162E-2</v>
      </c>
      <c r="F385" s="249">
        <f>_xll.qlYieldTSForwardRate($C$5,B385,B385,"Act/365 (fixed)","Continuous",,TRUE)</f>
        <v>4.3000000001040574E-2</v>
      </c>
    </row>
    <row r="386" spans="2:6">
      <c r="B386" s="111">
        <f>_xll.qlCalendarAdvance("Null",B385,"1m")</f>
        <v>54667</v>
      </c>
      <c r="C386" s="112">
        <f t="shared" si="8"/>
        <v>29.93972602739726</v>
      </c>
      <c r="D386" s="77">
        <f>_xll.qlYieldTSForwardRate($C$3,B386,B386,"Act/365 (fixed)","Continuous",,TRUE)</f>
        <v>4.2999999998820135E-2</v>
      </c>
      <c r="E386" s="248">
        <f>_xll.qlYieldTSForwardRate($C$4,B386,B386,"Act/365 (fixed)","Continuous",,TRUE)</f>
        <v>4.299927712683535E-2</v>
      </c>
      <c r="F386" s="249">
        <f>_xll.qlYieldTSForwardRate($C$5,B386,B386,"Act/365 (fixed)","Continuous",,TRUE)</f>
        <v>4.2999999996599696E-2</v>
      </c>
    </row>
    <row r="387" spans="2:6">
      <c r="B387" s="114">
        <f>_xll.qlCalendarAdvance("Null",B386,"1m")</f>
        <v>54697</v>
      </c>
      <c r="C387" s="115">
        <f t="shared" si="8"/>
        <v>30.021917808219179</v>
      </c>
      <c r="D387" s="78">
        <f>_xll.qlYieldTSForwardRate($C$3,B387,B387,"Act/365 (fixed)","Continuous",,TRUE)</f>
        <v>4.2999999998820135E-2</v>
      </c>
      <c r="E387" s="250">
        <f>_xll.qlYieldTSForwardRate($C$4,B387,B387,"Act/365 (fixed)","Continuous",,TRUE)</f>
        <v>4.2999999887798304E-2</v>
      </c>
      <c r="F387" s="251">
        <f>_xll.qlYieldTSForwardRate($C$5,B387,B387,"Act/365 (fixed)","Continuous",,TRUE)</f>
        <v>4.2999999998820135E-2</v>
      </c>
    </row>
    <row r="388" spans="2:6">
      <c r="C388" s="1"/>
      <c r="D388" s="2"/>
    </row>
    <row r="389" spans="2:6">
      <c r="C389" s="1"/>
      <c r="D389" s="2"/>
    </row>
    <row r="390" spans="2:6">
      <c r="C390" s="1"/>
      <c r="D390" s="2"/>
    </row>
    <row r="391" spans="2:6">
      <c r="C391" s="1"/>
      <c r="D391" s="2"/>
    </row>
    <row r="392" spans="2:6">
      <c r="C392" s="1"/>
      <c r="D392" s="2"/>
    </row>
    <row r="393" spans="2:6">
      <c r="C393" s="1"/>
      <c r="D393" s="2"/>
    </row>
    <row r="394" spans="2:6">
      <c r="C394" s="1"/>
      <c r="D394" s="2"/>
    </row>
    <row r="395" spans="2:6">
      <c r="C395" s="1"/>
      <c r="D395" s="2"/>
    </row>
    <row r="396" spans="2:6">
      <c r="C396" s="1"/>
      <c r="D396" s="2"/>
    </row>
    <row r="397" spans="2:6">
      <c r="C397" s="1"/>
      <c r="D397" s="2"/>
    </row>
    <row r="398" spans="2:6">
      <c r="C398" s="1"/>
      <c r="D398" s="2"/>
    </row>
    <row r="399" spans="2:6">
      <c r="C399" s="1"/>
      <c r="D399" s="2"/>
    </row>
    <row r="400" spans="2:6">
      <c r="C400" s="1"/>
      <c r="D400" s="2"/>
    </row>
    <row r="401" spans="3:4">
      <c r="C401" s="1"/>
      <c r="D401" s="2"/>
    </row>
    <row r="402" spans="3:4">
      <c r="C402" s="1"/>
      <c r="D402" s="2"/>
    </row>
    <row r="403" spans="3:4">
      <c r="C403" s="1"/>
      <c r="D403" s="2"/>
    </row>
    <row r="404" spans="3:4">
      <c r="C404" s="1"/>
      <c r="D404" s="2"/>
    </row>
    <row r="405" spans="3:4">
      <c r="C405" s="1"/>
      <c r="D405" s="2"/>
    </row>
    <row r="406" spans="3:4">
      <c r="C406" s="1"/>
      <c r="D406" s="2"/>
    </row>
    <row r="407" spans="3:4">
      <c r="C407" s="1"/>
      <c r="D407" s="2"/>
    </row>
    <row r="408" spans="3:4">
      <c r="C408" s="1"/>
      <c r="D408" s="2"/>
    </row>
    <row r="409" spans="3:4">
      <c r="C409" s="1"/>
      <c r="D409" s="2"/>
    </row>
    <row r="410" spans="3:4">
      <c r="C410" s="1"/>
      <c r="D410" s="2"/>
    </row>
    <row r="411" spans="3:4">
      <c r="C411" s="1"/>
      <c r="D411" s="2"/>
    </row>
    <row r="412" spans="3:4">
      <c r="C412" s="1"/>
      <c r="D412" s="2"/>
    </row>
    <row r="413" spans="3:4">
      <c r="C413" s="1"/>
      <c r="D413" s="2"/>
    </row>
    <row r="414" spans="3:4">
      <c r="C414" s="1"/>
      <c r="D414" s="2"/>
    </row>
    <row r="415" spans="3:4">
      <c r="C415" s="1"/>
      <c r="D415" s="2"/>
    </row>
    <row r="416" spans="3:4">
      <c r="C416" s="1"/>
      <c r="D416" s="2"/>
    </row>
    <row r="417" spans="3:4">
      <c r="C417" s="1"/>
      <c r="D417" s="2"/>
    </row>
    <row r="418" spans="3:4">
      <c r="C418" s="1"/>
      <c r="D418" s="2"/>
    </row>
    <row r="419" spans="3:4">
      <c r="C419" s="1"/>
      <c r="D419" s="2"/>
    </row>
    <row r="420" spans="3:4">
      <c r="C420" s="1"/>
      <c r="D420" s="2"/>
    </row>
    <row r="421" spans="3:4">
      <c r="C421" s="1"/>
      <c r="D421" s="2"/>
    </row>
    <row r="422" spans="3:4">
      <c r="C422" s="1"/>
      <c r="D422" s="2"/>
    </row>
    <row r="423" spans="3:4">
      <c r="C423" s="1"/>
      <c r="D423" s="2"/>
    </row>
    <row r="424" spans="3:4">
      <c r="C424" s="1"/>
      <c r="D424" s="2"/>
    </row>
    <row r="425" spans="3:4">
      <c r="C425" s="1"/>
      <c r="D425" s="2"/>
    </row>
    <row r="426" spans="3:4">
      <c r="C426" s="1"/>
      <c r="D426" s="2"/>
    </row>
    <row r="427" spans="3:4">
      <c r="C427" s="1"/>
      <c r="D427" s="2"/>
    </row>
    <row r="428" spans="3:4">
      <c r="C428" s="1"/>
      <c r="D428" s="2"/>
    </row>
    <row r="429" spans="3:4">
      <c r="C429" s="1"/>
      <c r="D429" s="2"/>
    </row>
    <row r="430" spans="3:4">
      <c r="C430" s="1"/>
      <c r="D430" s="2"/>
    </row>
    <row r="431" spans="3:4">
      <c r="C431" s="1"/>
      <c r="D431" s="2"/>
    </row>
    <row r="432" spans="3:4">
      <c r="C432" s="1"/>
      <c r="D432" s="2"/>
    </row>
    <row r="433" spans="3:4">
      <c r="C433" s="1"/>
      <c r="D433" s="2"/>
    </row>
    <row r="434" spans="3:4">
      <c r="C434" s="1"/>
      <c r="D434" s="2"/>
    </row>
    <row r="435" spans="3:4">
      <c r="C435" s="1"/>
      <c r="D435" s="2"/>
    </row>
    <row r="436" spans="3:4">
      <c r="C436" s="1"/>
      <c r="D436" s="2"/>
    </row>
    <row r="437" spans="3:4">
      <c r="C437" s="1"/>
      <c r="D437" s="2"/>
    </row>
    <row r="438" spans="3:4">
      <c r="C438" s="1"/>
      <c r="D438" s="2"/>
    </row>
    <row r="439" spans="3:4">
      <c r="C439" s="1"/>
      <c r="D439" s="2"/>
    </row>
    <row r="440" spans="3:4">
      <c r="C440" s="1"/>
      <c r="D440" s="2"/>
    </row>
    <row r="441" spans="3:4">
      <c r="C441" s="1"/>
      <c r="D441" s="2"/>
    </row>
    <row r="442" spans="3:4">
      <c r="C442" s="1"/>
      <c r="D442" s="2"/>
    </row>
    <row r="443" spans="3:4">
      <c r="C443" s="1"/>
      <c r="D443" s="2"/>
    </row>
    <row r="444" spans="3:4">
      <c r="C444" s="1"/>
      <c r="D444" s="2"/>
    </row>
    <row r="445" spans="3:4">
      <c r="C445" s="1"/>
      <c r="D445" s="2"/>
    </row>
    <row r="446" spans="3:4">
      <c r="C446" s="1"/>
      <c r="D446" s="2"/>
    </row>
    <row r="447" spans="3:4">
      <c r="C447" s="1"/>
      <c r="D447" s="2"/>
    </row>
    <row r="448" spans="3:4">
      <c r="C448" s="1"/>
      <c r="D448" s="2"/>
    </row>
    <row r="449" spans="3:4">
      <c r="C449" s="1"/>
      <c r="D449" s="2"/>
    </row>
    <row r="450" spans="3:4">
      <c r="C450" s="1"/>
      <c r="D450" s="2"/>
    </row>
    <row r="451" spans="3:4">
      <c r="C451" s="1"/>
      <c r="D451" s="2"/>
    </row>
    <row r="452" spans="3:4">
      <c r="C452" s="1"/>
      <c r="D452" s="2"/>
    </row>
    <row r="453" spans="3:4">
      <c r="C453" s="1"/>
      <c r="D453" s="2"/>
    </row>
    <row r="454" spans="3:4">
      <c r="C454" s="1"/>
      <c r="D454" s="2"/>
    </row>
    <row r="455" spans="3:4">
      <c r="C455" s="1"/>
      <c r="D455" s="2"/>
    </row>
    <row r="456" spans="3:4">
      <c r="C456" s="1"/>
      <c r="D456" s="2"/>
    </row>
    <row r="457" spans="3:4">
      <c r="C457" s="1"/>
      <c r="D457" s="2"/>
    </row>
    <row r="458" spans="3:4">
      <c r="C458" s="1"/>
      <c r="D458" s="2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49"/>
  <sheetViews>
    <sheetView showGridLines="0" tabSelected="1" zoomScaleNormal="100" workbookViewId="0"/>
  </sheetViews>
  <sheetFormatPr defaultRowHeight="12.5" outlineLevelCol="1"/>
  <cols>
    <col min="2" max="2" width="11.36328125" customWidth="1"/>
    <col min="3" max="3" width="14.453125" bestFit="1" customWidth="1"/>
    <col min="5" max="5" width="10.08984375" bestFit="1" customWidth="1"/>
    <col min="6" max="6" width="18.6328125" customWidth="1" outlineLevel="1"/>
    <col min="7" max="7" width="17.54296875" customWidth="1" outlineLevel="1"/>
    <col min="8" max="8" width="17.90625" customWidth="1"/>
    <col min="9" max="10" width="4.36328125" bestFit="1" customWidth="1"/>
    <col min="11" max="11" width="5.54296875" bestFit="1" customWidth="1"/>
    <col min="12" max="12" width="6.1796875" customWidth="1"/>
    <col min="13" max="13" width="9.453125" customWidth="1"/>
    <col min="14" max="14" width="9.36328125" customWidth="1"/>
    <col min="15" max="15" width="10.7265625" bestFit="1" customWidth="1"/>
  </cols>
  <sheetData>
    <row r="3" spans="2:17" ht="13">
      <c r="E3" s="14" t="s">
        <v>37</v>
      </c>
      <c r="F3" s="15"/>
      <c r="G3" s="15"/>
      <c r="H3" s="122">
        <f>_xll.qlTermStructureReferenceDate(C10)</f>
        <v>43739</v>
      </c>
      <c r="N3" s="14" t="s">
        <v>36</v>
      </c>
      <c r="O3" s="135">
        <f>SUM(O7:O26)</f>
        <v>41787358.348392889</v>
      </c>
    </row>
    <row r="5" spans="2:17" ht="13">
      <c r="B5" s="67" t="s">
        <v>81</v>
      </c>
      <c r="C5" s="117">
        <v>43769</v>
      </c>
      <c r="E5" s="3"/>
      <c r="F5" s="4" t="s">
        <v>23</v>
      </c>
      <c r="G5" s="4" t="s">
        <v>24</v>
      </c>
      <c r="H5" s="4" t="s">
        <v>25</v>
      </c>
      <c r="I5" s="4" t="s">
        <v>26</v>
      </c>
      <c r="J5" s="4" t="s">
        <v>27</v>
      </c>
      <c r="K5" s="4" t="s">
        <v>28</v>
      </c>
      <c r="L5" s="4" t="s">
        <v>29</v>
      </c>
      <c r="M5" s="4" t="s">
        <v>30</v>
      </c>
      <c r="N5" s="4" t="s">
        <v>35</v>
      </c>
      <c r="O5" s="4" t="s">
        <v>163</v>
      </c>
    </row>
    <row r="6" spans="2:17" ht="13">
      <c r="B6" s="68" t="s">
        <v>82</v>
      </c>
      <c r="C6" s="118">
        <v>51074</v>
      </c>
      <c r="E6" s="5" t="s">
        <v>31</v>
      </c>
      <c r="F6" s="123">
        <f t="array" ref="F6:F26">_xll.qlScheduleDates(C7)</f>
        <v>43769</v>
      </c>
      <c r="G6" s="126" t="b">
        <f>_xll.qlCalendarIsHoliday("Target",F6)</f>
        <v>0</v>
      </c>
      <c r="H6" s="123">
        <f>_xll.qlCalendarAdjust("Target",F6,"Modified Following")</f>
        <v>43769</v>
      </c>
      <c r="I6" s="252"/>
      <c r="J6" s="252"/>
      <c r="K6" s="252"/>
      <c r="L6" s="6"/>
      <c r="M6" s="6"/>
      <c r="N6" s="6"/>
      <c r="O6" s="6"/>
    </row>
    <row r="7" spans="2:17" ht="13">
      <c r="B7" s="68" t="s">
        <v>83</v>
      </c>
      <c r="C7" s="119" t="str">
        <f>_xll.qlSchedule(,C5,C6,"1y","Target","unadjusted")</f>
        <v>obj_00037#0009</v>
      </c>
      <c r="E7" s="7"/>
      <c r="F7" s="124">
        <v>44135</v>
      </c>
      <c r="G7" s="8" t="b">
        <f>_xll.qlCalendarIsHoliday("Target",F7)</f>
        <v>1</v>
      </c>
      <c r="H7" s="9">
        <f>_xll.qlCalendarAdjust("Target",F7,"Modified Following")</f>
        <v>44134</v>
      </c>
      <c r="I7" s="11">
        <f>MIN(DAY(H6),30)</f>
        <v>30</v>
      </c>
      <c r="J7" s="129">
        <f>IF(I7=30,MIN(DAY(H7),30),DAY(H7))</f>
        <v>30</v>
      </c>
      <c r="K7" s="130">
        <f>(360*(YEAR(H7)-YEAR(H6))+30*(MONTH(H7)-MONTH(H6))+(J7-I7))/360</f>
        <v>1</v>
      </c>
      <c r="L7" s="74">
        <v>0.03</v>
      </c>
      <c r="M7" s="131">
        <f t="shared" ref="M7:M26" si="0">$C$9*K7*L7</f>
        <v>3000000</v>
      </c>
      <c r="N7" s="133">
        <f>_xll.qlYieldTSDiscount($C$10,H7,TRUE)</f>
        <v>0.9712020418894064</v>
      </c>
      <c r="O7" s="131">
        <f>N7*M7</f>
        <v>2913606.1256682193</v>
      </c>
      <c r="Q7" s="253"/>
    </row>
    <row r="8" spans="2:17" ht="13">
      <c r="B8" s="68" t="s">
        <v>84</v>
      </c>
      <c r="C8" s="119" t="str">
        <f>_xll.qlSchedule(,C5,C6,"1y","Target","modified following")</f>
        <v>obj_0002c#0009</v>
      </c>
      <c r="E8" s="7"/>
      <c r="F8" s="124">
        <v>44500</v>
      </c>
      <c r="G8" s="8" t="b">
        <f>_xll.qlCalendarIsHoliday("Target",F8)</f>
        <v>1</v>
      </c>
      <c r="H8" s="9">
        <f>_xll.qlCalendarAdjust("Target",F8,"Modified Following")</f>
        <v>44498</v>
      </c>
      <c r="I8" s="127">
        <f t="shared" ref="I8:I26" si="1">MIN(DAY(H7),30)</f>
        <v>30</v>
      </c>
      <c r="J8" s="129">
        <f t="shared" ref="J8:J26" si="2">IF(I8=30,MIN(DAY(H8),30),DAY(H8))</f>
        <v>29</v>
      </c>
      <c r="K8" s="10">
        <f t="shared" ref="K8:K26" si="3">(360*(YEAR(H8)-YEAR(H7))+30*(MONTH(H8)-MONTH(H7))+(J8-I8))/360</f>
        <v>0.99722222222222223</v>
      </c>
      <c r="L8" s="74">
        <v>0.03</v>
      </c>
      <c r="M8" s="131">
        <f t="shared" si="0"/>
        <v>2991666.6666666665</v>
      </c>
      <c r="N8" s="133">
        <f>_xll.qlYieldTSDiscount($C$10,H8,TRUE)</f>
        <v>0.94512788477590826</v>
      </c>
      <c r="O8" s="131">
        <f t="shared" ref="O8:O26" si="4">N8*M8</f>
        <v>2827507.5886212587</v>
      </c>
      <c r="Q8" s="253"/>
    </row>
    <row r="9" spans="2:17" ht="13">
      <c r="B9" s="68" t="s">
        <v>32</v>
      </c>
      <c r="C9" s="120">
        <v>100000000</v>
      </c>
      <c r="E9" s="7"/>
      <c r="F9" s="124">
        <v>44865</v>
      </c>
      <c r="G9" s="119" t="b">
        <f>_xll.qlCalendarIsHoliday("Target",F9)</f>
        <v>0</v>
      </c>
      <c r="H9" s="124">
        <f>_xll.qlCalendarAdjust("Target",F9,"Modified Following")</f>
        <v>44865</v>
      </c>
      <c r="I9" s="127">
        <f t="shared" si="1"/>
        <v>29</v>
      </c>
      <c r="J9" s="129">
        <f t="shared" si="2"/>
        <v>31</v>
      </c>
      <c r="K9" s="10">
        <f t="shared" si="3"/>
        <v>1.0055555555555555</v>
      </c>
      <c r="L9" s="74">
        <v>0.03</v>
      </c>
      <c r="M9" s="131">
        <f t="shared" si="0"/>
        <v>3016666.6666666665</v>
      </c>
      <c r="N9" s="133">
        <f>_xll.qlYieldTSDiscount($C$10,H9,TRUE)</f>
        <v>0.91907997851295131</v>
      </c>
      <c r="O9" s="131">
        <f t="shared" si="4"/>
        <v>2772557.9351807362</v>
      </c>
      <c r="Q9" s="253"/>
    </row>
    <row r="10" spans="2:17" ht="13">
      <c r="B10" s="12" t="s">
        <v>34</v>
      </c>
      <c r="C10" s="121" t="str">
        <f>YieldCurve!C3</f>
        <v>obj_00041#0013</v>
      </c>
      <c r="E10" s="7"/>
      <c r="F10" s="124">
        <v>45230</v>
      </c>
      <c r="G10" s="119" t="b">
        <f>_xll.qlCalendarIsHoliday("Target",F10)</f>
        <v>0</v>
      </c>
      <c r="H10" s="124">
        <f>_xll.qlCalendarAdjust("Target",F10,"Modified Following")</f>
        <v>45230</v>
      </c>
      <c r="I10" s="11">
        <f t="shared" si="1"/>
        <v>30</v>
      </c>
      <c r="J10" s="129">
        <f t="shared" si="2"/>
        <v>30</v>
      </c>
      <c r="K10" s="130">
        <f t="shared" si="3"/>
        <v>1</v>
      </c>
      <c r="L10" s="74">
        <v>0.03</v>
      </c>
      <c r="M10" s="131">
        <f t="shared" si="0"/>
        <v>3000000</v>
      </c>
      <c r="N10" s="133">
        <f>_xll.qlYieldTSDiscount($C$10,H10,TRUE)</f>
        <v>0.89265272305757604</v>
      </c>
      <c r="O10" s="131">
        <f t="shared" si="4"/>
        <v>2677958.169172728</v>
      </c>
      <c r="Q10" s="253"/>
    </row>
    <row r="11" spans="2:17">
      <c r="E11" s="7"/>
      <c r="F11" s="124">
        <v>45596</v>
      </c>
      <c r="G11" s="119" t="b">
        <f>_xll.qlCalendarIsHoliday("Target",F11)</f>
        <v>0</v>
      </c>
      <c r="H11" s="124">
        <f>_xll.qlCalendarAdjust("Target",F11,"Modified Following")</f>
        <v>45596</v>
      </c>
      <c r="I11" s="11">
        <f t="shared" si="1"/>
        <v>30</v>
      </c>
      <c r="J11" s="129">
        <f t="shared" si="2"/>
        <v>30</v>
      </c>
      <c r="K11" s="130">
        <f t="shared" si="3"/>
        <v>1</v>
      </c>
      <c r="L11" s="74">
        <v>0.03</v>
      </c>
      <c r="M11" s="131">
        <f t="shared" si="0"/>
        <v>3000000</v>
      </c>
      <c r="N11" s="133">
        <f>_xll.qlYieldTSDiscount($C$10,H11,TRUE)</f>
        <v>0.86439958250318305</v>
      </c>
      <c r="O11" s="131">
        <f t="shared" si="4"/>
        <v>2593198.7475095494</v>
      </c>
      <c r="Q11" s="253"/>
    </row>
    <row r="12" spans="2:17">
      <c r="E12" s="7"/>
      <c r="F12" s="124">
        <v>45961</v>
      </c>
      <c r="G12" s="119" t="b">
        <f>_xll.qlCalendarIsHoliday("Target",F12)</f>
        <v>0</v>
      </c>
      <c r="H12" s="124">
        <f>_xll.qlCalendarAdjust("Target",F12,"Modified Following")</f>
        <v>45961</v>
      </c>
      <c r="I12" s="11">
        <f t="shared" si="1"/>
        <v>30</v>
      </c>
      <c r="J12" s="129">
        <f t="shared" si="2"/>
        <v>30</v>
      </c>
      <c r="K12" s="130">
        <f t="shared" si="3"/>
        <v>1</v>
      </c>
      <c r="L12" s="74">
        <v>0.03</v>
      </c>
      <c r="M12" s="131">
        <f t="shared" si="0"/>
        <v>3000000</v>
      </c>
      <c r="N12" s="133">
        <f>_xll.qlYieldTSDiscount($C$10,H12,TRUE)</f>
        <v>0.83431728045758291</v>
      </c>
      <c r="O12" s="131">
        <f t="shared" si="4"/>
        <v>2502951.8413727488</v>
      </c>
      <c r="Q12" s="253"/>
    </row>
    <row r="13" spans="2:17">
      <c r="E13" s="7"/>
      <c r="F13" s="124">
        <v>46326</v>
      </c>
      <c r="G13" s="8" t="b">
        <f>_xll.qlCalendarIsHoliday("Target",F13)</f>
        <v>1</v>
      </c>
      <c r="H13" s="9">
        <f>_xll.qlCalendarAdjust("Target",F13,"Modified Following")</f>
        <v>46325</v>
      </c>
      <c r="I13" s="11">
        <f t="shared" si="1"/>
        <v>30</v>
      </c>
      <c r="J13" s="129">
        <f t="shared" si="2"/>
        <v>30</v>
      </c>
      <c r="K13" s="130">
        <f t="shared" si="3"/>
        <v>1</v>
      </c>
      <c r="L13" s="74">
        <v>0.03</v>
      </c>
      <c r="M13" s="131">
        <f t="shared" si="0"/>
        <v>3000000</v>
      </c>
      <c r="N13" s="133">
        <f>_xll.qlYieldTSDiscount($C$10,H13,TRUE)</f>
        <v>0.80291712725255215</v>
      </c>
      <c r="O13" s="131">
        <f t="shared" si="4"/>
        <v>2408751.3817576566</v>
      </c>
      <c r="Q13" s="253"/>
    </row>
    <row r="14" spans="2:17">
      <c r="E14" s="7"/>
      <c r="F14" s="124">
        <v>46691</v>
      </c>
      <c r="G14" s="8" t="b">
        <f>_xll.qlCalendarIsHoliday("Target",F14)</f>
        <v>1</v>
      </c>
      <c r="H14" s="9">
        <f>_xll.qlCalendarAdjust("Target",F14,"Modified Following")</f>
        <v>46689</v>
      </c>
      <c r="I14" s="127">
        <f t="shared" si="1"/>
        <v>30</v>
      </c>
      <c r="J14" s="129">
        <f t="shared" si="2"/>
        <v>29</v>
      </c>
      <c r="K14" s="10">
        <f t="shared" si="3"/>
        <v>0.99722222222222223</v>
      </c>
      <c r="L14" s="74">
        <v>0.03</v>
      </c>
      <c r="M14" s="131">
        <f t="shared" si="0"/>
        <v>2991666.6666666665</v>
      </c>
      <c r="N14" s="133">
        <f>_xll.qlYieldTSDiscount($C$10,H14,TRUE)</f>
        <v>0.77053097934470249</v>
      </c>
      <c r="O14" s="131">
        <f t="shared" si="4"/>
        <v>2305171.8465395682</v>
      </c>
      <c r="Q14" s="253"/>
    </row>
    <row r="15" spans="2:17">
      <c r="E15" s="7"/>
      <c r="F15" s="124">
        <v>47057</v>
      </c>
      <c r="G15" s="119" t="b">
        <f>_xll.qlCalendarIsHoliday("Target",F15)</f>
        <v>0</v>
      </c>
      <c r="H15" s="124">
        <f>_xll.qlCalendarAdjust("Target",F15,"Modified Following")</f>
        <v>47057</v>
      </c>
      <c r="I15" s="127">
        <f t="shared" si="1"/>
        <v>29</v>
      </c>
      <c r="J15" s="129">
        <f t="shared" si="2"/>
        <v>31</v>
      </c>
      <c r="K15" s="10">
        <f t="shared" si="3"/>
        <v>1.0055555555555555</v>
      </c>
      <c r="L15" s="74">
        <v>0.03</v>
      </c>
      <c r="M15" s="131">
        <f t="shared" si="0"/>
        <v>3016666.6666666665</v>
      </c>
      <c r="N15" s="133">
        <f>_xll.qlYieldTSDiscount($C$10,H15,TRUE)</f>
        <v>0.73714460991508002</v>
      </c>
      <c r="O15" s="131">
        <f t="shared" si="4"/>
        <v>2223719.5732438248</v>
      </c>
      <c r="Q15" s="253"/>
    </row>
    <row r="16" spans="2:17">
      <c r="E16" s="7"/>
      <c r="F16" s="124">
        <v>47422</v>
      </c>
      <c r="G16" s="119" t="b">
        <f>_xll.qlCalendarIsHoliday("Target",F16)</f>
        <v>0</v>
      </c>
      <c r="H16" s="124">
        <f>_xll.qlCalendarAdjust("Target",F16,"Modified Following")</f>
        <v>47422</v>
      </c>
      <c r="I16" s="11">
        <f t="shared" si="1"/>
        <v>30</v>
      </c>
      <c r="J16" s="129">
        <f t="shared" si="2"/>
        <v>30</v>
      </c>
      <c r="K16" s="130">
        <f t="shared" si="3"/>
        <v>1</v>
      </c>
      <c r="L16" s="74">
        <v>0.03</v>
      </c>
      <c r="M16" s="131">
        <f t="shared" si="0"/>
        <v>3000000</v>
      </c>
      <c r="N16" s="133">
        <f>_xll.qlYieldTSDiscount($C$10,H16,TRUE)</f>
        <v>0.7037021236514388</v>
      </c>
      <c r="O16" s="131">
        <f t="shared" si="4"/>
        <v>2111106.3709543166</v>
      </c>
      <c r="Q16" s="253"/>
    </row>
    <row r="17" spans="5:17">
      <c r="E17" s="7"/>
      <c r="F17" s="124">
        <v>47787</v>
      </c>
      <c r="G17" s="119" t="b">
        <f>_xll.qlCalendarIsHoliday("Target",F17)</f>
        <v>0</v>
      </c>
      <c r="H17" s="124">
        <f>_xll.qlCalendarAdjust("Target",F17,"Modified Following")</f>
        <v>47787</v>
      </c>
      <c r="I17" s="11">
        <f t="shared" si="1"/>
        <v>30</v>
      </c>
      <c r="J17" s="129">
        <f t="shared" si="2"/>
        <v>30</v>
      </c>
      <c r="K17" s="130">
        <f t="shared" si="3"/>
        <v>1</v>
      </c>
      <c r="L17" s="74">
        <v>0.03</v>
      </c>
      <c r="M17" s="131">
        <f t="shared" si="0"/>
        <v>3000000</v>
      </c>
      <c r="N17" s="133">
        <f>_xll.qlYieldTSDiscount($C$10,H17,TRUE)</f>
        <v>0.67107976276971903</v>
      </c>
      <c r="O17" s="131">
        <f t="shared" si="4"/>
        <v>2013239.2883091571</v>
      </c>
      <c r="Q17" s="253"/>
    </row>
    <row r="18" spans="5:17">
      <c r="E18" s="7"/>
      <c r="F18" s="124">
        <v>48152</v>
      </c>
      <c r="G18" s="119" t="b">
        <f>_xll.qlCalendarIsHoliday("Target",F18)</f>
        <v>0</v>
      </c>
      <c r="H18" s="124">
        <f>_xll.qlCalendarAdjust("Target",F18,"Modified Following")</f>
        <v>48152</v>
      </c>
      <c r="I18" s="11">
        <f t="shared" si="1"/>
        <v>30</v>
      </c>
      <c r="J18" s="129">
        <f t="shared" si="2"/>
        <v>30</v>
      </c>
      <c r="K18" s="130">
        <f t="shared" si="3"/>
        <v>1</v>
      </c>
      <c r="L18" s="74">
        <v>0.03</v>
      </c>
      <c r="M18" s="131">
        <f t="shared" si="0"/>
        <v>3000000</v>
      </c>
      <c r="N18" s="133">
        <f>_xll.qlYieldTSDiscount($C$10,H18,TRUE)</f>
        <v>0.63995529599139767</v>
      </c>
      <c r="O18" s="131">
        <f t="shared" si="4"/>
        <v>1919865.8879741931</v>
      </c>
      <c r="Q18" s="253"/>
    </row>
    <row r="19" spans="5:17">
      <c r="E19" s="7"/>
      <c r="F19" s="124">
        <v>48518</v>
      </c>
      <c r="G19" s="8" t="b">
        <f>_xll.qlCalendarIsHoliday("Target",F19)</f>
        <v>1</v>
      </c>
      <c r="H19" s="9">
        <f>_xll.qlCalendarAdjust("Target",F19,"Modified Following")</f>
        <v>48516</v>
      </c>
      <c r="I19" s="11">
        <f t="shared" si="1"/>
        <v>30</v>
      </c>
      <c r="J19" s="129">
        <f t="shared" si="2"/>
        <v>29</v>
      </c>
      <c r="K19" s="10">
        <f t="shared" si="3"/>
        <v>0.99722222222222223</v>
      </c>
      <c r="L19" s="74">
        <v>0.03</v>
      </c>
      <c r="M19" s="131">
        <f t="shared" si="0"/>
        <v>2991666.6666666665</v>
      </c>
      <c r="N19" s="133">
        <f>_xll.qlYieldTSDiscount($C$10,H19,TRUE)</f>
        <v>0.61040636728143627</v>
      </c>
      <c r="O19" s="131">
        <f t="shared" si="4"/>
        <v>1826132.3821169634</v>
      </c>
      <c r="Q19" s="253"/>
    </row>
    <row r="20" spans="5:17">
      <c r="E20" s="7"/>
      <c r="F20" s="124">
        <v>48883</v>
      </c>
      <c r="G20" s="119" t="b">
        <f>_xll.qlCalendarIsHoliday("Target",F20)</f>
        <v>0</v>
      </c>
      <c r="H20" s="124">
        <f>_xll.qlCalendarAdjust("Target",F20,"Modified Following")</f>
        <v>48883</v>
      </c>
      <c r="I20" s="127">
        <f t="shared" si="1"/>
        <v>29</v>
      </c>
      <c r="J20" s="129">
        <f t="shared" si="2"/>
        <v>31</v>
      </c>
      <c r="K20" s="10">
        <f t="shared" si="3"/>
        <v>1.0055555555555555</v>
      </c>
      <c r="L20" s="74">
        <v>0.03</v>
      </c>
      <c r="M20" s="131">
        <f t="shared" si="0"/>
        <v>3016666.6666666665</v>
      </c>
      <c r="N20" s="133">
        <f>_xll.qlYieldTSDiscount($C$10,H20,TRUE)</f>
        <v>0.58209259842811967</v>
      </c>
      <c r="O20" s="131">
        <f t="shared" si="4"/>
        <v>1755979.3385914941</v>
      </c>
      <c r="Q20" s="253"/>
    </row>
    <row r="21" spans="5:17">
      <c r="E21" s="7"/>
      <c r="F21" s="124">
        <v>49248</v>
      </c>
      <c r="G21" s="119" t="b">
        <f>_xll.qlCalendarIsHoliday("Target",F21)</f>
        <v>0</v>
      </c>
      <c r="H21" s="124">
        <f>_xll.qlCalendarAdjust("Target",F21,"Modified Following")</f>
        <v>49248</v>
      </c>
      <c r="I21" s="11">
        <f t="shared" si="1"/>
        <v>30</v>
      </c>
      <c r="J21" s="129">
        <f t="shared" si="2"/>
        <v>30</v>
      </c>
      <c r="K21" s="130">
        <f t="shared" si="3"/>
        <v>1</v>
      </c>
      <c r="L21" s="74">
        <v>0.03</v>
      </c>
      <c r="M21" s="131">
        <f t="shared" si="0"/>
        <v>3000000</v>
      </c>
      <c r="N21" s="133">
        <f>_xll.qlYieldTSDiscount($C$10,H21,TRUE)</f>
        <v>0.55532901374071164</v>
      </c>
      <c r="O21" s="131">
        <f t="shared" si="4"/>
        <v>1665987.0412221348</v>
      </c>
      <c r="Q21" s="253"/>
    </row>
    <row r="22" spans="5:17">
      <c r="E22" s="7"/>
      <c r="F22" s="124">
        <v>49613</v>
      </c>
      <c r="G22" s="119" t="b">
        <f>_xll.qlCalendarIsHoliday("Target",F22)</f>
        <v>0</v>
      </c>
      <c r="H22" s="124">
        <f>_xll.qlCalendarAdjust("Target",F22,"Modified Following")</f>
        <v>49613</v>
      </c>
      <c r="I22" s="11">
        <f t="shared" si="1"/>
        <v>30</v>
      </c>
      <c r="J22" s="129">
        <f t="shared" si="2"/>
        <v>30</v>
      </c>
      <c r="K22" s="130">
        <f t="shared" si="3"/>
        <v>1</v>
      </c>
      <c r="L22" s="74">
        <v>0.03</v>
      </c>
      <c r="M22" s="131">
        <f t="shared" si="0"/>
        <v>3000000</v>
      </c>
      <c r="N22" s="133">
        <f>_xll.qlYieldTSDiscount($C$10,H22,TRUE)</f>
        <v>0.52995574593751293</v>
      </c>
      <c r="O22" s="131">
        <f t="shared" si="4"/>
        <v>1589867.2378125389</v>
      </c>
      <c r="Q22" s="253"/>
    </row>
    <row r="23" spans="5:17">
      <c r="E23" s="7"/>
      <c r="F23" s="124">
        <v>49979</v>
      </c>
      <c r="G23" s="119" t="b">
        <f>_xll.qlCalendarIsHoliday("Target",F23)</f>
        <v>0</v>
      </c>
      <c r="H23" s="124">
        <f>_xll.qlCalendarAdjust("Target",F23,"Modified Following")</f>
        <v>49979</v>
      </c>
      <c r="I23" s="11">
        <f t="shared" si="1"/>
        <v>30</v>
      </c>
      <c r="J23" s="129">
        <f t="shared" si="2"/>
        <v>30</v>
      </c>
      <c r="K23" s="130">
        <f t="shared" si="3"/>
        <v>1</v>
      </c>
      <c r="L23" s="74">
        <v>0.03</v>
      </c>
      <c r="M23" s="131">
        <f t="shared" si="0"/>
        <v>3000000</v>
      </c>
      <c r="N23" s="133">
        <f>_xll.qlYieldTSDiscount($C$10,H23,TRUE)</f>
        <v>0.50588003182949759</v>
      </c>
      <c r="O23" s="131">
        <f t="shared" si="4"/>
        <v>1517640.0954884929</v>
      </c>
      <c r="Q23" s="253"/>
    </row>
    <row r="24" spans="5:17">
      <c r="E24" s="7"/>
      <c r="F24" s="124">
        <v>50344</v>
      </c>
      <c r="G24" s="8" t="b">
        <f>_xll.qlCalendarIsHoliday("Target",F24)</f>
        <v>1</v>
      </c>
      <c r="H24" s="9">
        <f>_xll.qlCalendarAdjust("Target",F24,"Modified Following")</f>
        <v>50343</v>
      </c>
      <c r="I24" s="11">
        <f t="shared" si="1"/>
        <v>30</v>
      </c>
      <c r="J24" s="129">
        <f t="shared" si="2"/>
        <v>30</v>
      </c>
      <c r="K24" s="130">
        <f t="shared" si="3"/>
        <v>1</v>
      </c>
      <c r="L24" s="74">
        <v>0.03</v>
      </c>
      <c r="M24" s="131">
        <f t="shared" si="0"/>
        <v>3000000</v>
      </c>
      <c r="N24" s="133">
        <f>_xll.qlYieldTSDiscount($C$10,H24,TRUE)</f>
        <v>0.48321338453119711</v>
      </c>
      <c r="O24" s="131">
        <f t="shared" si="4"/>
        <v>1449640.1535935914</v>
      </c>
      <c r="Q24" s="253"/>
    </row>
    <row r="25" spans="5:17">
      <c r="E25" s="7"/>
      <c r="F25" s="124">
        <v>50709</v>
      </c>
      <c r="G25" s="8" t="b">
        <f>_xll.qlCalendarIsHoliday("Target",F25)</f>
        <v>1</v>
      </c>
      <c r="H25" s="9">
        <f>_xll.qlCalendarAdjust("Target",F25,"Modified Following")</f>
        <v>50707</v>
      </c>
      <c r="I25" s="127">
        <f t="shared" si="1"/>
        <v>30</v>
      </c>
      <c r="J25" s="129">
        <f t="shared" si="2"/>
        <v>29</v>
      </c>
      <c r="K25" s="10">
        <f t="shared" si="3"/>
        <v>0.99722222222222223</v>
      </c>
      <c r="L25" s="74">
        <v>0.03</v>
      </c>
      <c r="M25" s="131">
        <f t="shared" si="0"/>
        <v>2991666.6666666665</v>
      </c>
      <c r="N25" s="133">
        <f>_xll.qlYieldTSDiscount($C$10,H25,TRUE)</f>
        <v>0.46174589800467913</v>
      </c>
      <c r="O25" s="131">
        <f t="shared" si="4"/>
        <v>1381389.811530665</v>
      </c>
      <c r="Q25" s="253"/>
    </row>
    <row r="26" spans="5:17" ht="13">
      <c r="E26" s="12" t="s">
        <v>33</v>
      </c>
      <c r="F26" s="125">
        <v>51074</v>
      </c>
      <c r="G26" s="146" t="b">
        <f>_xll.qlCalendarIsHoliday("Target",F26)</f>
        <v>0</v>
      </c>
      <c r="H26" s="125">
        <f>_xll.qlCalendarAdjust("Target",F26,"Modified Following")</f>
        <v>51074</v>
      </c>
      <c r="I26" s="128">
        <f t="shared" si="1"/>
        <v>29</v>
      </c>
      <c r="J26" s="121">
        <f t="shared" si="2"/>
        <v>31</v>
      </c>
      <c r="K26" s="13">
        <f t="shared" si="3"/>
        <v>1.0055555555555555</v>
      </c>
      <c r="L26" s="75">
        <v>0.03</v>
      </c>
      <c r="M26" s="132">
        <f t="shared" si="0"/>
        <v>3016666.6666666665</v>
      </c>
      <c r="N26" s="134">
        <f>_xll.qlYieldTSDiscount($C$10,H26,TRUE)</f>
        <v>0.4412444856573654</v>
      </c>
      <c r="O26" s="132">
        <f t="shared" si="4"/>
        <v>1331087.5317330523</v>
      </c>
      <c r="Q26" s="253"/>
    </row>
    <row r="30" spans="5:17">
      <c r="E30" s="1"/>
      <c r="H30" s="1"/>
      <c r="I30" s="1"/>
    </row>
    <row r="31" spans="5:17">
      <c r="E31" s="1"/>
      <c r="H31" s="1"/>
      <c r="I31" s="1"/>
    </row>
    <row r="32" spans="5:17">
      <c r="E32" s="1"/>
      <c r="H32" s="1"/>
      <c r="I32" s="1"/>
    </row>
    <row r="33" spans="5:9">
      <c r="E33" s="1"/>
      <c r="H33" s="1"/>
      <c r="I33" s="1"/>
    </row>
    <row r="34" spans="5:9">
      <c r="E34" s="1"/>
      <c r="H34" s="1"/>
      <c r="I34" s="1"/>
    </row>
    <row r="35" spans="5:9">
      <c r="E35" s="1"/>
      <c r="H35" s="1"/>
      <c r="I35" s="1"/>
    </row>
    <row r="36" spans="5:9">
      <c r="E36" s="1"/>
      <c r="H36" s="1"/>
      <c r="I36" s="1"/>
    </row>
    <row r="37" spans="5:9">
      <c r="E37" s="1"/>
      <c r="H37" s="1"/>
      <c r="I37" s="1"/>
    </row>
    <row r="38" spans="5:9">
      <c r="E38" s="1"/>
      <c r="H38" s="1"/>
      <c r="I38" s="1"/>
    </row>
    <row r="39" spans="5:9">
      <c r="E39" s="1"/>
      <c r="H39" s="1"/>
      <c r="I39" s="1"/>
    </row>
    <row r="40" spans="5:9">
      <c r="E40" s="1"/>
      <c r="H40" s="1"/>
      <c r="I40" s="1"/>
    </row>
    <row r="41" spans="5:9">
      <c r="E41" s="1"/>
      <c r="H41" s="1"/>
      <c r="I41" s="1"/>
    </row>
    <row r="42" spans="5:9">
      <c r="E42" s="1"/>
      <c r="H42" s="1"/>
      <c r="I42" s="1"/>
    </row>
    <row r="43" spans="5:9">
      <c r="E43" s="1"/>
      <c r="H43" s="1"/>
      <c r="I43" s="1"/>
    </row>
    <row r="44" spans="5:9">
      <c r="E44" s="1"/>
      <c r="H44" s="1"/>
      <c r="I44" s="1"/>
    </row>
    <row r="45" spans="5:9">
      <c r="E45" s="1"/>
      <c r="H45" s="1"/>
      <c r="I45" s="1"/>
    </row>
    <row r="46" spans="5:9">
      <c r="E46" s="1"/>
      <c r="H46" s="1"/>
      <c r="I46" s="1"/>
    </row>
    <row r="47" spans="5:9">
      <c r="E47" s="1"/>
      <c r="H47" s="1"/>
      <c r="I47" s="1"/>
    </row>
    <row r="48" spans="5:9">
      <c r="E48" s="1"/>
      <c r="H48" s="1"/>
      <c r="I48" s="1"/>
    </row>
    <row r="49" spans="5:9">
      <c r="E49" s="1"/>
      <c r="H49" s="1"/>
      <c r="I49" s="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2:F370"/>
  <sheetViews>
    <sheetView showGridLines="0" zoomScale="85" zoomScaleNormal="85" workbookViewId="0">
      <selection activeCell="C7" sqref="C7"/>
    </sheetView>
  </sheetViews>
  <sheetFormatPr defaultRowHeight="12.5"/>
  <cols>
    <col min="2" max="2" width="15.6328125" customWidth="1"/>
    <col min="3" max="3" width="14.453125" bestFit="1" customWidth="1"/>
    <col min="4" max="4" width="14.6328125" bestFit="1" customWidth="1"/>
    <col min="5" max="5" width="13.6328125" bestFit="1" customWidth="1"/>
    <col min="6" max="6" width="16.54296875" bestFit="1" customWidth="1"/>
  </cols>
  <sheetData>
    <row r="2" spans="2:6" ht="13">
      <c r="B2" s="83" t="s">
        <v>85</v>
      </c>
      <c r="C2" s="136" t="str">
        <f>YieldCurve!C3</f>
        <v>obj_00041#0013</v>
      </c>
    </row>
    <row r="3" spans="2:6" ht="13">
      <c r="B3" s="83" t="s">
        <v>86</v>
      </c>
      <c r="C3" s="137">
        <v>3.0000000000000001E-3</v>
      </c>
    </row>
    <row r="4" spans="2:6" ht="13">
      <c r="B4" s="83" t="s">
        <v>88</v>
      </c>
      <c r="C4" s="98" t="str">
        <f>_xll.qlFlatForward(,,"Target",C3)</f>
        <v>obj_0002b#0007</v>
      </c>
    </row>
    <row r="5" spans="2:6" ht="13">
      <c r="B5" s="83" t="s">
        <v>87</v>
      </c>
      <c r="C5" s="98" t="str">
        <f>_xll.qlSpreadYTS(,C2,C4)</f>
        <v>obj_00058#0013</v>
      </c>
    </row>
    <row r="8" spans="2:6" ht="13">
      <c r="B8" s="83" t="s">
        <v>0</v>
      </c>
    </row>
    <row r="9" spans="2:6" ht="13">
      <c r="B9" s="99" t="s">
        <v>0</v>
      </c>
      <c r="C9" s="99" t="s">
        <v>17</v>
      </c>
      <c r="D9" s="99" t="s">
        <v>89</v>
      </c>
      <c r="E9" s="99" t="s">
        <v>88</v>
      </c>
      <c r="F9" s="99" t="s">
        <v>90</v>
      </c>
    </row>
    <row r="10" spans="2:6">
      <c r="B10" s="107">
        <f>_xll.qlSettingsEvaluationDate()</f>
        <v>43739</v>
      </c>
      <c r="C10" s="108">
        <f>(B10-$B$10)/365</f>
        <v>0</v>
      </c>
      <c r="D10" s="76">
        <f>_xll.qlYieldTSForwardRate($C$2,B10,B10,"Act/365 (Fixed)","Continuous")</f>
        <v>2.7000000001030824E-2</v>
      </c>
      <c r="E10" s="138">
        <f>E11</f>
        <v>3.0000000002816584E-3</v>
      </c>
      <c r="F10" s="76">
        <f>_xll.qlYieldTSForwardRate($C$5,B10,B10,"Act/365 (Fixed)","Continuous")</f>
        <v>2.9999999999267082E-2</v>
      </c>
    </row>
    <row r="11" spans="2:6">
      <c r="B11" s="111">
        <f>_xll.qlCalendarAdvance("Null",B10,"1m")</f>
        <v>43770</v>
      </c>
      <c r="C11" s="112">
        <f t="shared" ref="C11:C74" si="0">(B11-$B$10)/365</f>
        <v>8.4931506849315067E-2</v>
      </c>
      <c r="D11" s="77">
        <f>_xll.qlYieldTSForwardRate($C$2,B11,B11,"Act/365 (Fixed)","Continuous")</f>
        <v>2.7000000001030824E-2</v>
      </c>
      <c r="E11" s="77">
        <f>_xll.qlYieldTSForwardRate($C$4,B11,B11,"Act/365 (Fixed)","Continuous")</f>
        <v>3.0000000002816584E-3</v>
      </c>
      <c r="F11" s="77">
        <f>_xll.qlYieldTSForwardRate($C$5,B11,B11,"Act/365 (Fixed)","Continuous")</f>
        <v>2.9999999999267082E-2</v>
      </c>
    </row>
    <row r="12" spans="2:6">
      <c r="B12" s="111">
        <f>_xll.qlCalendarAdvance("Null",B11,"1m")</f>
        <v>43800</v>
      </c>
      <c r="C12" s="112">
        <f t="shared" si="0"/>
        <v>0.16712328767123288</v>
      </c>
      <c r="D12" s="77">
        <f>_xll.qlYieldTSForwardRate($C$2,B12,B12,"Act/365 (Fixed)","Continuous")</f>
        <v>2.6999999998810389E-2</v>
      </c>
      <c r="E12" s="77">
        <f>_xll.qlYieldTSForwardRate($C$4,B12,B12,"Act/365 (Fixed)","Continuous")</f>
        <v>3.0000000002816584E-3</v>
      </c>
      <c r="F12" s="77">
        <f>_xll.qlYieldTSForwardRate($C$5,B12,B12,"Act/365 (Fixed)","Continuous")</f>
        <v>2.9999999999267082E-2</v>
      </c>
    </row>
    <row r="13" spans="2:6">
      <c r="B13" s="111">
        <f>_xll.qlCalendarAdvance("Null",B12,"1m")</f>
        <v>43831</v>
      </c>
      <c r="C13" s="112">
        <f t="shared" si="0"/>
        <v>0.25205479452054796</v>
      </c>
      <c r="D13" s="77">
        <f>_xll.qlYieldTSForwardRate($C$2,B13,B13,"Act/365 (Fixed)","Continuous")</f>
        <v>2.6999999998810389E-2</v>
      </c>
      <c r="E13" s="77">
        <f>_xll.qlYieldTSForwardRate($C$4,B13,B13,"Act/365 (Fixed)","Continuous")</f>
        <v>2.9999999980612128E-3</v>
      </c>
      <c r="F13" s="77">
        <f>_xll.qlYieldTSForwardRate($C$5,B13,B13,"Act/365 (Fixed)","Continuous")</f>
        <v>2.9999999999267082E-2</v>
      </c>
    </row>
    <row r="14" spans="2:6">
      <c r="B14" s="111">
        <f>_xll.qlCalendarAdvance("Null",B13,"1m")</f>
        <v>43862</v>
      </c>
      <c r="C14" s="112">
        <f t="shared" si="0"/>
        <v>0.33698630136986302</v>
      </c>
      <c r="D14" s="77">
        <f>_xll.qlYieldTSForwardRate($C$2,B14,B14,"Act/365 (Fixed)","Continuous")</f>
        <v>2.7000000001030824E-2</v>
      </c>
      <c r="E14" s="77">
        <f>_xll.qlYieldTSForwardRate($C$4,B14,B14,"Act/365 (Fixed)","Continuous")</f>
        <v>3.0000000002816584E-3</v>
      </c>
      <c r="F14" s="77">
        <f>_xll.qlYieldTSForwardRate($C$5,B14,B14,"Act/365 (Fixed)","Continuous")</f>
        <v>2.9999999999267082E-2</v>
      </c>
    </row>
    <row r="15" spans="2:6">
      <c r="B15" s="111">
        <f>_xll.qlCalendarAdvance("Null",B14,"1m")</f>
        <v>43891</v>
      </c>
      <c r="C15" s="112">
        <f t="shared" si="0"/>
        <v>0.41643835616438357</v>
      </c>
      <c r="D15" s="77">
        <f>_xll.qlYieldTSForwardRate($C$2,B15,B15,"Act/365 (Fixed)","Continuous")</f>
        <v>2.7000000001030824E-2</v>
      </c>
      <c r="E15" s="77">
        <f>_xll.qlYieldTSForwardRate($C$4,B15,B15,"Act/365 (Fixed)","Continuous")</f>
        <v>2.9999999980612128E-3</v>
      </c>
      <c r="F15" s="77">
        <f>_xll.qlYieldTSForwardRate($C$5,B15,B15,"Act/365 (Fixed)","Continuous")</f>
        <v>2.9999999999267082E-2</v>
      </c>
    </row>
    <row r="16" spans="2:6">
      <c r="B16" s="111">
        <f>_xll.qlCalendarAdvance("Null",B15,"1m")</f>
        <v>43922</v>
      </c>
      <c r="C16" s="112">
        <f t="shared" si="0"/>
        <v>0.50136986301369868</v>
      </c>
      <c r="D16" s="77">
        <f>_xll.qlYieldTSForwardRate($C$2,B16,B16,"Act/365 (Fixed)","Continuous")</f>
        <v>2.7000000001030824E-2</v>
      </c>
      <c r="E16" s="77">
        <f>_xll.qlYieldTSForwardRate($C$4,B16,B16,"Act/365 (Fixed)","Continuous")</f>
        <v>3.0000000002816584E-3</v>
      </c>
      <c r="F16" s="77">
        <f>_xll.qlYieldTSForwardRate($C$5,B16,B16,"Act/365 (Fixed)","Continuous")</f>
        <v>3.0000000001487521E-2</v>
      </c>
    </row>
    <row r="17" spans="2:6">
      <c r="B17" s="111">
        <f>_xll.qlCalendarAdvance("Null",B16,"1m")</f>
        <v>43952</v>
      </c>
      <c r="C17" s="112">
        <f t="shared" si="0"/>
        <v>0.58356164383561648</v>
      </c>
      <c r="D17" s="77">
        <f>_xll.qlYieldTSForwardRate($C$2,B17,B17,"Act/365 (Fixed)","Continuous")</f>
        <v>2.6999999998810389E-2</v>
      </c>
      <c r="E17" s="77">
        <f>_xll.qlYieldTSForwardRate($C$4,B17,B17,"Act/365 (Fixed)","Continuous")</f>
        <v>3.0000000002816584E-3</v>
      </c>
      <c r="F17" s="77">
        <f>_xll.qlYieldTSForwardRate($C$5,B17,B17,"Act/365 (Fixed)","Continuous")</f>
        <v>2.9999999999267082E-2</v>
      </c>
    </row>
    <row r="18" spans="2:6">
      <c r="B18" s="111">
        <f>_xll.qlCalendarAdvance("Null",B17,"1m")</f>
        <v>43983</v>
      </c>
      <c r="C18" s="112">
        <f t="shared" si="0"/>
        <v>0.66849315068493154</v>
      </c>
      <c r="D18" s="77">
        <f>_xll.qlYieldTSForwardRate($C$2,B18,B18,"Act/365 (Fixed)","Continuous")</f>
        <v>2.6999999998810389E-2</v>
      </c>
      <c r="E18" s="77">
        <f>_xll.qlYieldTSForwardRate($C$4,B18,B18,"Act/365 (Fixed)","Continuous")</f>
        <v>3.0000000002816584E-3</v>
      </c>
      <c r="F18" s="77">
        <f>_xll.qlYieldTSForwardRate($C$5,B18,B18,"Act/365 (Fixed)","Continuous")</f>
        <v>2.9999999999267082E-2</v>
      </c>
    </row>
    <row r="19" spans="2:6">
      <c r="B19" s="111">
        <f>_xll.qlCalendarAdvance("Null",B18,"1m")</f>
        <v>44013</v>
      </c>
      <c r="C19" s="112">
        <f t="shared" si="0"/>
        <v>0.75068493150684934</v>
      </c>
      <c r="D19" s="77">
        <f>_xll.qlYieldTSForwardRate($C$2,B19,B19,"Act/365 (Fixed)","Continuous")</f>
        <v>2.7000000001030824E-2</v>
      </c>
      <c r="E19" s="77">
        <f>_xll.qlYieldTSForwardRate($C$4,B19,B19,"Act/365 (Fixed)","Continuous")</f>
        <v>3.0000000002816584E-3</v>
      </c>
      <c r="F19" s="77">
        <f>_xll.qlYieldTSForwardRate($C$5,B19,B19,"Act/365 (Fixed)","Continuous")</f>
        <v>3.0000000001487521E-2</v>
      </c>
    </row>
    <row r="20" spans="2:6">
      <c r="B20" s="111">
        <f>_xll.qlCalendarAdvance("Null",B19,"1m")</f>
        <v>44044</v>
      </c>
      <c r="C20" s="112">
        <f t="shared" si="0"/>
        <v>0.83561643835616439</v>
      </c>
      <c r="D20" s="77">
        <f>_xll.qlYieldTSForwardRate($C$2,B20,B20,"Act/365 (Fixed)","Continuous")</f>
        <v>2.6999999998810389E-2</v>
      </c>
      <c r="E20" s="77">
        <f>_xll.qlYieldTSForwardRate($C$4,B20,B20,"Act/365 (Fixed)","Continuous")</f>
        <v>2.9999999980612128E-3</v>
      </c>
      <c r="F20" s="77">
        <f>_xll.qlYieldTSForwardRate($C$5,B20,B20,"Act/365 (Fixed)","Continuous")</f>
        <v>2.9999999997046643E-2</v>
      </c>
    </row>
    <row r="21" spans="2:6">
      <c r="B21" s="111">
        <f>_xll.qlCalendarAdvance("Null",B20,"1m")</f>
        <v>44075</v>
      </c>
      <c r="C21" s="112">
        <f t="shared" si="0"/>
        <v>0.92054794520547945</v>
      </c>
      <c r="D21" s="77">
        <f>_xll.qlYieldTSForwardRate($C$2,B21,B21,"Act/365 (Fixed)","Continuous")</f>
        <v>2.7000000001030824E-2</v>
      </c>
      <c r="E21" s="77">
        <f>_xll.qlYieldTSForwardRate($C$4,B21,B21,"Act/365 (Fixed)","Continuous")</f>
        <v>3.0000000002816584E-3</v>
      </c>
      <c r="F21" s="77">
        <f>_xll.qlYieldTSForwardRate($C$5,B21,B21,"Act/365 (Fixed)","Continuous")</f>
        <v>3.0000000001487521E-2</v>
      </c>
    </row>
    <row r="22" spans="2:6">
      <c r="B22" s="111">
        <f>_xll.qlCalendarAdvance("Null",B21,"1m")</f>
        <v>44105</v>
      </c>
      <c r="C22" s="112">
        <f t="shared" si="0"/>
        <v>1.0027397260273974</v>
      </c>
      <c r="D22" s="77">
        <f>_xll.qlYieldTSForwardRate($C$2,B22,B22,"Act/365 (Fixed)","Continuous")</f>
        <v>2.7000006249349139E-2</v>
      </c>
      <c r="E22" s="77">
        <f>_xll.qlYieldTSForwardRate($C$4,B22,B22,"Act/365 (Fixed)","Continuous")</f>
        <v>2.9999999980612128E-3</v>
      </c>
      <c r="F22" s="77">
        <f>_xll.qlYieldTSForwardRate($C$5,B22,B22,"Act/365 (Fixed)","Continuous")</f>
        <v>3.0000006249803958E-2</v>
      </c>
    </row>
    <row r="23" spans="2:6">
      <c r="B23" s="111">
        <f>_xll.qlCalendarAdvance("Null",B22,"1m")</f>
        <v>44136</v>
      </c>
      <c r="C23" s="112">
        <f t="shared" si="0"/>
        <v>1.0876712328767124</v>
      </c>
      <c r="D23" s="77">
        <f>_xll.qlYieldTSForwardRate($C$2,B23,B23,"Act/365 (Fixed)","Continuous")</f>
        <v>2.7042465752661879E-2</v>
      </c>
      <c r="E23" s="77">
        <f>_xll.qlYieldTSForwardRate($C$4,B23,B23,"Act/365 (Fixed)","Continuous")</f>
        <v>3.0000000002816584E-3</v>
      </c>
      <c r="F23" s="77">
        <f>_xll.qlYieldTSForwardRate($C$5,B23,B23,"Act/365 (Fixed)","Continuous")</f>
        <v>3.0042465753701487E-2</v>
      </c>
    </row>
    <row r="24" spans="2:6">
      <c r="B24" s="111">
        <f>_xll.qlCalendarAdvance("Null",B23,"1m")</f>
        <v>44166</v>
      </c>
      <c r="C24" s="112">
        <f t="shared" si="0"/>
        <v>1.1698630136986301</v>
      </c>
      <c r="D24" s="77">
        <f>_xll.qlYieldTSForwardRate($C$2,B24,B24,"Act/365 (Fixed)","Continuous")</f>
        <v>2.708356164360071E-2</v>
      </c>
      <c r="E24" s="77">
        <f>_xll.qlYieldTSForwardRate($C$4,B24,B24,"Act/365 (Fixed)","Continuous")</f>
        <v>3.0000000002816584E-3</v>
      </c>
      <c r="F24" s="77">
        <f>_xll.qlYieldTSForwardRate($C$5,B24,B24,"Act/365 (Fixed)","Continuous")</f>
        <v>3.0083561643413751E-2</v>
      </c>
    </row>
    <row r="25" spans="2:6">
      <c r="B25" s="111">
        <f>_xll.qlCalendarAdvance("Null",B24,"1m")</f>
        <v>44197</v>
      </c>
      <c r="C25" s="112">
        <f t="shared" si="0"/>
        <v>1.2547945205479452</v>
      </c>
      <c r="D25" s="77">
        <f>_xll.qlYieldTSForwardRate($C$2,B25,B25,"Act/365 (Fixed)","Continuous")</f>
        <v>2.7126027397097355E-2</v>
      </c>
      <c r="E25" s="77">
        <f>_xll.qlYieldTSForwardRate($C$4,B25,B25,"Act/365 (Fixed)","Continuous")</f>
        <v>3.0000000002816584E-3</v>
      </c>
      <c r="F25" s="77">
        <f>_xll.qlYieldTSForwardRate($C$5,B25,B25,"Act/365 (Fixed)","Continuous")</f>
        <v>3.0126027395272863E-2</v>
      </c>
    </row>
    <row r="26" spans="2:6">
      <c r="B26" s="111">
        <f>_xll.qlCalendarAdvance("Null",B25,"1m")</f>
        <v>44228</v>
      </c>
      <c r="C26" s="112">
        <f t="shared" si="0"/>
        <v>1.3397260273972602</v>
      </c>
      <c r="D26" s="77">
        <f>_xll.qlYieldTSForwardRate($C$2,B26,B26,"Act/365 (Fixed)","Continuous")</f>
        <v>2.7168493150413663E-2</v>
      </c>
      <c r="E26" s="77">
        <f>_xll.qlYieldTSForwardRate($C$4,B26,B26,"Act/365 (Fixed)","Continuous")</f>
        <v>3.0000000002816584E-3</v>
      </c>
      <c r="F26" s="77">
        <f>_xll.qlYieldTSForwardRate($C$5,B26,B26,"Act/365 (Fixed)","Continuous")</f>
        <v>3.0168493149172085E-2</v>
      </c>
    </row>
    <row r="27" spans="2:6">
      <c r="B27" s="111">
        <f>_xll.qlCalendarAdvance("Null",B26,"1m")</f>
        <v>44256</v>
      </c>
      <c r="C27" s="112">
        <f t="shared" si="0"/>
        <v>1.4164383561643836</v>
      </c>
      <c r="D27" s="77">
        <f>_xll.qlYieldTSForwardRate($C$2,B27,B27,"Act/365 (Fixed)","Continuous")</f>
        <v>2.7206849315403885E-2</v>
      </c>
      <c r="E27" s="77">
        <f>_xll.qlYieldTSForwardRate($C$4,B27,B27,"Act/365 (Fixed)","Continuous")</f>
        <v>3.0000000002816584E-3</v>
      </c>
      <c r="F27" s="77">
        <f>_xll.qlYieldTSForwardRate($C$5,B27,B27,"Act/365 (Fixed)","Continuous")</f>
        <v>3.0206849315978095E-2</v>
      </c>
    </row>
    <row r="28" spans="2:6">
      <c r="B28" s="111">
        <f>_xll.qlCalendarAdvance("Null",B27,"1m")</f>
        <v>44287</v>
      </c>
      <c r="C28" s="112">
        <f t="shared" si="0"/>
        <v>1.5013698630136987</v>
      </c>
      <c r="D28" s="77">
        <f>_xll.qlYieldTSForwardRate($C$2,B28,B28,"Act/365 (Fixed)","Continuous")</f>
        <v>2.7249315068376977E-2</v>
      </c>
      <c r="E28" s="77">
        <f>_xll.qlYieldTSForwardRate($C$4,B28,B28,"Act/365 (Fixed)","Continuous")</f>
        <v>2.9999999980612128E-3</v>
      </c>
      <c r="F28" s="77">
        <f>_xll.qlYieldTSForwardRate($C$5,B28,B28,"Act/365 (Fixed)","Continuous")</f>
        <v>3.024931506731366E-2</v>
      </c>
    </row>
    <row r="29" spans="2:6">
      <c r="B29" s="111">
        <f>_xll.qlCalendarAdvance("Null",B28,"1m")</f>
        <v>44317</v>
      </c>
      <c r="C29" s="112">
        <f t="shared" si="0"/>
        <v>1.5835616438356164</v>
      </c>
      <c r="D29" s="77">
        <f>_xll.qlYieldTSForwardRate($C$2,B29,B29,"Act/365 (Fixed)","Continuous")</f>
        <v>2.7290410958465742E-2</v>
      </c>
      <c r="E29" s="77">
        <f>_xll.qlYieldTSForwardRate($C$4,B29,B29,"Act/365 (Fixed)","Continuous")</f>
        <v>2.9999999980612128E-3</v>
      </c>
      <c r="F29" s="77">
        <f>_xll.qlYieldTSForwardRate($C$5,B29,B29,"Act/365 (Fixed)","Continuous")</f>
        <v>3.02904109583963E-2</v>
      </c>
    </row>
    <row r="30" spans="2:6">
      <c r="B30" s="111">
        <f>_xll.qlCalendarAdvance("Null",B29,"1m")</f>
        <v>44348</v>
      </c>
      <c r="C30" s="112">
        <f t="shared" si="0"/>
        <v>1.6684931506849314</v>
      </c>
      <c r="D30" s="77">
        <f>_xll.qlYieldTSForwardRate($C$2,B30,B30,"Act/365 (Fixed)","Continuous")</f>
        <v>2.7332876713304421E-2</v>
      </c>
      <c r="E30" s="77">
        <f>_xll.qlYieldTSForwardRate($C$4,B30,B30,"Act/365 (Fixed)","Continuous")</f>
        <v>2.9999999980612128E-3</v>
      </c>
      <c r="F30" s="77">
        <f>_xll.qlYieldTSForwardRate($C$5,B30,B30,"Act/365 (Fixed)","Continuous")</f>
        <v>3.0332876711597453E-2</v>
      </c>
    </row>
    <row r="31" spans="2:6">
      <c r="B31" s="111">
        <f>_xll.qlCalendarAdvance("Null",B30,"1m")</f>
        <v>44378</v>
      </c>
      <c r="C31" s="112">
        <f t="shared" si="0"/>
        <v>1.7506849315068493</v>
      </c>
      <c r="D31" s="77">
        <f>_xll.qlYieldTSForwardRate($C$2,B31,B31,"Act/365 (Fixed)","Continuous")</f>
        <v>2.7373972603049787E-2</v>
      </c>
      <c r="E31" s="77">
        <f>_xll.qlYieldTSForwardRate($C$4,B31,B31,"Act/365 (Fixed)","Continuous")</f>
        <v>3.0000000002816584E-3</v>
      </c>
      <c r="F31" s="77">
        <f>_xll.qlYieldTSForwardRate($C$5,B31,B31,"Act/365 (Fixed)","Continuous")</f>
        <v>3.0373972602336683E-2</v>
      </c>
    </row>
    <row r="32" spans="2:6">
      <c r="B32" s="111">
        <f>_xll.qlCalendarAdvance("Null",B31,"1m")</f>
        <v>44409</v>
      </c>
      <c r="C32" s="112">
        <f t="shared" si="0"/>
        <v>1.8356164383561644</v>
      </c>
      <c r="D32" s="77">
        <f>_xll.qlYieldTSForwardRate($C$2,B32,B32,"Act/365 (Fixed)","Continuous")</f>
        <v>2.7416438355313179E-2</v>
      </c>
      <c r="E32" s="77">
        <f>_xll.qlYieldTSForwardRate($C$4,B32,B32,"Act/365 (Fixed)","Continuous")</f>
        <v>3.0000000002816584E-3</v>
      </c>
      <c r="F32" s="77">
        <f>_xll.qlYieldTSForwardRate($C$5,B32,B32,"Act/365 (Fixed)","Continuous")</f>
        <v>3.0416438357403427E-2</v>
      </c>
    </row>
    <row r="33" spans="2:6">
      <c r="B33" s="111">
        <f>_xll.qlCalendarAdvance("Null",B32,"1m")</f>
        <v>44440</v>
      </c>
      <c r="C33" s="112">
        <f t="shared" si="0"/>
        <v>1.9205479452054794</v>
      </c>
      <c r="D33" s="77">
        <f>_xll.qlYieldTSForwardRate($C$2,B33,B33,"Act/365 (Fixed)","Continuous")</f>
        <v>2.7458904109616673E-2</v>
      </c>
      <c r="E33" s="77">
        <f>_xll.qlYieldTSForwardRate($C$4,B33,B33,"Act/365 (Fixed)","Continuous")</f>
        <v>3.0000000002816584E-3</v>
      </c>
      <c r="F33" s="77">
        <f>_xll.qlYieldTSForwardRate($C$5,B33,B33,"Act/365 (Fixed)","Continuous")</f>
        <v>3.0458904107848954E-2</v>
      </c>
    </row>
    <row r="34" spans="2:6">
      <c r="B34" s="111">
        <f>_xll.qlCalendarAdvance("Null",B33,"1m")</f>
        <v>44470</v>
      </c>
      <c r="C34" s="112">
        <f t="shared" si="0"/>
        <v>2.0027397260273974</v>
      </c>
      <c r="D34" s="77">
        <f>_xll.qlYieldTSForwardRate($C$2,B34,B34,"Act/365 (Fixed)","Continuous")</f>
        <v>2.7500000001064555E-2</v>
      </c>
      <c r="E34" s="77">
        <f>_xll.qlYieldTSForwardRate($C$4,B34,B34,"Act/365 (Fixed)","Continuous")</f>
        <v>2.9999999980612128E-3</v>
      </c>
      <c r="F34" s="77">
        <f>_xll.qlYieldTSForwardRate($C$5,B34,B34,"Act/365 (Fixed)","Continuous")</f>
        <v>3.0500000000290708E-2</v>
      </c>
    </row>
    <row r="35" spans="2:6">
      <c r="B35" s="111">
        <f>_xll.qlCalendarAdvance("Null",B34,"1m")</f>
        <v>44501</v>
      </c>
      <c r="C35" s="112">
        <f t="shared" si="0"/>
        <v>2.0876712328767124</v>
      </c>
      <c r="D35" s="77">
        <f>_xll.qlYieldTSForwardRate($C$2,B35,B35,"Act/365 (Fixed)","Continuous")</f>
        <v>2.7542465752792764E-2</v>
      </c>
      <c r="E35" s="77">
        <f>_xll.qlYieldTSForwardRate($C$4,B35,B35,"Act/365 (Fixed)","Continuous")</f>
        <v>3.0000000002816584E-3</v>
      </c>
      <c r="F35" s="77">
        <f>_xll.qlYieldTSForwardRate($C$5,B35,B35,"Act/365 (Fixed)","Continuous")</f>
        <v>3.0542465754822262E-2</v>
      </c>
    </row>
    <row r="36" spans="2:6">
      <c r="B36" s="111">
        <f>_xll.qlCalendarAdvance("Null",B35,"1m")</f>
        <v>44531</v>
      </c>
      <c r="C36" s="112">
        <f t="shared" si="0"/>
        <v>2.1698630136986301</v>
      </c>
      <c r="D36" s="77">
        <f>_xll.qlYieldTSForwardRate($C$2,B36,B36,"Act/365 (Fixed)","Continuous")</f>
        <v>2.7583561643897241E-2</v>
      </c>
      <c r="E36" s="77">
        <f>_xll.qlYieldTSForwardRate($C$4,B36,B36,"Act/365 (Fixed)","Continuous")</f>
        <v>3.0000000002816584E-3</v>
      </c>
      <c r="F36" s="77">
        <f>_xll.qlYieldTSForwardRate($C$5,B36,B36,"Act/365 (Fixed)","Continuous")</f>
        <v>3.0583561642479735E-2</v>
      </c>
    </row>
    <row r="37" spans="2:6">
      <c r="B37" s="111">
        <f>_xll.qlCalendarAdvance("Null",B36,"1m")</f>
        <v>44562</v>
      </c>
      <c r="C37" s="112">
        <f t="shared" si="0"/>
        <v>2.2547945205479452</v>
      </c>
      <c r="D37" s="77">
        <f>_xll.qlYieldTSForwardRate($C$2,B37,B37,"Act/365 (Fixed)","Continuous")</f>
        <v>2.7626027397491034E-2</v>
      </c>
      <c r="E37" s="77">
        <f>_xll.qlYieldTSForwardRate($C$4,B37,B37,"Act/365 (Fixed)","Continuous")</f>
        <v>3.0000000002816584E-3</v>
      </c>
      <c r="F37" s="77">
        <f>_xll.qlYieldTSForwardRate($C$5,B37,B37,"Act/365 (Fixed)","Continuous")</f>
        <v>3.062602739665644E-2</v>
      </c>
    </row>
    <row r="38" spans="2:6">
      <c r="B38" s="111">
        <f>_xll.qlCalendarAdvance("Null",B37,"1m")</f>
        <v>44593</v>
      </c>
      <c r="C38" s="112">
        <f t="shared" si="0"/>
        <v>2.3397260273972602</v>
      </c>
      <c r="D38" s="77">
        <f>_xll.qlYieldTSForwardRate($C$2,B38,B38,"Act/365 (Fixed)","Continuous")</f>
        <v>2.7668493150904493E-2</v>
      </c>
      <c r="E38" s="77">
        <f>_xll.qlYieldTSForwardRate($C$4,B38,B38,"Act/365 (Fixed)","Continuous")</f>
        <v>3.0000000025021036E-3</v>
      </c>
      <c r="F38" s="77">
        <f>_xll.qlYieldTSForwardRate($C$5,B38,B38,"Act/365 (Fixed)","Continuous")</f>
        <v>3.066849315287325E-2</v>
      </c>
    </row>
    <row r="39" spans="2:6">
      <c r="B39" s="111">
        <f>_xll.qlCalendarAdvance("Null",B38,"1m")</f>
        <v>44621</v>
      </c>
      <c r="C39" s="112">
        <f t="shared" si="0"/>
        <v>2.4164383561643836</v>
      </c>
      <c r="D39" s="77">
        <f>_xll.qlYieldTSForwardRate($C$2,B39,B39,"Act/365 (Fixed)","Continuous")</f>
        <v>2.7706849316197345E-2</v>
      </c>
      <c r="E39" s="77">
        <f>_xll.qlYieldTSForwardRate($C$4,B39,B39,"Act/365 (Fixed)","Continuous")</f>
        <v>3.0000000002816584E-3</v>
      </c>
      <c r="F39" s="77">
        <f>_xll.qlYieldTSForwardRate($C$5,B39,B39,"Act/365 (Fixed)","Continuous")</f>
        <v>3.0706849315541015E-2</v>
      </c>
    </row>
    <row r="40" spans="2:6">
      <c r="B40" s="111">
        <f>_xll.qlCalendarAdvance("Null",B39,"1m")</f>
        <v>44652</v>
      </c>
      <c r="C40" s="112">
        <f t="shared" si="0"/>
        <v>2.5013698630136987</v>
      </c>
      <c r="D40" s="77">
        <f>_xll.qlYieldTSForwardRate($C$2,B40,B40,"Act/365 (Fixed)","Continuous")</f>
        <v>2.7749315069267588E-2</v>
      </c>
      <c r="E40" s="77">
        <f>_xll.qlYieldTSForwardRate($C$4,B40,B40,"Act/365 (Fixed)","Continuous")</f>
        <v>3.0000000002816584E-3</v>
      </c>
      <c r="F40" s="77">
        <f>_xll.qlYieldTSForwardRate($C$5,B40,B40,"Act/365 (Fixed)","Continuous")</f>
        <v>3.0749315069194171E-2</v>
      </c>
    </row>
    <row r="41" spans="2:6">
      <c r="B41" s="111">
        <f>_xll.qlCalendarAdvance("Null",B40,"1m")</f>
        <v>44682</v>
      </c>
      <c r="C41" s="112">
        <f t="shared" si="0"/>
        <v>2.5835616438356164</v>
      </c>
      <c r="D41" s="77">
        <f>_xll.qlYieldTSForwardRate($C$2,B41,B41,"Act/365 (Fixed)","Continuous")</f>
        <v>2.7790410959522005E-2</v>
      </c>
      <c r="E41" s="77">
        <f>_xll.qlYieldTSForwardRate($C$4,B41,B41,"Act/365 (Fixed)","Continuous")</f>
        <v>3.0000000002816584E-3</v>
      </c>
      <c r="F41" s="77">
        <f>_xll.qlYieldTSForwardRate($C$5,B41,B41,"Act/365 (Fixed)","Continuous")</f>
        <v>3.0790410960442452E-2</v>
      </c>
    </row>
    <row r="42" spans="2:6">
      <c r="B42" s="111">
        <f>_xll.qlCalendarAdvance("Null",B41,"1m")</f>
        <v>44713</v>
      </c>
      <c r="C42" s="112">
        <f t="shared" si="0"/>
        <v>2.6684931506849314</v>
      </c>
      <c r="D42" s="77">
        <f>_xll.qlYieldTSForwardRate($C$2,B42,B42,"Act/365 (Fixed)","Continuous")</f>
        <v>2.7832876712237397E-2</v>
      </c>
      <c r="E42" s="77">
        <f>_xll.qlYieldTSForwardRate($C$4,B42,B42,"Act/365 (Fixed)","Continuous")</f>
        <v>2.9999999980612128E-3</v>
      </c>
      <c r="F42" s="77">
        <f>_xll.qlYieldTSForwardRate($C$5,B42,B42,"Act/365 (Fixed)","Continuous")</f>
        <v>3.0832876709299874E-2</v>
      </c>
    </row>
    <row r="43" spans="2:6">
      <c r="B43" s="111">
        <f>_xll.qlCalendarAdvance("Null",B42,"1m")</f>
        <v>44743</v>
      </c>
      <c r="C43" s="112">
        <f t="shared" si="0"/>
        <v>2.7506849315068491</v>
      </c>
      <c r="D43" s="77">
        <f>_xll.qlYieldTSForwardRate($C$2,B43,B43,"Act/365 (Fixed)","Continuous")</f>
        <v>2.7873972602148404E-2</v>
      </c>
      <c r="E43" s="77">
        <f>_xll.qlYieldTSForwardRate($C$4,B43,B43,"Act/365 (Fixed)","Continuous")</f>
        <v>3.0000000025021036E-3</v>
      </c>
      <c r="F43" s="77">
        <f>_xll.qlYieldTSForwardRate($C$5,B43,B43,"Act/365 (Fixed)","Continuous")</f>
        <v>3.0873972604645632E-2</v>
      </c>
    </row>
    <row r="44" spans="2:6">
      <c r="B44" s="111">
        <f>_xll.qlCalendarAdvance("Null",B43,"1m")</f>
        <v>44774</v>
      </c>
      <c r="C44" s="112">
        <f t="shared" si="0"/>
        <v>2.8356164383561642</v>
      </c>
      <c r="D44" s="77">
        <f>_xll.qlYieldTSForwardRate($C$2,B44,B44,"Act/365 (Fixed)","Continuous")</f>
        <v>2.7916438356729387E-2</v>
      </c>
      <c r="E44" s="77">
        <f>_xll.qlYieldTSForwardRate($C$4,B44,B44,"Act/365 (Fixed)","Continuous")</f>
        <v>3.0000000025021036E-3</v>
      </c>
      <c r="F44" s="77">
        <f>_xll.qlYieldTSForwardRate($C$5,B44,B44,"Act/365 (Fixed)","Continuous")</f>
        <v>3.0916438357589088E-2</v>
      </c>
    </row>
    <row r="45" spans="2:6">
      <c r="B45" s="111">
        <f>_xll.qlCalendarAdvance("Null",B44,"1m")</f>
        <v>44805</v>
      </c>
      <c r="C45" s="112">
        <f t="shared" si="0"/>
        <v>2.9205479452054797</v>
      </c>
      <c r="D45" s="77">
        <f>_xll.qlYieldTSForwardRate($C$2,B45,B45,"Act/365 (Fixed)","Continuous")</f>
        <v>2.7958904108909593E-2</v>
      </c>
      <c r="E45" s="77">
        <f>_xll.qlYieldTSForwardRate($C$4,B45,B45,"Act/365 (Fixed)","Continuous")</f>
        <v>3.0000000002816584E-3</v>
      </c>
      <c r="F45" s="77">
        <f>_xll.qlYieldTSForwardRate($C$5,B45,B45,"Act/365 (Fixed)","Continuous")</f>
        <v>3.0958904110352205E-2</v>
      </c>
    </row>
    <row r="46" spans="2:6">
      <c r="B46" s="111">
        <f>_xll.qlCalendarAdvance("Null",B45,"1m")</f>
        <v>44835</v>
      </c>
      <c r="C46" s="112">
        <f t="shared" si="0"/>
        <v>3.0027397260273974</v>
      </c>
      <c r="D46" s="77">
        <f>_xll.qlYieldTSForwardRate($C$2,B46,B46,"Act/365 (Fixed)","Continuous")</f>
        <v>2.8000018878702574E-2</v>
      </c>
      <c r="E46" s="77">
        <f>_xll.qlYieldTSForwardRate($C$4,B46,B46,"Act/365 (Fixed)","Continuous")</f>
        <v>3.0000000002816584E-3</v>
      </c>
      <c r="F46" s="77">
        <f>_xll.qlYieldTSForwardRate($C$5,B46,B46,"Act/365 (Fixed)","Continuous")</f>
        <v>3.100001887891295E-2</v>
      </c>
    </row>
    <row r="47" spans="2:6">
      <c r="B47" s="111">
        <f>_xll.qlCalendarAdvance("Null",B46,"1m")</f>
        <v>44866</v>
      </c>
      <c r="C47" s="112">
        <f t="shared" si="0"/>
        <v>3.0876712328767124</v>
      </c>
      <c r="D47" s="77">
        <f>_xll.qlYieldTSForwardRate($C$2,B47,B47,"Act/365 (Fixed)","Continuous")</f>
        <v>2.8170735448623849E-2</v>
      </c>
      <c r="E47" s="77">
        <f>_xll.qlYieldTSForwardRate($C$4,B47,B47,"Act/365 (Fixed)","Continuous")</f>
        <v>3.0000000002816584E-3</v>
      </c>
      <c r="F47" s="77">
        <f>_xll.qlYieldTSForwardRate($C$5,B47,B47,"Act/365 (Fixed)","Continuous")</f>
        <v>3.1170735448689361E-2</v>
      </c>
    </row>
    <row r="48" spans="2:6">
      <c r="B48" s="111">
        <f>_xll.qlCalendarAdvance("Null",B47,"1m")</f>
        <v>44896</v>
      </c>
      <c r="C48" s="112">
        <f t="shared" si="0"/>
        <v>3.1698630136986301</v>
      </c>
      <c r="D48" s="77">
        <f>_xll.qlYieldTSForwardRate($C$2,B48,B48,"Act/365 (Fixed)","Continuous")</f>
        <v>2.8335963301714107E-2</v>
      </c>
      <c r="E48" s="77">
        <f>_xll.qlYieldTSForwardRate($C$4,B48,B48,"Act/365 (Fixed)","Continuous")</f>
        <v>3.0000000025021036E-3</v>
      </c>
      <c r="F48" s="77">
        <f>_xll.qlYieldTSForwardRate($C$5,B48,B48,"Act/365 (Fixed)","Continuous")</f>
        <v>3.1335963303281374E-2</v>
      </c>
    </row>
    <row r="49" spans="2:6">
      <c r="B49" s="111">
        <f>_xll.qlCalendarAdvance("Null",B48,"1m")</f>
        <v>44927</v>
      </c>
      <c r="C49" s="112">
        <f t="shared" si="0"/>
        <v>3.2547945205479452</v>
      </c>
      <c r="D49" s="77">
        <f>_xll.qlYieldTSForwardRate($C$2,B49,B49,"Act/365 (Fixed)","Continuous")</f>
        <v>2.8506698750740064E-2</v>
      </c>
      <c r="E49" s="77">
        <f>_xll.qlYieldTSForwardRate($C$4,B49,B49,"Act/365 (Fixed)","Continuous")</f>
        <v>3.0000000002816584E-3</v>
      </c>
      <c r="F49" s="77">
        <f>_xll.qlYieldTSForwardRate($C$5,B49,B49,"Act/365 (Fixed)","Continuous")</f>
        <v>3.1506698749936363E-2</v>
      </c>
    </row>
    <row r="50" spans="2:6">
      <c r="B50" s="111">
        <f>_xll.qlCalendarAdvance("Null",B49,"1m")</f>
        <v>44958</v>
      </c>
      <c r="C50" s="112">
        <f t="shared" si="0"/>
        <v>3.3397260273972602</v>
      </c>
      <c r="D50" s="77">
        <f>_xll.qlYieldTSForwardRate($C$2,B50,B50,"Act/365 (Fixed)","Continuous")</f>
        <v>2.8677434196850964E-2</v>
      </c>
      <c r="E50" s="77">
        <f>_xll.qlYieldTSForwardRate($C$4,B50,B50,"Act/365 (Fixed)","Continuous")</f>
        <v>3.0000000002816584E-3</v>
      </c>
      <c r="F50" s="77">
        <f>_xll.qlYieldTSForwardRate($C$5,B50,B50,"Act/365 (Fixed)","Continuous")</f>
        <v>3.1677434198117173E-2</v>
      </c>
    </row>
    <row r="51" spans="2:6">
      <c r="B51" s="111">
        <f>_xll.qlCalendarAdvance("Null",B50,"1m")</f>
        <v>44986</v>
      </c>
      <c r="C51" s="112">
        <f t="shared" si="0"/>
        <v>3.4164383561643836</v>
      </c>
      <c r="D51" s="77">
        <f>_xll.qlYieldTSForwardRate($C$2,B51,B51,"Act/365 (Fixed)","Continuous")</f>
        <v>2.8831646862368259E-2</v>
      </c>
      <c r="E51" s="77">
        <f>_xll.qlYieldTSForwardRate($C$4,B51,B51,"Act/365 (Fixed)","Continuous")</f>
        <v>3.0000000002816584E-3</v>
      </c>
      <c r="F51" s="77">
        <f>_xll.qlYieldTSForwardRate($C$5,B51,B51,"Act/365 (Fixed)","Continuous")</f>
        <v>3.1831646863999898E-2</v>
      </c>
    </row>
    <row r="52" spans="2:6">
      <c r="B52" s="111">
        <f>_xll.qlCalendarAdvance("Null",B51,"1m")</f>
        <v>45017</v>
      </c>
      <c r="C52" s="112">
        <f t="shared" si="0"/>
        <v>3.5013698630136987</v>
      </c>
      <c r="D52" s="77">
        <f>_xll.qlYieldTSForwardRate($C$2,B52,B52,"Act/365 (Fixed)","Continuous")</f>
        <v>2.9002382309592459E-2</v>
      </c>
      <c r="E52" s="77">
        <f>_xll.qlYieldTSForwardRate($C$4,B52,B52,"Act/365 (Fixed)","Continuous")</f>
        <v>3.0000000025021036E-3</v>
      </c>
      <c r="F52" s="77">
        <f>_xll.qlYieldTSForwardRate($C$5,B52,B52,"Act/365 (Fixed)","Continuous")</f>
        <v>3.2002382311073566E-2</v>
      </c>
    </row>
    <row r="53" spans="2:6">
      <c r="B53" s="111">
        <f>_xll.qlCalendarAdvance("Null",B52,"1m")</f>
        <v>45047</v>
      </c>
      <c r="C53" s="112">
        <f t="shared" si="0"/>
        <v>3.5835616438356164</v>
      </c>
      <c r="D53" s="77">
        <f>_xll.qlYieldTSForwardRate($C$2,B53,B53,"Act/365 (Fixed)","Continuous")</f>
        <v>2.9167610162264233E-2</v>
      </c>
      <c r="E53" s="77">
        <f>_xll.qlYieldTSForwardRate($C$4,B53,B53,"Act/365 (Fixed)","Continuous")</f>
        <v>3.0000000002816584E-3</v>
      </c>
      <c r="F53" s="77">
        <f>_xll.qlYieldTSForwardRate($C$5,B53,B53,"Act/365 (Fixed)","Continuous")</f>
        <v>3.2167610163026647E-2</v>
      </c>
    </row>
    <row r="54" spans="2:6">
      <c r="B54" s="111">
        <f>_xll.qlCalendarAdvance("Null",B53,"1m")</f>
        <v>45078</v>
      </c>
      <c r="C54" s="112">
        <f t="shared" si="0"/>
        <v>3.6684931506849314</v>
      </c>
      <c r="D54" s="77">
        <f>_xll.qlYieldTSForwardRate($C$2,B54,B54,"Act/365 (Fixed)","Continuous")</f>
        <v>2.9338345610413673E-2</v>
      </c>
      <c r="E54" s="77">
        <f>_xll.qlYieldTSForwardRate($C$4,B54,B54,"Act/365 (Fixed)","Continuous")</f>
        <v>3.0000000002816584E-3</v>
      </c>
      <c r="F54" s="77">
        <f>_xll.qlYieldTSForwardRate($C$5,B54,B54,"Act/365 (Fixed)","Continuous")</f>
        <v>3.2338345611025554E-2</v>
      </c>
    </row>
    <row r="55" spans="2:6">
      <c r="B55" s="111">
        <f>_xll.qlCalendarAdvance("Null",B54,"1m")</f>
        <v>45108</v>
      </c>
      <c r="C55" s="112">
        <f t="shared" si="0"/>
        <v>3.7506849315068491</v>
      </c>
      <c r="D55" s="77">
        <f>_xll.qlYieldTSForwardRate($C$2,B55,B55,"Act/365 (Fixed)","Continuous")</f>
        <v>2.9503573464195715E-2</v>
      </c>
      <c r="E55" s="77">
        <f>_xll.qlYieldTSForwardRate($C$4,B55,B55,"Act/365 (Fixed)","Continuous")</f>
        <v>3.0000000002816584E-3</v>
      </c>
      <c r="F55" s="77">
        <f>_xll.qlYieldTSForwardRate($C$5,B55,B55,"Act/365 (Fixed)","Continuous")</f>
        <v>3.2503573464088907E-2</v>
      </c>
    </row>
    <row r="56" spans="2:6">
      <c r="B56" s="111">
        <f>_xll.qlCalendarAdvance("Null",B55,"1m")</f>
        <v>45139</v>
      </c>
      <c r="C56" s="112">
        <f t="shared" si="0"/>
        <v>3.8356164383561642</v>
      </c>
      <c r="D56" s="77">
        <f>_xll.qlYieldTSForwardRate($C$2,B56,B56,"Act/365 (Fixed)","Continuous")</f>
        <v>2.9674308913270386E-2</v>
      </c>
      <c r="E56" s="77">
        <f>_xll.qlYieldTSForwardRate($C$4,B56,B56,"Act/365 (Fixed)","Continuous")</f>
        <v>3.0000000002816584E-3</v>
      </c>
      <c r="F56" s="77">
        <f>_xll.qlYieldTSForwardRate($C$5,B56,B56,"Act/365 (Fixed)","Continuous")</f>
        <v>3.2674308913013039E-2</v>
      </c>
    </row>
    <row r="57" spans="2:6">
      <c r="B57" s="111">
        <f>_xll.qlCalendarAdvance("Null",B56,"1m")</f>
        <v>45170</v>
      </c>
      <c r="C57" s="112">
        <f t="shared" si="0"/>
        <v>3.9205479452054797</v>
      </c>
      <c r="D57" s="77">
        <f>_xll.qlYieldTSForwardRate($C$2,B57,B57,"Act/365 (Fixed)","Continuous")</f>
        <v>2.9845044359430001E-2</v>
      </c>
      <c r="E57" s="77">
        <f>_xll.qlYieldTSForwardRate($C$4,B57,B57,"Act/365 (Fixed)","Continuous")</f>
        <v>3.0000000002816584E-3</v>
      </c>
      <c r="F57" s="77">
        <f>_xll.qlYieldTSForwardRate($C$5,B57,B57,"Act/365 (Fixed)","Continuous")</f>
        <v>3.2845044361242554E-2</v>
      </c>
    </row>
    <row r="58" spans="2:6">
      <c r="B58" s="111">
        <f>_xll.qlCalendarAdvance("Null",B57,"1m")</f>
        <v>45200</v>
      </c>
      <c r="C58" s="112">
        <f t="shared" si="0"/>
        <v>4.0027397260273974</v>
      </c>
      <c r="D58" s="77">
        <f>_xll.qlYieldTSForwardRate($C$2,B58,B58,"Act/365 (Fixed)","Continuous")</f>
        <v>3.0010291327263957E-2</v>
      </c>
      <c r="E58" s="77">
        <f>_xll.qlYieldTSForwardRate($C$4,B58,B58,"Act/365 (Fixed)","Continuous")</f>
        <v>3.0000000002816584E-3</v>
      </c>
      <c r="F58" s="77">
        <f>_xll.qlYieldTSForwardRate($C$5,B58,B58,"Act/365 (Fixed)","Continuous")</f>
        <v>3.3010291328352086E-2</v>
      </c>
    </row>
    <row r="59" spans="2:6">
      <c r="B59" s="111">
        <f>_xll.qlCalendarAdvance("Null",B58,"1m")</f>
        <v>45231</v>
      </c>
      <c r="C59" s="112">
        <f t="shared" si="0"/>
        <v>4.087671232876712</v>
      </c>
      <c r="D59" s="77">
        <f>_xll.qlYieldTSForwardRate($C$2,B59,B59,"Act/365 (Fixed)","Continuous")</f>
        <v>3.0310880828786951E-2</v>
      </c>
      <c r="E59" s="77">
        <f>_xll.qlYieldTSForwardRate($C$4,B59,B59,"Act/365 (Fixed)","Continuous")</f>
        <v>2.9999999980612128E-3</v>
      </c>
      <c r="F59" s="77">
        <f>_xll.qlYieldTSForwardRate($C$5,B59,B59,"Act/365 (Fixed)","Continuous")</f>
        <v>3.3310880826295353E-2</v>
      </c>
    </row>
    <row r="60" spans="2:6">
      <c r="B60" s="111">
        <f>_xll.qlCalendarAdvance("Null",B59,"1m")</f>
        <v>45261</v>
      </c>
      <c r="C60" s="112">
        <f t="shared" si="0"/>
        <v>4.1698630136986301</v>
      </c>
      <c r="D60" s="77">
        <f>_xll.qlYieldTSForwardRate($C$2,B60,B60,"Act/365 (Fixed)","Continuous")</f>
        <v>3.0601792390240381E-2</v>
      </c>
      <c r="E60" s="77">
        <f>_xll.qlYieldTSForwardRate($C$4,B60,B60,"Act/365 (Fixed)","Continuous")</f>
        <v>3.0000000002816584E-3</v>
      </c>
      <c r="F60" s="77">
        <f>_xll.qlYieldTSForwardRate($C$5,B60,B60,"Act/365 (Fixed)","Continuous")</f>
        <v>3.3601792391513306E-2</v>
      </c>
    </row>
    <row r="61" spans="2:6">
      <c r="B61" s="111">
        <f>_xll.qlCalendarAdvance("Null",B60,"1m")</f>
        <v>45292</v>
      </c>
      <c r="C61" s="112">
        <f t="shared" si="0"/>
        <v>4.2547945205479456</v>
      </c>
      <c r="D61" s="77">
        <f>_xll.qlYieldTSForwardRate($C$2,B61,B61,"Act/365 (Fixed)","Continuous")</f>
        <v>3.0902401005287516E-2</v>
      </c>
      <c r="E61" s="77">
        <f>_xll.qlYieldTSForwardRate($C$4,B61,B61,"Act/365 (Fixed)","Continuous")</f>
        <v>3.0000000002816584E-3</v>
      </c>
      <c r="F61" s="77">
        <f>_xll.qlYieldTSForwardRate($C$5,B61,B61,"Act/365 (Fixed)","Continuous")</f>
        <v>3.3902401005195412E-2</v>
      </c>
    </row>
    <row r="62" spans="2:6">
      <c r="B62" s="111">
        <f>_xll.qlCalendarAdvance("Null",B61,"1m")</f>
        <v>45323</v>
      </c>
      <c r="C62" s="112">
        <f t="shared" si="0"/>
        <v>4.3397260273972602</v>
      </c>
      <c r="D62" s="77">
        <f>_xll.qlYieldTSForwardRate($C$2,B62,B62,"Act/365 (Fixed)","Continuous")</f>
        <v>3.1203009617959413E-2</v>
      </c>
      <c r="E62" s="77">
        <f>_xll.qlYieldTSForwardRate($C$4,B62,B62,"Act/365 (Fixed)","Continuous")</f>
        <v>3.0000000002816584E-3</v>
      </c>
      <c r="F62" s="77">
        <f>_xll.qlYieldTSForwardRate($C$5,B62,B62,"Act/365 (Fixed)","Continuous")</f>
        <v>3.4203009618722718E-2</v>
      </c>
    </row>
    <row r="63" spans="2:6">
      <c r="B63" s="111">
        <f>_xll.qlCalendarAdvance("Null",B62,"1m")</f>
        <v>45352</v>
      </c>
      <c r="C63" s="112">
        <f t="shared" si="0"/>
        <v>4.419178082191781</v>
      </c>
      <c r="D63" s="77">
        <f>_xll.qlYieldTSForwardRate($C$2,B63,B63,"Act/365 (Fixed)","Continuous")</f>
        <v>3.1484224127503749E-2</v>
      </c>
      <c r="E63" s="77">
        <f>_xll.qlYieldTSForwardRate($C$4,B63,B63,"Act/365 (Fixed)","Continuous")</f>
        <v>2.9999999980612128E-3</v>
      </c>
      <c r="F63" s="77">
        <f>_xll.qlYieldTSForwardRate($C$5,B63,B63,"Act/365 (Fixed)","Continuous")</f>
        <v>3.4484224126058935E-2</v>
      </c>
    </row>
    <row r="64" spans="2:6">
      <c r="B64" s="111">
        <f>_xll.qlCalendarAdvance("Null",B63,"1m")</f>
        <v>45383</v>
      </c>
      <c r="C64" s="112">
        <f t="shared" si="0"/>
        <v>4.5041095890410956</v>
      </c>
      <c r="D64" s="77">
        <f>_xll.qlYieldTSForwardRate($C$2,B64,B64,"Act/365 (Fixed)","Continuous")</f>
        <v>3.1784832742669494E-2</v>
      </c>
      <c r="E64" s="77">
        <f>_xll.qlYieldTSForwardRate($C$4,B64,B64,"Act/365 (Fixed)","Continuous")</f>
        <v>3.0000000002816584E-3</v>
      </c>
      <c r="F64" s="77">
        <f>_xll.qlYieldTSForwardRate($C$5,B64,B64,"Act/365 (Fixed)","Continuous")</f>
        <v>3.4784832744300519E-2</v>
      </c>
    </row>
    <row r="65" spans="2:6">
      <c r="B65" s="111">
        <f>_xll.qlCalendarAdvance("Null",B64,"1m")</f>
        <v>45413</v>
      </c>
      <c r="C65" s="112">
        <f t="shared" si="0"/>
        <v>4.5863013698630137</v>
      </c>
      <c r="D65" s="77">
        <f>_xll.qlYieldTSForwardRate($C$2,B65,B65,"Act/365 (Fixed)","Continuous")</f>
        <v>3.2075744303432296E-2</v>
      </c>
      <c r="E65" s="77">
        <f>_xll.qlYieldTSForwardRate($C$4,B65,B65,"Act/365 (Fixed)","Continuous")</f>
        <v>3.0000000002816584E-3</v>
      </c>
      <c r="F65" s="77">
        <f>_xll.qlYieldTSForwardRate($C$5,B65,B65,"Act/365 (Fixed)","Continuous")</f>
        <v>3.5075744302166527E-2</v>
      </c>
    </row>
    <row r="66" spans="2:6">
      <c r="B66" s="111">
        <f>_xll.qlCalendarAdvance("Null",B65,"1m")</f>
        <v>45444</v>
      </c>
      <c r="C66" s="112">
        <f t="shared" si="0"/>
        <v>4.6712328767123283</v>
      </c>
      <c r="D66" s="77">
        <f>_xll.qlYieldTSForwardRate($C$2,B66,B66,"Act/365 (Fixed)","Continuous")</f>
        <v>3.2376352918579952E-2</v>
      </c>
      <c r="E66" s="77">
        <f>_xll.qlYieldTSForwardRate($C$4,B66,B66,"Act/365 (Fixed)","Continuous")</f>
        <v>3.0000000002816584E-3</v>
      </c>
      <c r="F66" s="77">
        <f>_xll.qlYieldTSForwardRate($C$5,B66,B66,"Act/365 (Fixed)","Continuous")</f>
        <v>3.5376352918169575E-2</v>
      </c>
    </row>
    <row r="67" spans="2:6">
      <c r="B67" s="111">
        <f>_xll.qlCalendarAdvance("Null",B66,"1m")</f>
        <v>45474</v>
      </c>
      <c r="C67" s="112">
        <f t="shared" si="0"/>
        <v>4.7534246575342465</v>
      </c>
      <c r="D67" s="77">
        <f>_xll.qlYieldTSForwardRate($C$2,B67,B67,"Act/365 (Fixed)","Continuous")</f>
        <v>3.2667264479898261E-2</v>
      </c>
      <c r="E67" s="77">
        <f>_xll.qlYieldTSForwardRate($C$4,B67,B67,"Act/365 (Fixed)","Continuous")</f>
        <v>2.9999999980612128E-3</v>
      </c>
      <c r="F67" s="77">
        <f>_xll.qlYieldTSForwardRate($C$5,B67,B67,"Act/365 (Fixed)","Continuous")</f>
        <v>3.5667264481031954E-2</v>
      </c>
    </row>
    <row r="68" spans="2:6">
      <c r="B68" s="111">
        <f>_xll.qlCalendarAdvance("Null",B67,"1m")</f>
        <v>45505</v>
      </c>
      <c r="C68" s="112">
        <f t="shared" si="0"/>
        <v>4.838356164383562</v>
      </c>
      <c r="D68" s="77">
        <f>_xll.qlYieldTSForwardRate($C$2,B68,B68,"Act/365 (Fixed)","Continuous")</f>
        <v>3.2967873095027814E-2</v>
      </c>
      <c r="E68" s="77">
        <f>_xll.qlYieldTSForwardRate($C$4,B68,B68,"Act/365 (Fixed)","Continuous")</f>
        <v>3.0000000002816584E-3</v>
      </c>
      <c r="F68" s="77">
        <f>_xll.qlYieldTSForwardRate($C$5,B68,B68,"Act/365 (Fixed)","Continuous")</f>
        <v>3.596787309479646E-2</v>
      </c>
    </row>
    <row r="69" spans="2:6">
      <c r="B69" s="111">
        <f>_xll.qlCalendarAdvance("Null",B68,"1m")</f>
        <v>45536</v>
      </c>
      <c r="C69" s="112">
        <f t="shared" si="0"/>
        <v>4.9232876712328766</v>
      </c>
      <c r="D69" s="77">
        <f>_xll.qlYieldTSForwardRate($C$2,B69,B69,"Act/365 (Fixed)","Continuous")</f>
        <v>3.3268481707782134E-2</v>
      </c>
      <c r="E69" s="77">
        <f>_xll.qlYieldTSForwardRate($C$4,B69,B69,"Act/365 (Fixed)","Continuous")</f>
        <v>3.0000000002816584E-3</v>
      </c>
      <c r="F69" s="77">
        <f>_xll.qlYieldTSForwardRate($C$5,B69,B69,"Act/365 (Fixed)","Continuous")</f>
        <v>3.6268481708406172E-2</v>
      </c>
    </row>
    <row r="70" spans="2:6">
      <c r="B70" s="111">
        <f>_xll.qlCalendarAdvance("Null",B69,"1m")</f>
        <v>45566</v>
      </c>
      <c r="C70" s="112">
        <f t="shared" si="0"/>
        <v>5.0054794520547947</v>
      </c>
      <c r="D70" s="77">
        <f>_xll.qlYieldTSForwardRate($C$2,B70,B70,"Act/365 (Fixed)","Continuous")</f>
        <v>3.3559389024314053E-2</v>
      </c>
      <c r="E70" s="77">
        <f>_xll.qlYieldTSForwardRate($C$4,B70,B70,"Act/365 (Fixed)","Continuous")</f>
        <v>3.0000000002816584E-3</v>
      </c>
      <c r="F70" s="77">
        <f>_xll.qlYieldTSForwardRate($C$5,B70,B70,"Act/365 (Fixed)","Continuous")</f>
        <v>3.6559389024262985E-2</v>
      </c>
    </row>
    <row r="71" spans="2:6">
      <c r="B71" s="111">
        <f>_xll.qlCalendarAdvance("Null",B70,"1m")</f>
        <v>45597</v>
      </c>
      <c r="C71" s="112">
        <f t="shared" si="0"/>
        <v>5.0904109589041093</v>
      </c>
      <c r="D71" s="77">
        <f>_xll.qlYieldTSForwardRate($C$2,B71,B71,"Act/365 (Fixed)","Continuous")</f>
        <v>3.383115085202381E-2</v>
      </c>
      <c r="E71" s="77">
        <f>_xll.qlYieldTSForwardRate($C$4,B71,B71,"Act/365 (Fixed)","Continuous")</f>
        <v>3.0000000002816584E-3</v>
      </c>
      <c r="F71" s="77">
        <f>_xll.qlYieldTSForwardRate($C$5,B71,B71,"Act/365 (Fixed)","Continuous")</f>
        <v>3.6831150854820846E-2</v>
      </c>
    </row>
    <row r="72" spans="2:6">
      <c r="B72" s="111">
        <f>_xll.qlCalendarAdvance("Null",B71,"1m")</f>
        <v>45627</v>
      </c>
      <c r="C72" s="112">
        <f t="shared" si="0"/>
        <v>5.1726027397260275</v>
      </c>
      <c r="D72" s="77">
        <f>_xll.qlYieldTSForwardRate($C$2,B72,B72,"Act/365 (Fixed)","Continuous")</f>
        <v>3.4094142062484643E-2</v>
      </c>
      <c r="E72" s="77">
        <f>_xll.qlYieldTSForwardRate($C$4,B72,B72,"Act/365 (Fixed)","Continuous")</f>
        <v>3.0000000002816584E-3</v>
      </c>
      <c r="F72" s="77">
        <f>_xll.qlYieldTSForwardRate($C$5,B72,B72,"Act/365 (Fixed)","Continuous")</f>
        <v>3.7094142061879221E-2</v>
      </c>
    </row>
    <row r="73" spans="2:6">
      <c r="B73" s="111">
        <f>_xll.qlCalendarAdvance("Null",B72,"1m")</f>
        <v>45658</v>
      </c>
      <c r="C73" s="112">
        <f t="shared" si="0"/>
        <v>5.2575342465753421</v>
      </c>
      <c r="D73" s="77">
        <f>_xll.qlYieldTSForwardRate($C$2,B73,B73,"Act/365 (Fixed)","Continuous")</f>
        <v>3.4365899643506233E-2</v>
      </c>
      <c r="E73" s="77">
        <f>_xll.qlYieldTSForwardRate($C$4,B73,B73,"Act/365 (Fixed)","Continuous")</f>
        <v>3.0000000002816584E-3</v>
      </c>
      <c r="F73" s="77">
        <f>_xll.qlYieldTSForwardRate($C$5,B73,B73,"Act/365 (Fixed)","Continuous")</f>
        <v>3.7365899641309305E-2</v>
      </c>
    </row>
    <row r="74" spans="2:6">
      <c r="B74" s="111">
        <f>_xll.qlCalendarAdvance("Null",B73,"1m")</f>
        <v>45689</v>
      </c>
      <c r="C74" s="112">
        <f t="shared" si="0"/>
        <v>5.3424657534246576</v>
      </c>
      <c r="D74" s="77">
        <f>_xll.qlYieldTSForwardRate($C$2,B74,B74,"Act/365 (Fixed)","Continuous")</f>
        <v>3.4637657226024347E-2</v>
      </c>
      <c r="E74" s="77">
        <f>_xll.qlYieldTSForwardRate($C$4,B74,B74,"Act/365 (Fixed)","Continuous")</f>
        <v>3.0000000002816584E-3</v>
      </c>
      <c r="F74" s="77">
        <f>_xll.qlYieldTSForwardRate($C$5,B74,B74,"Act/365 (Fixed)","Continuous")</f>
        <v>3.7637657224456354E-2</v>
      </c>
    </row>
    <row r="75" spans="2:6">
      <c r="B75" s="111">
        <f>_xll.qlCalendarAdvance("Null",B74,"1m")</f>
        <v>45717</v>
      </c>
      <c r="C75" s="112">
        <f t="shared" ref="C75:C138" si="1">(B75-$B$10)/365</f>
        <v>5.419178082191781</v>
      </c>
      <c r="D75" s="77">
        <f>_xll.qlYieldTSForwardRate($C$2,B75,B75,"Act/365 (Fixed)","Continuous")</f>
        <v>3.4883115685675113E-2</v>
      </c>
      <c r="E75" s="77">
        <f>_xll.qlYieldTSForwardRate($C$4,B75,B75,"Act/365 (Fixed)","Continuous")</f>
        <v>2.9999999980612128E-3</v>
      </c>
      <c r="F75" s="77">
        <f>_xll.qlYieldTSForwardRate($C$5,B75,B75,"Act/365 (Fixed)","Continuous")</f>
        <v>3.7883115685964475E-2</v>
      </c>
    </row>
    <row r="76" spans="2:6">
      <c r="B76" s="111">
        <f>_xll.qlCalendarAdvance("Null",B75,"1m")</f>
        <v>45748</v>
      </c>
      <c r="C76" s="112">
        <f t="shared" si="1"/>
        <v>5.5041095890410956</v>
      </c>
      <c r="D76" s="77">
        <f>_xll.qlYieldTSForwardRate($C$2,B76,B76,"Act/365 (Fixed)","Continuous")</f>
        <v>3.5154873267460127E-2</v>
      </c>
      <c r="E76" s="77">
        <f>_xll.qlYieldTSForwardRate($C$4,B76,B76,"Act/365 (Fixed)","Continuous")</f>
        <v>3.0000000002816584E-3</v>
      </c>
      <c r="F76" s="77">
        <f>_xll.qlYieldTSForwardRate($C$5,B76,B76,"Act/365 (Fixed)","Continuous")</f>
        <v>3.8154873266157976E-2</v>
      </c>
    </row>
    <row r="77" spans="2:6">
      <c r="B77" s="111">
        <f>_xll.qlCalendarAdvance("Null",B76,"1m")</f>
        <v>45778</v>
      </c>
      <c r="C77" s="112">
        <f t="shared" si="1"/>
        <v>5.5863013698630137</v>
      </c>
      <c r="D77" s="77">
        <f>_xll.qlYieldTSForwardRate($C$2,B77,B77,"Act/365 (Fixed)","Continuous")</f>
        <v>3.5417864476414804E-2</v>
      </c>
      <c r="E77" s="77">
        <f>_xll.qlYieldTSForwardRate($C$4,B77,B77,"Act/365 (Fixed)","Continuous")</f>
        <v>2.9999999980612128E-3</v>
      </c>
      <c r="F77" s="77">
        <f>_xll.qlYieldTSForwardRate($C$5,B77,B77,"Act/365 (Fixed)","Continuous")</f>
        <v>3.841786447393062E-2</v>
      </c>
    </row>
    <row r="78" spans="2:6">
      <c r="B78" s="111">
        <f>_xll.qlCalendarAdvance("Null",B77,"1m")</f>
        <v>45809</v>
      </c>
      <c r="C78" s="112">
        <f t="shared" si="1"/>
        <v>5.6712328767123283</v>
      </c>
      <c r="D78" s="77">
        <f>_xll.qlYieldTSForwardRate($C$2,B78,B78,"Act/365 (Fixed)","Continuous")</f>
        <v>3.5689622059210675E-2</v>
      </c>
      <c r="E78" s="77">
        <f>_xll.qlYieldTSForwardRate($C$4,B78,B78,"Act/365 (Fixed)","Continuous")</f>
        <v>3.0000000002816584E-3</v>
      </c>
      <c r="F78" s="77">
        <f>_xll.qlYieldTSForwardRate($C$5,B78,B78,"Act/365 (Fixed)","Continuous")</f>
        <v>3.8689622059575858E-2</v>
      </c>
    </row>
    <row r="79" spans="2:6">
      <c r="B79" s="111">
        <f>_xll.qlCalendarAdvance("Null",B78,"1m")</f>
        <v>45839</v>
      </c>
      <c r="C79" s="112">
        <f t="shared" si="1"/>
        <v>5.7534246575342465</v>
      </c>
      <c r="D79" s="77">
        <f>_xll.qlYieldTSForwardRate($C$2,B79,B79,"Act/365 (Fixed)","Continuous")</f>
        <v>3.5952613267424563E-2</v>
      </c>
      <c r="E79" s="77">
        <f>_xll.qlYieldTSForwardRate($C$4,B79,B79,"Act/365 (Fixed)","Continuous")</f>
        <v>3.0000000002816584E-3</v>
      </c>
      <c r="F79" s="77">
        <f>_xll.qlYieldTSForwardRate($C$5,B79,B79,"Act/365 (Fixed)","Continuous")</f>
        <v>3.8952613266607698E-2</v>
      </c>
    </row>
    <row r="80" spans="2:6">
      <c r="B80" s="111">
        <f>_xll.qlCalendarAdvance("Null",B79,"1m")</f>
        <v>45870</v>
      </c>
      <c r="C80" s="112">
        <f t="shared" si="1"/>
        <v>5.838356164383562</v>
      </c>
      <c r="D80" s="77">
        <f>_xll.qlYieldTSForwardRate($C$2,B80,B80,"Act/365 (Fixed)","Continuous")</f>
        <v>3.622437084901086E-2</v>
      </c>
      <c r="E80" s="77">
        <f>_xll.qlYieldTSForwardRate($C$4,B80,B80,"Act/365 (Fixed)","Continuous")</f>
        <v>3.0000000002816584E-3</v>
      </c>
      <c r="F80" s="77">
        <f>_xll.qlYieldTSForwardRate($C$5,B80,B80,"Act/365 (Fixed)","Continuous")</f>
        <v>3.9224370848822916E-2</v>
      </c>
    </row>
    <row r="81" spans="2:6">
      <c r="B81" s="111">
        <f>_xll.qlCalendarAdvance("Null",B80,"1m")</f>
        <v>45901</v>
      </c>
      <c r="C81" s="112">
        <f t="shared" si="1"/>
        <v>5.9232876712328766</v>
      </c>
      <c r="D81" s="77">
        <f>_xll.qlYieldTSForwardRate($C$2,B81,B81,"Act/365 (Fixed)","Continuous")</f>
        <v>3.6496128429873258E-2</v>
      </c>
      <c r="E81" s="77">
        <f>_xll.qlYieldTSForwardRate($C$4,B81,B81,"Act/365 (Fixed)","Continuous")</f>
        <v>3.0000000002816584E-3</v>
      </c>
      <c r="F81" s="77">
        <f>_xll.qlYieldTSForwardRate($C$5,B81,B81,"Act/365 (Fixed)","Continuous")</f>
        <v>3.9496128432534673E-2</v>
      </c>
    </row>
    <row r="82" spans="2:6">
      <c r="B82" s="111">
        <f>_xll.qlCalendarAdvance("Null",B81,"1m")</f>
        <v>45931</v>
      </c>
      <c r="C82" s="112">
        <f t="shared" si="1"/>
        <v>6.0054794520547947</v>
      </c>
      <c r="D82" s="77">
        <f>_xll.qlYieldTSForwardRate($C$2,B82,B82,"Act/365 (Fixed)","Continuous")</f>
        <v>3.6759116426107491E-2</v>
      </c>
      <c r="E82" s="77">
        <f>_xll.qlYieldTSForwardRate($C$4,B82,B82,"Act/365 (Fixed)","Continuous")</f>
        <v>3.0000000002816584E-3</v>
      </c>
      <c r="F82" s="77">
        <f>_xll.qlYieldTSForwardRate($C$5,B82,B82,"Act/365 (Fixed)","Continuous")</f>
        <v>3.9759116427587823E-2</v>
      </c>
    </row>
    <row r="83" spans="2:6">
      <c r="B83" s="111">
        <f>_xll.qlCalendarAdvance("Null",B82,"1m")</f>
        <v>45962</v>
      </c>
      <c r="C83" s="112">
        <f t="shared" si="1"/>
        <v>6.0904109589041093</v>
      </c>
      <c r="D83" s="77">
        <f>_xll.qlYieldTSForwardRate($C$2,B83,B83,"Act/365 (Fixed)","Continuous")</f>
        <v>3.7009045867336096E-2</v>
      </c>
      <c r="E83" s="77">
        <f>_xll.qlYieldTSForwardRate($C$4,B83,B83,"Act/365 (Fixed)","Continuous")</f>
        <v>3.0000000002816584E-3</v>
      </c>
      <c r="F83" s="77">
        <f>_xll.qlYieldTSForwardRate($C$5,B83,B83,"Act/365 (Fixed)","Continuous")</f>
        <v>4.0009045867112028E-2</v>
      </c>
    </row>
    <row r="84" spans="2:6">
      <c r="B84" s="111">
        <f>_xll.qlCalendarAdvance("Null",B83,"1m")</f>
        <v>45992</v>
      </c>
      <c r="C84" s="112">
        <f t="shared" si="1"/>
        <v>6.1726027397260275</v>
      </c>
      <c r="D84" s="77">
        <f>_xll.qlYieldTSForwardRate($C$2,B84,B84,"Act/365 (Fixed)","Continuous")</f>
        <v>3.725090995955161E-2</v>
      </c>
      <c r="E84" s="77">
        <f>_xll.qlYieldTSForwardRate($C$4,B84,B84,"Act/365 (Fixed)","Continuous")</f>
        <v>2.9999999980612128E-3</v>
      </c>
      <c r="F84" s="77">
        <f>_xll.qlYieldTSForwardRate($C$5,B84,B84,"Act/365 (Fixed)","Continuous")</f>
        <v>4.0250909957822316E-2</v>
      </c>
    </row>
    <row r="85" spans="2:6">
      <c r="B85" s="111">
        <f>_xll.qlCalendarAdvance("Null",B84,"1m")</f>
        <v>46023</v>
      </c>
      <c r="C85" s="112">
        <f t="shared" si="1"/>
        <v>6.2575342465753421</v>
      </c>
      <c r="D85" s="77">
        <f>_xll.qlYieldTSForwardRate($C$2,B85,B85,"Act/365 (Fixed)","Continuous")</f>
        <v>3.7500836186617648E-2</v>
      </c>
      <c r="E85" s="77">
        <f>_xll.qlYieldTSForwardRate($C$4,B85,B85,"Act/365 (Fixed)","Continuous")</f>
        <v>2.9999999980612128E-3</v>
      </c>
      <c r="F85" s="77">
        <f>_xll.qlYieldTSForwardRate($C$5,B85,B85,"Act/365 (Fixed)","Continuous")</f>
        <v>4.0500836185405356E-2</v>
      </c>
    </row>
    <row r="86" spans="2:6">
      <c r="B86" s="111">
        <f>_xll.qlCalendarAdvance("Null",B85,"1m")</f>
        <v>46054</v>
      </c>
      <c r="C86" s="112">
        <f t="shared" si="1"/>
        <v>6.3424657534246576</v>
      </c>
      <c r="D86" s="77">
        <f>_xll.qlYieldTSForwardRate($C$2,B86,B86,"Act/365 (Fixed)","Continuous")</f>
        <v>3.7750762411878247E-2</v>
      </c>
      <c r="E86" s="77">
        <f>_xll.qlYieldTSForwardRate($C$4,B86,B86,"Act/365 (Fixed)","Continuous")</f>
        <v>3.0000000025021036E-3</v>
      </c>
      <c r="F86" s="77">
        <f>_xll.qlYieldTSForwardRate($C$5,B86,B86,"Act/365 (Fixed)","Continuous")</f>
        <v>4.0750762413403398E-2</v>
      </c>
    </row>
    <row r="87" spans="2:6">
      <c r="B87" s="111">
        <f>_xll.qlCalendarAdvance("Null",B86,"1m")</f>
        <v>46082</v>
      </c>
      <c r="C87" s="112">
        <f t="shared" si="1"/>
        <v>6.419178082191781</v>
      </c>
      <c r="D87" s="77">
        <f>_xll.qlYieldTSForwardRate($C$2,B87,B87,"Act/365 (Fixed)","Continuous")</f>
        <v>3.7976502229964904E-2</v>
      </c>
      <c r="E87" s="77">
        <f>_xll.qlYieldTSForwardRate($C$4,B87,B87,"Act/365 (Fixed)","Continuous")</f>
        <v>3.0000000002816584E-3</v>
      </c>
      <c r="F87" s="77">
        <f>_xll.qlYieldTSForwardRate($C$5,B87,B87,"Act/365 (Fixed)","Continuous")</f>
        <v>4.0976502230381226E-2</v>
      </c>
    </row>
    <row r="88" spans="2:6">
      <c r="B88" s="111">
        <f>_xll.qlCalendarAdvance("Null",B87,"1m")</f>
        <v>46113</v>
      </c>
      <c r="C88" s="112">
        <f t="shared" si="1"/>
        <v>6.5041095890410956</v>
      </c>
      <c r="D88" s="77">
        <f>_xll.qlYieldTSForwardRate($C$2,B88,B88,"Act/365 (Fixed)","Continuous")</f>
        <v>3.8226428458880427E-2</v>
      </c>
      <c r="E88" s="77">
        <f>_xll.qlYieldTSForwardRate($C$4,B88,B88,"Act/365 (Fixed)","Continuous")</f>
        <v>2.9999999980612128E-3</v>
      </c>
      <c r="F88" s="77">
        <f>_xll.qlYieldTSForwardRate($C$5,B88,B88,"Act/365 (Fixed)","Continuous")</f>
        <v>4.1226428459813752E-2</v>
      </c>
    </row>
    <row r="89" spans="2:6">
      <c r="B89" s="111">
        <f>_xll.qlCalendarAdvance("Null",B88,"1m")</f>
        <v>46143</v>
      </c>
      <c r="C89" s="112">
        <f t="shared" si="1"/>
        <v>6.5863013698630137</v>
      </c>
      <c r="D89" s="77">
        <f>_xll.qlYieldTSForwardRate($C$2,B89,B89,"Act/365 (Fixed)","Continuous")</f>
        <v>3.8468292548297083E-2</v>
      </c>
      <c r="E89" s="77">
        <f>_xll.qlYieldTSForwardRate($C$4,B89,B89,"Act/365 (Fixed)","Continuous")</f>
        <v>3.0000000002816584E-3</v>
      </c>
      <c r="F89" s="77">
        <f>_xll.qlYieldTSForwardRate($C$5,B89,B89,"Act/365 (Fixed)","Continuous")</f>
        <v>4.1468292547725161E-2</v>
      </c>
    </row>
    <row r="90" spans="2:6">
      <c r="B90" s="111">
        <f>_xll.qlCalendarAdvance("Null",B89,"1m")</f>
        <v>46174</v>
      </c>
      <c r="C90" s="112">
        <f t="shared" si="1"/>
        <v>6.6712328767123283</v>
      </c>
      <c r="D90" s="77">
        <f>_xll.qlYieldTSForwardRate($C$2,B90,B90,"Act/365 (Fixed)","Continuous")</f>
        <v>3.87182187782441E-2</v>
      </c>
      <c r="E90" s="77">
        <f>_xll.qlYieldTSForwardRate($C$4,B90,B90,"Act/365 (Fixed)","Continuous")</f>
        <v>3.0000000002816584E-3</v>
      </c>
      <c r="F90" s="77">
        <f>_xll.qlYieldTSForwardRate($C$5,B90,B90,"Act/365 (Fixed)","Continuous")</f>
        <v>4.1718218778189181E-2</v>
      </c>
    </row>
    <row r="91" spans="2:6">
      <c r="B91" s="111">
        <f>_xll.qlCalendarAdvance("Null",B90,"1m")</f>
        <v>46204</v>
      </c>
      <c r="C91" s="112">
        <f t="shared" si="1"/>
        <v>6.7534246575342465</v>
      </c>
      <c r="D91" s="77">
        <f>_xll.qlYieldTSForwardRate($C$2,B91,B91,"Act/365 (Fixed)","Continuous")</f>
        <v>3.8960082869088732E-2</v>
      </c>
      <c r="E91" s="77">
        <f>_xll.qlYieldTSForwardRate($C$4,B91,B91,"Act/365 (Fixed)","Continuous")</f>
        <v>2.9999999980612128E-3</v>
      </c>
      <c r="F91" s="77">
        <f>_xll.qlYieldTSForwardRate($C$5,B91,B91,"Act/365 (Fixed)","Continuous")</f>
        <v>4.1960082867528579E-2</v>
      </c>
    </row>
    <row r="92" spans="2:6">
      <c r="B92" s="111">
        <f>_xll.qlCalendarAdvance("Null",B91,"1m")</f>
        <v>46235</v>
      </c>
      <c r="C92" s="112">
        <f t="shared" si="1"/>
        <v>6.838356164383562</v>
      </c>
      <c r="D92" s="77">
        <f>_xll.qlYieldTSForwardRate($C$2,B92,B92,"Act/365 (Fixed)","Continuous")</f>
        <v>3.9210009095626372E-2</v>
      </c>
      <c r="E92" s="77">
        <f>_xll.qlYieldTSForwardRate($C$4,B92,B92,"Act/365 (Fixed)","Continuous")</f>
        <v>3.0000000002816584E-3</v>
      </c>
      <c r="F92" s="77">
        <f>_xll.qlYieldTSForwardRate($C$5,B92,B92,"Act/365 (Fixed)","Continuous")</f>
        <v>4.2210009094583209E-2</v>
      </c>
    </row>
    <row r="93" spans="2:6">
      <c r="B93" s="111">
        <f>_xll.qlCalendarAdvance("Null",B92,"1m")</f>
        <v>46266</v>
      </c>
      <c r="C93" s="112">
        <f t="shared" si="1"/>
        <v>6.9232876712328766</v>
      </c>
      <c r="D93" s="77">
        <f>_xll.qlYieldTSForwardRate($C$2,B93,B93,"Act/365 (Fixed)","Continuous")</f>
        <v>3.9459935322579014E-2</v>
      </c>
      <c r="E93" s="77">
        <f>_xll.qlYieldTSForwardRate($C$4,B93,B93,"Act/365 (Fixed)","Continuous")</f>
        <v>3.0000000002816584E-3</v>
      </c>
      <c r="F93" s="77">
        <f>_xll.qlYieldTSForwardRate($C$5,B93,B93,"Act/365 (Fixed)","Continuous")</f>
        <v>4.2459935324273272E-2</v>
      </c>
    </row>
    <row r="94" spans="2:6">
      <c r="B94" s="111">
        <f>_xll.qlCalendarAdvance("Null",B93,"1m")</f>
        <v>46296</v>
      </c>
      <c r="C94" s="112">
        <f t="shared" si="1"/>
        <v>7.0054794520547947</v>
      </c>
      <c r="D94" s="77">
        <f>_xll.qlYieldTSForwardRate($C$2,B94,B94,"Act/365 (Fixed)","Continuous")</f>
        <v>3.970179686862662E-2</v>
      </c>
      <c r="E94" s="77">
        <f>_xll.qlYieldTSForwardRate($C$4,B94,B94,"Act/365 (Fixed)","Continuous")</f>
        <v>2.9999999980612128E-3</v>
      </c>
      <c r="F94" s="77">
        <f>_xll.qlYieldTSForwardRate($C$5,B94,B94,"Act/365 (Fixed)","Continuous")</f>
        <v>4.2701796868816394E-2</v>
      </c>
    </row>
    <row r="95" spans="2:6">
      <c r="B95" s="111">
        <f>_xll.qlCalendarAdvance("Null",B94,"1m")</f>
        <v>46327</v>
      </c>
      <c r="C95" s="112">
        <f t="shared" si="1"/>
        <v>7.0904109589041093</v>
      </c>
      <c r="D95" s="77">
        <f>_xll.qlYieldTSForwardRate($C$2,B95,B95,"Act/365 (Fixed)","Continuous")</f>
        <v>3.9934438241049253E-2</v>
      </c>
      <c r="E95" s="77">
        <f>_xll.qlYieldTSForwardRate($C$4,B95,B95,"Act/365 (Fixed)","Continuous")</f>
        <v>2.9999999980612128E-3</v>
      </c>
      <c r="F95" s="77">
        <f>_xll.qlYieldTSForwardRate($C$5,B95,B95,"Act/365 (Fixed)","Continuous")</f>
        <v>4.2934438240280162E-2</v>
      </c>
    </row>
    <row r="96" spans="2:6">
      <c r="B96" s="111">
        <f>_xll.qlCalendarAdvance("Null",B95,"1m")</f>
        <v>46357</v>
      </c>
      <c r="C96" s="112">
        <f t="shared" si="1"/>
        <v>7.1726027397260275</v>
      </c>
      <c r="D96" s="77">
        <f>_xll.qlYieldTSForwardRate($C$2,B96,B96,"Act/365 (Fixed)","Continuous")</f>
        <v>4.0159572587673692E-2</v>
      </c>
      <c r="E96" s="77">
        <f>_xll.qlYieldTSForwardRate($C$4,B96,B96,"Act/365 (Fixed)","Continuous")</f>
        <v>3.0000000002816584E-3</v>
      </c>
      <c r="F96" s="77">
        <f>_xll.qlYieldTSForwardRate($C$5,B96,B96,"Act/365 (Fixed)","Continuous")</f>
        <v>4.3159572588197831E-2</v>
      </c>
    </row>
    <row r="97" spans="2:6">
      <c r="B97" s="111">
        <f>_xll.qlCalendarAdvance("Null",B96,"1m")</f>
        <v>46388</v>
      </c>
      <c r="C97" s="112">
        <f t="shared" si="1"/>
        <v>7.2575342465753421</v>
      </c>
      <c r="D97" s="77">
        <f>_xll.qlYieldTSForwardRate($C$2,B97,B97,"Act/365 (Fixed)","Continuous")</f>
        <v>4.0392211413707427E-2</v>
      </c>
      <c r="E97" s="77">
        <f>_xll.qlYieldTSForwardRate($C$4,B97,B97,"Act/365 (Fixed)","Continuous")</f>
        <v>3.0000000002816584E-3</v>
      </c>
      <c r="F97" s="77">
        <f>_xll.qlYieldTSForwardRate($C$5,B97,B97,"Act/365 (Fixed)","Continuous")</f>
        <v>4.3392211413273464E-2</v>
      </c>
    </row>
    <row r="98" spans="2:6">
      <c r="B98" s="111">
        <f>_xll.qlCalendarAdvance("Null",B97,"1m")</f>
        <v>46419</v>
      </c>
      <c r="C98" s="112">
        <f t="shared" si="1"/>
        <v>7.3424657534246576</v>
      </c>
      <c r="D98" s="77">
        <f>_xll.qlYieldTSForwardRate($C$2,B98,B98,"Act/365 (Fixed)","Continuous")</f>
        <v>4.0624850238769952E-2</v>
      </c>
      <c r="E98" s="77">
        <f>_xll.qlYieldTSForwardRate($C$4,B98,B98,"Act/365 (Fixed)","Continuous")</f>
        <v>3.0000000002816584E-3</v>
      </c>
      <c r="F98" s="77">
        <f>_xll.qlYieldTSForwardRate($C$5,B98,B98,"Act/365 (Fixed)","Continuous")</f>
        <v>4.362485023959832E-2</v>
      </c>
    </row>
    <row r="99" spans="2:6">
      <c r="B99" s="111">
        <f>_xll.qlCalendarAdvance("Null",B98,"1m")</f>
        <v>46447</v>
      </c>
      <c r="C99" s="112">
        <f t="shared" si="1"/>
        <v>7.419178082191781</v>
      </c>
      <c r="D99" s="77">
        <f>_xll.qlYieldTSForwardRate($C$2,B99,B99,"Act/365 (Fixed)","Continuous")</f>
        <v>4.083497562822181E-2</v>
      </c>
      <c r="E99" s="77">
        <f>_xll.qlYieldTSForwardRate($C$4,B99,B99,"Act/365 (Fixed)","Continuous")</f>
        <v>3.0000000002816584E-3</v>
      </c>
      <c r="F99" s="77">
        <f>_xll.qlYieldTSForwardRate($C$5,B99,B99,"Act/365 (Fixed)","Continuous")</f>
        <v>4.3834975630405219E-2</v>
      </c>
    </row>
    <row r="100" spans="2:6">
      <c r="B100" s="111">
        <f>_xll.qlCalendarAdvance("Null",B99,"1m")</f>
        <v>46478</v>
      </c>
      <c r="C100" s="112">
        <f t="shared" si="1"/>
        <v>7.5041095890410956</v>
      </c>
      <c r="D100" s="77">
        <f>_xll.qlYieldTSForwardRate($C$2,B100,B100,"Act/365 (Fixed)","Continuous")</f>
        <v>4.1067614454086111E-2</v>
      </c>
      <c r="E100" s="77">
        <f>_xll.qlYieldTSForwardRate($C$4,B100,B100,"Act/365 (Fixed)","Continuous")</f>
        <v>3.0000000002816584E-3</v>
      </c>
      <c r="F100" s="77">
        <f>_xll.qlYieldTSForwardRate($C$5,B100,B100,"Act/365 (Fixed)","Continuous")</f>
        <v>4.4067614453090972E-2</v>
      </c>
    </row>
    <row r="101" spans="2:6">
      <c r="B101" s="111">
        <f>_xll.qlCalendarAdvance("Null",B100,"1m")</f>
        <v>46508</v>
      </c>
      <c r="C101" s="112">
        <f t="shared" si="1"/>
        <v>7.5863013698630137</v>
      </c>
      <c r="D101" s="77">
        <f>_xll.qlYieldTSForwardRate($C$2,B101,B101,"Act/365 (Fixed)","Continuous")</f>
        <v>4.1292748804064534E-2</v>
      </c>
      <c r="E101" s="77">
        <f>_xll.qlYieldTSForwardRate($C$4,B101,B101,"Act/365 (Fixed)","Continuous")</f>
        <v>3.0000000002816584E-3</v>
      </c>
      <c r="F101" s="77">
        <f>_xll.qlYieldTSForwardRate($C$5,B101,B101,"Act/365 (Fixed)","Continuous")</f>
        <v>4.4292748802142186E-2</v>
      </c>
    </row>
    <row r="102" spans="2:6">
      <c r="B102" s="111">
        <f>_xll.qlCalendarAdvance("Null",B101,"1m")</f>
        <v>46539</v>
      </c>
      <c r="C102" s="112">
        <f t="shared" si="1"/>
        <v>7.6712328767123283</v>
      </c>
      <c r="D102" s="77">
        <f>_xll.qlYieldTSForwardRate($C$2,B102,B102,"Act/365 (Fixed)","Continuous")</f>
        <v>4.1525387628160992E-2</v>
      </c>
      <c r="E102" s="77">
        <f>_xll.qlYieldTSForwardRate($C$4,B102,B102,"Act/365 (Fixed)","Continuous")</f>
        <v>3.0000000002816584E-3</v>
      </c>
      <c r="F102" s="77">
        <f>_xll.qlYieldTSForwardRate($C$5,B102,B102,"Act/365 (Fixed)","Continuous")</f>
        <v>4.4525387629721414E-2</v>
      </c>
    </row>
    <row r="103" spans="2:6">
      <c r="B103" s="111">
        <f>_xll.qlCalendarAdvance("Null",B102,"1m")</f>
        <v>46569</v>
      </c>
      <c r="C103" s="112">
        <f t="shared" si="1"/>
        <v>7.7534246575342465</v>
      </c>
      <c r="D103" s="77">
        <f>_xll.qlYieldTSForwardRate($C$2,B103,B103,"Act/365 (Fixed)","Continuous")</f>
        <v>4.1750521976715117E-2</v>
      </c>
      <c r="E103" s="77">
        <f>_xll.qlYieldTSForwardRate($C$4,B103,B103,"Act/365 (Fixed)","Continuous")</f>
        <v>3.0000000002816584E-3</v>
      </c>
      <c r="F103" s="77">
        <f>_xll.qlYieldTSForwardRate($C$5,B103,B103,"Act/365 (Fixed)","Continuous")</f>
        <v>4.4750521977348322E-2</v>
      </c>
    </row>
    <row r="104" spans="2:6">
      <c r="B104" s="111">
        <f>_xll.qlCalendarAdvance("Null",B103,"1m")</f>
        <v>46600</v>
      </c>
      <c r="C104" s="112">
        <f t="shared" si="1"/>
        <v>7.838356164383562</v>
      </c>
      <c r="D104" s="77">
        <f>_xll.qlYieldTSForwardRate($C$2,B104,B104,"Act/365 (Fixed)","Continuous")</f>
        <v>4.1983160801264185E-2</v>
      </c>
      <c r="E104" s="77">
        <f>_xll.qlYieldTSForwardRate($C$4,B104,B104,"Act/365 (Fixed)","Continuous")</f>
        <v>3.0000000002816584E-3</v>
      </c>
      <c r="F104" s="77">
        <f>_xll.qlYieldTSForwardRate($C$5,B104,B104,"Act/365 (Fixed)","Continuous")</f>
        <v>4.4983160800939267E-2</v>
      </c>
    </row>
    <row r="105" spans="2:6">
      <c r="B105" s="111">
        <f>_xll.qlCalendarAdvance("Null",B104,"1m")</f>
        <v>46631</v>
      </c>
      <c r="C105" s="112">
        <f t="shared" si="1"/>
        <v>7.9232876712328766</v>
      </c>
      <c r="D105" s="77">
        <f>_xll.qlYieldTSForwardRate($C$2,B105,B105,"Act/365 (Fixed)","Continuous")</f>
        <v>4.2215799627062484E-2</v>
      </c>
      <c r="E105" s="77">
        <f>_xll.qlYieldTSForwardRate($C$4,B105,B105,"Act/365 (Fixed)","Continuous")</f>
        <v>2.9999999980612128E-3</v>
      </c>
      <c r="F105" s="77">
        <f>_xll.qlYieldTSForwardRate($C$5,B105,B105,"Act/365 (Fixed)","Continuous")</f>
        <v>4.521579962577945E-2</v>
      </c>
    </row>
    <row r="106" spans="2:6">
      <c r="B106" s="111">
        <f>_xll.qlCalendarAdvance("Null",B105,"1m")</f>
        <v>46661</v>
      </c>
      <c r="C106" s="112">
        <f t="shared" si="1"/>
        <v>8.0054794520547947</v>
      </c>
      <c r="D106" s="77">
        <f>_xll.qlYieldTSForwardRate($C$2,B106,B106,"Act/365 (Fixed)","Continuous")</f>
        <v>4.2440931892846569E-2</v>
      </c>
      <c r="E106" s="77">
        <f>_xll.qlYieldTSForwardRate($C$4,B106,B106,"Act/365 (Fixed)","Continuous")</f>
        <v>3.0000000002816584E-3</v>
      </c>
      <c r="F106" s="77">
        <f>_xll.qlYieldTSForwardRate($C$5,B106,B106,"Act/365 (Fixed)","Continuous")</f>
        <v>4.5440931892857368E-2</v>
      </c>
    </row>
    <row r="107" spans="2:6">
      <c r="B107" s="111">
        <f>_xll.qlCalendarAdvance("Null",B106,"1m")</f>
        <v>46692</v>
      </c>
      <c r="C107" s="112">
        <f t="shared" si="1"/>
        <v>8.0904109589041102</v>
      </c>
      <c r="D107" s="77">
        <f>_xll.qlYieldTSForwardRate($C$2,B107,B107,"Act/365 (Fixed)","Continuous")</f>
        <v>4.2659425472302621E-2</v>
      </c>
      <c r="E107" s="77">
        <f>_xll.qlYieldTSForwardRate($C$4,B107,B107,"Act/365 (Fixed)","Continuous")</f>
        <v>3.0000000002816584E-3</v>
      </c>
      <c r="F107" s="77">
        <f>_xll.qlYieldTSForwardRate($C$5,B107,B107,"Act/365 (Fixed)","Continuous")</f>
        <v>4.5659425473378451E-2</v>
      </c>
    </row>
    <row r="108" spans="2:6">
      <c r="B108" s="111">
        <f>_xll.qlCalendarAdvance("Null",B107,"1m")</f>
        <v>46722</v>
      </c>
      <c r="C108" s="112">
        <f t="shared" si="1"/>
        <v>8.1726027397260275</v>
      </c>
      <c r="D108" s="77">
        <f>_xll.qlYieldTSForwardRate($C$2,B108,B108,"Act/365 (Fixed)","Continuous")</f>
        <v>4.2870868854584153E-2</v>
      </c>
      <c r="E108" s="77">
        <f>_xll.qlYieldTSForwardRate($C$4,B108,B108,"Act/365 (Fixed)","Continuous")</f>
        <v>3.0000000002816584E-3</v>
      </c>
      <c r="F108" s="77">
        <f>_xll.qlYieldTSForwardRate($C$5,B108,B108,"Act/365 (Fixed)","Continuous")</f>
        <v>4.5870868856619604E-2</v>
      </c>
    </row>
    <row r="109" spans="2:6">
      <c r="B109" s="111">
        <f>_xll.qlCalendarAdvance("Null",B108,"1m")</f>
        <v>46753</v>
      </c>
      <c r="C109" s="112">
        <f t="shared" si="1"/>
        <v>8.257534246575343</v>
      </c>
      <c r="D109" s="77">
        <f>_xll.qlYieldTSForwardRate($C$2,B109,B109,"Act/365 (Fixed)","Continuous")</f>
        <v>4.3089360352979132E-2</v>
      </c>
      <c r="E109" s="77">
        <f>_xll.qlYieldTSForwardRate($C$4,B109,B109,"Act/365 (Fixed)","Continuous")</f>
        <v>3.0000000002816584E-3</v>
      </c>
      <c r="F109" s="77">
        <f>_xll.qlYieldTSForwardRate($C$5,B109,B109,"Act/365 (Fixed)","Continuous")</f>
        <v>4.6089360351639352E-2</v>
      </c>
    </row>
    <row r="110" spans="2:6">
      <c r="B110" s="111">
        <f>_xll.qlCalendarAdvance("Null",B109,"1m")</f>
        <v>46784</v>
      </c>
      <c r="C110" s="112">
        <f t="shared" si="1"/>
        <v>8.3424657534246567</v>
      </c>
      <c r="D110" s="77">
        <f>_xll.qlYieldTSForwardRate($C$2,B110,B110,"Act/365 (Fixed)","Continuous")</f>
        <v>4.3307851846600257E-2</v>
      </c>
      <c r="E110" s="77">
        <f>_xll.qlYieldTSForwardRate($C$4,B110,B110,"Act/365 (Fixed)","Continuous")</f>
        <v>3.0000000002816584E-3</v>
      </c>
      <c r="F110" s="77">
        <f>_xll.qlYieldTSForwardRate($C$5,B110,B110,"Act/365 (Fixed)","Continuous")</f>
        <v>4.6307851848546543E-2</v>
      </c>
    </row>
    <row r="111" spans="2:6">
      <c r="B111" s="111">
        <f>_xll.qlCalendarAdvance("Null",B110,"1m")</f>
        <v>46813</v>
      </c>
      <c r="C111" s="112">
        <f t="shared" si="1"/>
        <v>8.4219178082191775</v>
      </c>
      <c r="D111" s="77">
        <f>_xll.qlYieldTSForwardRate($C$2,B111,B111,"Act/365 (Fixed)","Continuous")</f>
        <v>4.3512247119314777E-2</v>
      </c>
      <c r="E111" s="77">
        <f>_xll.qlYieldTSForwardRate($C$4,B111,B111,"Act/365 (Fixed)","Continuous")</f>
        <v>3.0000000002816584E-3</v>
      </c>
      <c r="F111" s="77">
        <f>_xll.qlYieldTSForwardRate($C$5,B111,B111,"Act/365 (Fixed)","Continuous")</f>
        <v>4.6512247119894268E-2</v>
      </c>
    </row>
    <row r="112" spans="2:6">
      <c r="B112" s="111">
        <f>_xll.qlCalendarAdvance("Null",B111,"1m")</f>
        <v>46844</v>
      </c>
      <c r="C112" s="112">
        <f t="shared" si="1"/>
        <v>8.506849315068493</v>
      </c>
      <c r="D112" s="77">
        <f>_xll.qlYieldTSForwardRate($C$2,B112,B112,"Act/365 (Fixed)","Continuous")</f>
        <v>4.3730738617018802E-2</v>
      </c>
      <c r="E112" s="77">
        <f>_xll.qlYieldTSForwardRate($C$4,B112,B112,"Act/365 (Fixed)","Continuous")</f>
        <v>3.0000000002816584E-3</v>
      </c>
      <c r="F112" s="77">
        <f>_xll.qlYieldTSForwardRate($C$5,B112,B112,"Act/365 (Fixed)","Continuous")</f>
        <v>4.6730738616443487E-2</v>
      </c>
    </row>
    <row r="113" spans="2:6">
      <c r="B113" s="111">
        <f>_xll.qlCalendarAdvance("Null",B112,"1m")</f>
        <v>46874</v>
      </c>
      <c r="C113" s="112">
        <f t="shared" si="1"/>
        <v>8.5890410958904102</v>
      </c>
      <c r="D113" s="77">
        <f>_xll.qlYieldTSForwardRate($C$2,B113,B113,"Act/365 (Fixed)","Continuous")</f>
        <v>4.3942181998852491E-2</v>
      </c>
      <c r="E113" s="77">
        <f>_xll.qlYieldTSForwardRate($C$4,B113,B113,"Act/365 (Fixed)","Continuous")</f>
        <v>3.0000000002816584E-3</v>
      </c>
      <c r="F113" s="77">
        <f>_xll.qlYieldTSForwardRate($C$5,B113,B113,"Act/365 (Fixed)","Continuous")</f>
        <v>4.6942181999236804E-2</v>
      </c>
    </row>
    <row r="114" spans="2:6">
      <c r="B114" s="111">
        <f>_xll.qlCalendarAdvance("Null",B113,"1m")</f>
        <v>46905</v>
      </c>
      <c r="C114" s="112">
        <f t="shared" si="1"/>
        <v>8.6739726027397257</v>
      </c>
      <c r="D114" s="77">
        <f>_xll.qlYieldTSForwardRate($C$2,B114,B114,"Act/365 (Fixed)","Continuous")</f>
        <v>4.4160673493824111E-2</v>
      </c>
      <c r="E114" s="77">
        <f>_xll.qlYieldTSForwardRate($C$4,B114,B114,"Act/365 (Fixed)","Continuous")</f>
        <v>3.0000000002816584E-3</v>
      </c>
      <c r="F114" s="77">
        <f>_xll.qlYieldTSForwardRate($C$5,B114,B114,"Act/365 (Fixed)","Continuous")</f>
        <v>4.7160673495274051E-2</v>
      </c>
    </row>
    <row r="115" spans="2:6">
      <c r="B115" s="111">
        <f>_xll.qlCalendarAdvance("Null",B114,"1m")</f>
        <v>46935</v>
      </c>
      <c r="C115" s="112">
        <f t="shared" si="1"/>
        <v>8.7561643835616429</v>
      </c>
      <c r="D115" s="77">
        <f>_xll.qlYieldTSForwardRate($C$2,B115,B115,"Act/365 (Fixed)","Continuous")</f>
        <v>4.4372116879889727E-2</v>
      </c>
      <c r="E115" s="77">
        <f>_xll.qlYieldTSForwardRate($C$4,B115,B115,"Act/365 (Fixed)","Continuous")</f>
        <v>3.0000000002816584E-3</v>
      </c>
      <c r="F115" s="77">
        <f>_xll.qlYieldTSForwardRate($C$5,B115,B115,"Act/365 (Fixed)","Continuous")</f>
        <v>4.7372116880078856E-2</v>
      </c>
    </row>
    <row r="116" spans="2:6">
      <c r="B116" s="111">
        <f>_xll.qlCalendarAdvance("Null",B115,"1m")</f>
        <v>46966</v>
      </c>
      <c r="C116" s="112">
        <f t="shared" si="1"/>
        <v>8.8410958904109584</v>
      </c>
      <c r="D116" s="77">
        <f>_xll.qlYieldTSForwardRate($C$2,B116,B116,"Act/365 (Fixed)","Continuous")</f>
        <v>4.4590608374349389E-2</v>
      </c>
      <c r="E116" s="77">
        <f>_xll.qlYieldTSForwardRate($C$4,B116,B116,"Act/365 (Fixed)","Continuous")</f>
        <v>3.0000000025021036E-3</v>
      </c>
      <c r="F116" s="77">
        <f>_xll.qlYieldTSForwardRate($C$5,B116,B116,"Act/365 (Fixed)","Continuous")</f>
        <v>4.7590608377824577E-2</v>
      </c>
    </row>
    <row r="117" spans="2:6">
      <c r="B117" s="111">
        <f>_xll.qlCalendarAdvance("Null",B116,"1m")</f>
        <v>46997</v>
      </c>
      <c r="C117" s="112">
        <f t="shared" si="1"/>
        <v>8.9260273972602739</v>
      </c>
      <c r="D117" s="77">
        <f>_xll.qlYieldTSForwardRate($C$2,B117,B117,"Act/365 (Fixed)","Continuous")</f>
        <v>4.4809099872916931E-2</v>
      </c>
      <c r="E117" s="77">
        <f>_xll.qlYieldTSForwardRate($C$4,B117,B117,"Act/365 (Fixed)","Continuous")</f>
        <v>3.0000000002816584E-3</v>
      </c>
      <c r="F117" s="77">
        <f>_xll.qlYieldTSForwardRate($C$5,B117,B117,"Act/365 (Fixed)","Continuous")</f>
        <v>4.7809099873016875E-2</v>
      </c>
    </row>
    <row r="118" spans="2:6">
      <c r="B118" s="111">
        <f>_xll.qlCalendarAdvance("Null",B117,"1m")</f>
        <v>47027</v>
      </c>
      <c r="C118" s="112">
        <f t="shared" si="1"/>
        <v>9.0082191780821912</v>
      </c>
      <c r="D118" s="77">
        <f>_xll.qlYieldTSForwardRate($C$2,B118,B118,"Act/365 (Fixed)","Continuous")</f>
        <v>4.5020541513331874E-2</v>
      </c>
      <c r="E118" s="77">
        <f>_xll.qlYieldTSForwardRate($C$4,B118,B118,"Act/365 (Fixed)","Continuous")</f>
        <v>2.9999999980612128E-3</v>
      </c>
      <c r="F118" s="77">
        <f>_xll.qlYieldTSForwardRate($C$5,B118,B118,"Act/365 (Fixed)","Continuous")</f>
        <v>4.8020541512171534E-2</v>
      </c>
    </row>
    <row r="119" spans="2:6">
      <c r="B119" s="111">
        <f>_xll.qlCalendarAdvance("Null",B118,"1m")</f>
        <v>47058</v>
      </c>
      <c r="C119" s="112">
        <f t="shared" si="1"/>
        <v>9.0931506849315067</v>
      </c>
      <c r="D119" s="77">
        <f>_xll.qlYieldTSForwardRate($C$2,B119,B119,"Act/365 (Fixed)","Continuous")</f>
        <v>4.5227191048696026E-2</v>
      </c>
      <c r="E119" s="77">
        <f>_xll.qlYieldTSForwardRate($C$4,B119,B119,"Act/365 (Fixed)","Continuous")</f>
        <v>2.9999999980612128E-3</v>
      </c>
      <c r="F119" s="77">
        <f>_xll.qlYieldTSForwardRate($C$5,B119,B119,"Act/365 (Fixed)","Continuous")</f>
        <v>4.8227191047713017E-2</v>
      </c>
    </row>
    <row r="120" spans="2:6">
      <c r="B120" s="111">
        <f>_xll.qlCalendarAdvance("Null",B119,"1m")</f>
        <v>47088</v>
      </c>
      <c r="C120" s="112">
        <f t="shared" si="1"/>
        <v>9.1753424657534239</v>
      </c>
      <c r="D120" s="77">
        <f>_xll.qlYieldTSForwardRate($C$2,B120,B120,"Act/365 (Fixed)","Continuous")</f>
        <v>4.5427172788231725E-2</v>
      </c>
      <c r="E120" s="77">
        <f>_xll.qlYieldTSForwardRate($C$4,B120,B120,"Act/365 (Fixed)","Continuous")</f>
        <v>2.9999999980612128E-3</v>
      </c>
      <c r="F120" s="77">
        <f>_xll.qlYieldTSForwardRate($C$5,B120,B120,"Act/365 (Fixed)","Continuous")</f>
        <v>4.8427172787205958E-2</v>
      </c>
    </row>
    <row r="121" spans="2:6">
      <c r="B121" s="111">
        <f>_xll.qlCalendarAdvance("Null",B120,"1m")</f>
        <v>47119</v>
      </c>
      <c r="C121" s="112">
        <f t="shared" si="1"/>
        <v>9.2602739726027394</v>
      </c>
      <c r="D121" s="77">
        <f>_xll.qlYieldTSForwardRate($C$2,B121,B121,"Act/365 (Fixed)","Continuous")</f>
        <v>4.563382058325284E-2</v>
      </c>
      <c r="E121" s="77">
        <f>_xll.qlYieldTSForwardRate($C$4,B121,B121,"Act/365 (Fixed)","Continuous")</f>
        <v>3.0000000002816584E-3</v>
      </c>
      <c r="F121" s="77">
        <f>_xll.qlYieldTSForwardRate($C$5,B121,B121,"Act/365 (Fixed)","Continuous")</f>
        <v>4.8633820582404931E-2</v>
      </c>
    </row>
    <row r="122" spans="2:6">
      <c r="B122" s="111">
        <f>_xll.qlCalendarAdvance("Null",B121,"1m")</f>
        <v>47150</v>
      </c>
      <c r="C122" s="112">
        <f t="shared" si="1"/>
        <v>9.3452054794520549</v>
      </c>
      <c r="D122" s="77">
        <f>_xll.qlYieldTSForwardRate($C$2,B122,B122,"Act/365 (Fixed)","Continuous")</f>
        <v>4.5840468378444493E-2</v>
      </c>
      <c r="E122" s="77">
        <f>_xll.qlYieldTSForwardRate($C$4,B122,B122,"Act/365 (Fixed)","Continuous")</f>
        <v>3.0000000002816584E-3</v>
      </c>
      <c r="F122" s="77">
        <f>_xll.qlYieldTSForwardRate($C$5,B122,B122,"Act/365 (Fixed)","Continuous")</f>
        <v>4.8840468377774435E-2</v>
      </c>
    </row>
    <row r="123" spans="2:6">
      <c r="B123" s="111">
        <f>_xll.qlCalendarAdvance("Null",B122,"1m")</f>
        <v>47178</v>
      </c>
      <c r="C123" s="112">
        <f t="shared" si="1"/>
        <v>9.4219178082191775</v>
      </c>
      <c r="D123" s="77">
        <f>_xll.qlYieldTSForwardRate($C$2,B123,B123,"Act/365 (Fixed)","Continuous")</f>
        <v>4.6027118000606722E-2</v>
      </c>
      <c r="E123" s="77">
        <f>_xll.qlYieldTSForwardRate($C$4,B123,B123,"Act/365 (Fixed)","Continuous")</f>
        <v>3.0000000002816584E-3</v>
      </c>
      <c r="F123" s="77">
        <f>_xll.qlYieldTSForwardRate($C$5,B123,B123,"Act/365 (Fixed)","Continuous")</f>
        <v>4.9027117999452668E-2</v>
      </c>
    </row>
    <row r="124" spans="2:6">
      <c r="B124" s="111">
        <f>_xll.qlCalendarAdvance("Null",B123,"1m")</f>
        <v>47209</v>
      </c>
      <c r="C124" s="112">
        <f t="shared" si="1"/>
        <v>9.506849315068493</v>
      </c>
      <c r="D124" s="77">
        <f>_xll.qlYieldTSForwardRate($C$2,B124,B124,"Act/365 (Fixed)","Continuous")</f>
        <v>4.6233765796552716E-2</v>
      </c>
      <c r="E124" s="77">
        <f>_xll.qlYieldTSForwardRate($C$4,B124,B124,"Act/365 (Fixed)","Continuous")</f>
        <v>3.0000000002816584E-3</v>
      </c>
      <c r="F124" s="77">
        <f>_xll.qlYieldTSForwardRate($C$5,B124,B124,"Act/365 (Fixed)","Continuous")</f>
        <v>4.9233765795576513E-2</v>
      </c>
    </row>
    <row r="125" spans="2:6">
      <c r="B125" s="111">
        <f>_xll.qlCalendarAdvance("Null",B124,"1m")</f>
        <v>47239</v>
      </c>
      <c r="C125" s="112">
        <f t="shared" si="1"/>
        <v>9.5890410958904102</v>
      </c>
      <c r="D125" s="77">
        <f>_xll.qlYieldTSForwardRate($C$2,B125,B125,"Act/365 (Fixed)","Continuous")</f>
        <v>4.6433747531501819E-2</v>
      </c>
      <c r="E125" s="77">
        <f>_xll.qlYieldTSForwardRate($C$4,B125,B125,"Act/365 (Fixed)","Continuous")</f>
        <v>2.9999999980612128E-3</v>
      </c>
      <c r="F125" s="77">
        <f>_xll.qlYieldTSForwardRate($C$5,B125,B125,"Act/365 (Fixed)","Continuous")</f>
        <v>4.9433747530482852E-2</v>
      </c>
    </row>
    <row r="126" spans="2:6">
      <c r="B126" s="111">
        <f>_xll.qlCalendarAdvance("Null",B125,"1m")</f>
        <v>47270</v>
      </c>
      <c r="C126" s="112">
        <f t="shared" si="1"/>
        <v>9.6739726027397257</v>
      </c>
      <c r="D126" s="77">
        <f>_xll.qlYieldTSForwardRate($C$2,B126,B126,"Act/365 (Fixed)","Continuous")</f>
        <v>4.6640395325706199E-2</v>
      </c>
      <c r="E126" s="77">
        <f>_xll.qlYieldTSForwardRate($C$4,B126,B126,"Act/365 (Fixed)","Continuous")</f>
        <v>2.9999999980612128E-3</v>
      </c>
      <c r="F126" s="77">
        <f>_xll.qlYieldTSForwardRate($C$5,B126,B126,"Act/365 (Fixed)","Continuous")</f>
        <v>4.964039532486509E-2</v>
      </c>
    </row>
    <row r="127" spans="2:6">
      <c r="B127" s="111">
        <f>_xll.qlCalendarAdvance("Null",B126,"1m")</f>
        <v>47300</v>
      </c>
      <c r="C127" s="112">
        <f t="shared" si="1"/>
        <v>9.7561643835616429</v>
      </c>
      <c r="D127" s="77">
        <f>_xll.qlYieldTSForwardRate($C$2,B127,B127,"Act/365 (Fixed)","Continuous")</f>
        <v>4.6840377063625635E-2</v>
      </c>
      <c r="E127" s="77">
        <f>_xll.qlYieldTSForwardRate($C$4,B127,B127,"Act/365 (Fixed)","Continuous")</f>
        <v>3.0000000002816584E-3</v>
      </c>
      <c r="F127" s="77">
        <f>_xll.qlYieldTSForwardRate($C$5,B127,B127,"Act/365 (Fixed)","Continuous")</f>
        <v>4.9840377062741761E-2</v>
      </c>
    </row>
    <row r="128" spans="2:6">
      <c r="B128" s="111">
        <f>_xll.qlCalendarAdvance("Null",B127,"1m")</f>
        <v>47331</v>
      </c>
      <c r="C128" s="112">
        <f t="shared" si="1"/>
        <v>9.8410958904109584</v>
      </c>
      <c r="D128" s="77">
        <f>_xll.qlYieldTSForwardRate($C$2,B128,B128,"Act/365 (Fixed)","Continuous")</f>
        <v>4.7047024858308854E-2</v>
      </c>
      <c r="E128" s="77">
        <f>_xll.qlYieldTSForwardRate($C$4,B128,B128,"Act/365 (Fixed)","Continuous")</f>
        <v>3.0000000002816584E-3</v>
      </c>
      <c r="F128" s="77">
        <f>_xll.qlYieldTSForwardRate($C$5,B128,B128,"Act/365 (Fixed)","Continuous")</f>
        <v>5.0047024859823271E-2</v>
      </c>
    </row>
    <row r="129" spans="2:6">
      <c r="B129" s="111">
        <f>_xll.qlCalendarAdvance("Null",B128,"1m")</f>
        <v>47362</v>
      </c>
      <c r="C129" s="112">
        <f t="shared" si="1"/>
        <v>9.9260273972602739</v>
      </c>
      <c r="D129" s="77">
        <f>_xll.qlYieldTSForwardRate($C$2,B129,B129,"Act/365 (Fixed)","Continuous")</f>
        <v>4.7253672653162611E-2</v>
      </c>
      <c r="E129" s="77">
        <f>_xll.qlYieldTSForwardRate($C$4,B129,B129,"Act/365 (Fixed)","Continuous")</f>
        <v>3.0000000002816584E-3</v>
      </c>
      <c r="F129" s="77">
        <f>_xll.qlYieldTSForwardRate($C$5,B129,B129,"Act/365 (Fixed)","Continuous")</f>
        <v>5.0253672654854871E-2</v>
      </c>
    </row>
    <row r="130" spans="2:6">
      <c r="B130" s="111">
        <f>_xll.qlCalendarAdvance("Null",B129,"1m")</f>
        <v>47392</v>
      </c>
      <c r="C130" s="112">
        <f t="shared" si="1"/>
        <v>10.008219178082191</v>
      </c>
      <c r="D130" s="77">
        <f>_xll.qlYieldTSForwardRate($C$2,B130,B130,"Act/365 (Fixed)","Continuous")</f>
        <v>4.745362426749164E-2</v>
      </c>
      <c r="E130" s="77">
        <f>_xll.qlYieldTSForwardRate($C$4,B130,B130,"Act/365 (Fixed)","Continuous")</f>
        <v>3.0000000002816584E-3</v>
      </c>
      <c r="F130" s="77">
        <f>_xll.qlYieldTSForwardRate($C$5,B130,B130,"Act/365 (Fixed)","Continuous")</f>
        <v>5.0453624266929731E-2</v>
      </c>
    </row>
    <row r="131" spans="2:6">
      <c r="B131" s="111">
        <f>_xll.qlCalendarAdvance("Null",B130,"1m")</f>
        <v>47423</v>
      </c>
      <c r="C131" s="112">
        <f t="shared" si="1"/>
        <v>10.093150684931507</v>
      </c>
      <c r="D131" s="77">
        <f>_xll.qlYieldTSForwardRate($C$2,B131,B131,"Act/365 (Fixed)","Continuous")</f>
        <v>4.7455622492919985E-2</v>
      </c>
      <c r="E131" s="77">
        <f>_xll.qlYieldTSForwardRate($C$4,B131,B131,"Act/365 (Fixed)","Continuous")</f>
        <v>3.0000000002816584E-3</v>
      </c>
      <c r="F131" s="77">
        <f>_xll.qlYieldTSForwardRate($C$5,B131,B131,"Act/365 (Fixed)","Continuous")</f>
        <v>5.0455622491758612E-2</v>
      </c>
    </row>
    <row r="132" spans="2:6">
      <c r="B132" s="111">
        <f>_xll.qlCalendarAdvance("Null",B131,"1m")</f>
        <v>47453</v>
      </c>
      <c r="C132" s="112">
        <f t="shared" si="1"/>
        <v>10.175342465753424</v>
      </c>
      <c r="D132" s="77">
        <f>_xll.qlYieldTSForwardRate($C$2,B132,B132,"Act/365 (Fixed)","Continuous")</f>
        <v>4.7457527107007201E-2</v>
      </c>
      <c r="E132" s="77">
        <f>_xll.qlYieldTSForwardRate($C$4,B132,B132,"Act/365 (Fixed)","Continuous")</f>
        <v>3.0000000002816584E-3</v>
      </c>
      <c r="F132" s="77">
        <f>_xll.qlYieldTSForwardRate($C$5,B132,B132,"Act/365 (Fixed)","Continuous")</f>
        <v>5.0457527105274437E-2</v>
      </c>
    </row>
    <row r="133" spans="2:6">
      <c r="B133" s="111">
        <f>_xll.qlCalendarAdvance("Null",B132,"1m")</f>
        <v>47484</v>
      </c>
      <c r="C133" s="112">
        <f t="shared" si="1"/>
        <v>10.260273972602739</v>
      </c>
      <c r="D133" s="77">
        <f>_xll.qlYieldTSForwardRate($C$2,B133,B133,"Act/365 (Fixed)","Continuous")</f>
        <v>4.7459495205565749E-2</v>
      </c>
      <c r="E133" s="77">
        <f>_xll.qlYieldTSForwardRate($C$4,B133,B133,"Act/365 (Fixed)","Continuous")</f>
        <v>3.0000000002816584E-3</v>
      </c>
      <c r="F133" s="77">
        <f>_xll.qlYieldTSForwardRate($C$5,B133,B133,"Act/365 (Fixed)","Continuous")</f>
        <v>5.0459495205462994E-2</v>
      </c>
    </row>
    <row r="134" spans="2:6">
      <c r="B134" s="111">
        <f>_xll.qlCalendarAdvance("Null",B133,"1m")</f>
        <v>47515</v>
      </c>
      <c r="C134" s="112">
        <f t="shared" si="1"/>
        <v>10.345205479452055</v>
      </c>
      <c r="D134" s="77">
        <f>_xll.qlYieldTSForwardRate($C$2,B134,B134,"Act/365 (Fixed)","Continuous")</f>
        <v>4.746146330856478E-2</v>
      </c>
      <c r="E134" s="77">
        <f>_xll.qlYieldTSForwardRate($C$4,B134,B134,"Act/365 (Fixed)","Continuous")</f>
        <v>3.0000000002816584E-3</v>
      </c>
      <c r="F134" s="77">
        <f>_xll.qlYieldTSForwardRate($C$5,B134,B134,"Act/365 (Fixed)","Continuous")</f>
        <v>5.0461463307871594E-2</v>
      </c>
    </row>
    <row r="135" spans="2:6">
      <c r="B135" s="111">
        <f>_xll.qlCalendarAdvance("Null",B134,"1m")</f>
        <v>47543</v>
      </c>
      <c r="C135" s="112">
        <f t="shared" si="1"/>
        <v>10.421917808219177</v>
      </c>
      <c r="D135" s="77">
        <f>_xll.qlYieldTSForwardRate($C$2,B135,B135,"Act/365 (Fixed)","Continuous")</f>
        <v>4.7463240949266669E-2</v>
      </c>
      <c r="E135" s="77">
        <f>_xll.qlYieldTSForwardRate($C$4,B135,B135,"Act/365 (Fixed)","Continuous")</f>
        <v>2.9999999980612128E-3</v>
      </c>
      <c r="F135" s="77">
        <f>_xll.qlYieldTSForwardRate($C$5,B135,B135,"Act/365 (Fixed)","Continuous")</f>
        <v>5.0463240945819748E-2</v>
      </c>
    </row>
    <row r="136" spans="2:6">
      <c r="B136" s="111">
        <f>_xll.qlCalendarAdvance("Null",B135,"1m")</f>
        <v>47574</v>
      </c>
      <c r="C136" s="112">
        <f t="shared" si="1"/>
        <v>10.506849315068493</v>
      </c>
      <c r="D136" s="77">
        <f>_xll.qlYieldTSForwardRate($C$2,B136,B136,"Act/365 (Fixed)","Continuous")</f>
        <v>4.7465209050044525E-2</v>
      </c>
      <c r="E136" s="77">
        <f>_xll.qlYieldTSForwardRate($C$4,B136,B136,"Act/365 (Fixed)","Continuous")</f>
        <v>3.0000000025021036E-3</v>
      </c>
      <c r="F136" s="77">
        <f>_xll.qlYieldTSForwardRate($C$5,B136,B136,"Act/365 (Fixed)","Continuous")</f>
        <v>5.0465209052668492E-2</v>
      </c>
    </row>
    <row r="137" spans="2:6">
      <c r="B137" s="111">
        <f>_xll.qlCalendarAdvance("Null",B136,"1m")</f>
        <v>47604</v>
      </c>
      <c r="C137" s="112">
        <f t="shared" si="1"/>
        <v>10.58904109589041</v>
      </c>
      <c r="D137" s="77">
        <f>_xll.qlYieldTSForwardRate($C$2,B137,B137,"Act/365 (Fixed)","Continuous")</f>
        <v>4.7467113664129916E-2</v>
      </c>
      <c r="E137" s="77">
        <f>_xll.qlYieldTSForwardRate($C$4,B137,B137,"Act/365 (Fixed)","Continuous")</f>
        <v>3.0000000002816584E-3</v>
      </c>
      <c r="F137" s="77">
        <f>_xll.qlYieldTSForwardRate($C$5,B137,B137,"Act/365 (Fixed)","Continuous")</f>
        <v>5.0467113663962053E-2</v>
      </c>
    </row>
    <row r="138" spans="2:6">
      <c r="B138" s="111">
        <f>_xll.qlCalendarAdvance("Null",B137,"1m")</f>
        <v>47635</v>
      </c>
      <c r="C138" s="112">
        <f t="shared" si="1"/>
        <v>10.673972602739726</v>
      </c>
      <c r="D138" s="77">
        <f>_xll.qlYieldTSForwardRate($C$2,B138,B138,"Act/365 (Fixed)","Continuous")</f>
        <v>4.7469081764907016E-2</v>
      </c>
      <c r="E138" s="77">
        <f>_xll.qlYieldTSForwardRate($C$4,B138,B138,"Act/365 (Fixed)","Continuous")</f>
        <v>3.0000000025021036E-3</v>
      </c>
      <c r="F138" s="77">
        <f>_xll.qlYieldTSForwardRate($C$5,B138,B138,"Act/365 (Fixed)","Continuous")</f>
        <v>5.0469081766369162E-2</v>
      </c>
    </row>
    <row r="139" spans="2:6">
      <c r="B139" s="111">
        <f>_xll.qlCalendarAdvance("Null",B138,"1m")</f>
        <v>47665</v>
      </c>
      <c r="C139" s="112">
        <f t="shared" ref="C139:C202" si="2">(B139-$B$10)/365</f>
        <v>10.756164383561643</v>
      </c>
      <c r="D139" s="77">
        <f>_xll.qlYieldTSForwardRate($C$2,B139,B139,"Act/365 (Fixed)","Continuous")</f>
        <v>4.7470986378991664E-2</v>
      </c>
      <c r="E139" s="77">
        <f>_xll.qlYieldTSForwardRate($C$4,B139,B139,"Act/365 (Fixed)","Continuous")</f>
        <v>3.0000000002816584E-3</v>
      </c>
      <c r="F139" s="77">
        <f>_xll.qlYieldTSForwardRate($C$5,B139,B139,"Act/365 (Fixed)","Continuous")</f>
        <v>5.0470986379882427E-2</v>
      </c>
    </row>
    <row r="140" spans="2:6">
      <c r="B140" s="111">
        <f>_xll.qlCalendarAdvance("Null",B139,"1m")</f>
        <v>47696</v>
      </c>
      <c r="C140" s="112">
        <f t="shared" si="2"/>
        <v>10.841095890410958</v>
      </c>
      <c r="D140" s="77">
        <f>_xll.qlYieldTSForwardRate($C$2,B140,B140,"Act/365 (Fixed)","Continuous")</f>
        <v>4.7472954479768001E-2</v>
      </c>
      <c r="E140" s="77">
        <f>_xll.qlYieldTSForwardRate($C$4,B140,B140,"Act/365 (Fixed)","Continuous")</f>
        <v>3.0000000025021036E-3</v>
      </c>
      <c r="F140" s="77">
        <f>_xll.qlYieldTSForwardRate($C$5,B140,B140,"Act/365 (Fixed)","Continuous")</f>
        <v>5.0472954482288772E-2</v>
      </c>
    </row>
    <row r="141" spans="2:6">
      <c r="B141" s="111">
        <f>_xll.qlCalendarAdvance("Null",B140,"1m")</f>
        <v>47727</v>
      </c>
      <c r="C141" s="112">
        <f t="shared" si="2"/>
        <v>10.926027397260274</v>
      </c>
      <c r="D141" s="77">
        <f>_xll.qlYieldTSForwardRate($C$2,B141,B141,"Act/365 (Fixed)","Continuous")</f>
        <v>4.7474922582764388E-2</v>
      </c>
      <c r="E141" s="77">
        <f>_xll.qlYieldTSForwardRate($C$4,B141,B141,"Act/365 (Fixed)","Continuous")</f>
        <v>3.0000000002816584E-3</v>
      </c>
      <c r="F141" s="77">
        <f>_xll.qlYieldTSForwardRate($C$5,B141,B141,"Act/365 (Fixed)","Continuous")</f>
        <v>5.0474922584694722E-2</v>
      </c>
    </row>
    <row r="142" spans="2:6">
      <c r="B142" s="111">
        <f>_xll.qlCalendarAdvance("Null",B141,"1m")</f>
        <v>47757</v>
      </c>
      <c r="C142" s="112">
        <f t="shared" si="2"/>
        <v>11.008219178082191</v>
      </c>
      <c r="D142" s="77">
        <f>_xll.qlYieldTSForwardRate($C$2,B142,B142,"Act/365 (Fixed)","Continuous")</f>
        <v>4.7476827194627494E-2</v>
      </c>
      <c r="E142" s="77">
        <f>_xll.qlYieldTSForwardRate($C$4,B142,B142,"Act/365 (Fixed)","Continuous")</f>
        <v>2.9999999980612128E-3</v>
      </c>
      <c r="F142" s="77">
        <f>_xll.qlYieldTSForwardRate($C$5,B142,B142,"Act/365 (Fixed)","Continuous")</f>
        <v>5.0476827193766005E-2</v>
      </c>
    </row>
    <row r="143" spans="2:6">
      <c r="B143" s="111">
        <f>_xll.qlCalendarAdvance("Null",B142,"1m")</f>
        <v>47788</v>
      </c>
      <c r="C143" s="112">
        <f t="shared" si="2"/>
        <v>11.093150684931507</v>
      </c>
      <c r="D143" s="77">
        <f>_xll.qlYieldTSForwardRate($C$2,B143,B143,"Act/365 (Fixed)","Continuous")</f>
        <v>4.7478795297623111E-2</v>
      </c>
      <c r="E143" s="77">
        <f>_xll.qlYieldTSForwardRate($C$4,B143,B143,"Act/365 (Fixed)","Continuous")</f>
        <v>3.0000000002816584E-3</v>
      </c>
      <c r="F143" s="77">
        <f>_xll.qlYieldTSForwardRate($C$5,B143,B143,"Act/365 (Fixed)","Continuous")</f>
        <v>5.0478795296171192E-2</v>
      </c>
    </row>
    <row r="144" spans="2:6">
      <c r="B144" s="111">
        <f>_xll.qlCalendarAdvance("Null",B143,"1m")</f>
        <v>47818</v>
      </c>
      <c r="C144" s="112">
        <f t="shared" si="2"/>
        <v>11.175342465753424</v>
      </c>
      <c r="D144" s="77">
        <f>_xll.qlYieldTSForwardRate($C$2,B144,B144,"Act/365 (Fixed)","Continuous")</f>
        <v>4.7480699911705906E-2</v>
      </c>
      <c r="E144" s="77">
        <f>_xll.qlYieldTSForwardRate($C$4,B144,B144,"Act/365 (Fixed)","Continuous")</f>
        <v>3.0000000002816584E-3</v>
      </c>
      <c r="F144" s="77">
        <f>_xll.qlYieldTSForwardRate($C$5,B144,B144,"Act/365 (Fixed)","Continuous")</f>
        <v>5.0480699911903043E-2</v>
      </c>
    </row>
    <row r="145" spans="2:6">
      <c r="B145" s="111">
        <f>_xll.qlCalendarAdvance("Null",B144,"1m")</f>
        <v>47849</v>
      </c>
      <c r="C145" s="112">
        <f t="shared" si="2"/>
        <v>11.260273972602739</v>
      </c>
      <c r="D145" s="77">
        <f>_xll.qlYieldTSForwardRate($C$2,B145,B145,"Act/365 (Fixed)","Continuous")</f>
        <v>4.7482668010259903E-2</v>
      </c>
      <c r="E145" s="77">
        <f>_xll.qlYieldTSForwardRate($C$4,B145,B145,"Act/365 (Fixed)","Continuous")</f>
        <v>3.0000000002816584E-3</v>
      </c>
      <c r="F145" s="77">
        <f>_xll.qlYieldTSForwardRate($C$5,B145,B145,"Act/365 (Fixed)","Continuous")</f>
        <v>5.0482668009866602E-2</v>
      </c>
    </row>
    <row r="146" spans="2:6">
      <c r="B146" s="111">
        <f>_xll.qlCalendarAdvance("Null",B145,"1m")</f>
        <v>47880</v>
      </c>
      <c r="C146" s="112">
        <f t="shared" si="2"/>
        <v>11.345205479452055</v>
      </c>
      <c r="D146" s="77">
        <f>_xll.qlYieldTSForwardRate($C$2,B146,B146,"Act/365 (Fixed)","Continuous")</f>
        <v>4.7484636113254375E-2</v>
      </c>
      <c r="E146" s="77">
        <f>_xll.qlYieldTSForwardRate($C$4,B146,B146,"Act/365 (Fixed)","Continuous")</f>
        <v>2.9999999980612128E-3</v>
      </c>
      <c r="F146" s="77">
        <f>_xll.qlYieldTSForwardRate($C$5,B146,B146,"Act/365 (Fixed)","Continuous")</f>
        <v>5.0484636112270651E-2</v>
      </c>
    </row>
    <row r="147" spans="2:6">
      <c r="B147" s="111">
        <f>_xll.qlCalendarAdvance("Null",B146,"1m")</f>
        <v>47908</v>
      </c>
      <c r="C147" s="112">
        <f t="shared" si="2"/>
        <v>11.421917808219177</v>
      </c>
      <c r="D147" s="77">
        <f>_xll.qlYieldTSForwardRate($C$2,B147,B147,"Act/365 (Fixed)","Continuous")</f>
        <v>4.7486413751731703E-2</v>
      </c>
      <c r="E147" s="77">
        <f>_xll.qlYieldTSForwardRate($C$4,B147,B147,"Act/365 (Fixed)","Continuous")</f>
        <v>3.0000000002816584E-3</v>
      </c>
      <c r="F147" s="77">
        <f>_xll.qlYieldTSForwardRate($C$5,B147,B147,"Act/365 (Fixed)","Continuous")</f>
        <v>5.0486413752435115E-2</v>
      </c>
    </row>
    <row r="148" spans="2:6">
      <c r="B148" s="111">
        <f>_xll.qlCalendarAdvance("Null",B147,"1m")</f>
        <v>47939</v>
      </c>
      <c r="C148" s="112">
        <f t="shared" si="2"/>
        <v>11.506849315068493</v>
      </c>
      <c r="D148" s="77">
        <f>_xll.qlYieldTSForwardRate($C$2,B148,B148,"Act/365 (Fixed)","Continuous")</f>
        <v>4.7488381856945872E-2</v>
      </c>
      <c r="E148" s="77">
        <f>_xll.qlYieldTSForwardRate($C$4,B148,B148,"Act/365 (Fixed)","Continuous")</f>
        <v>3.0000000002816584E-3</v>
      </c>
      <c r="F148" s="77">
        <f>_xll.qlYieldTSForwardRate($C$5,B148,B148,"Act/365 (Fixed)","Continuous")</f>
        <v>5.048838185705886E-2</v>
      </c>
    </row>
    <row r="149" spans="2:6">
      <c r="B149" s="111">
        <f>_xll.qlCalendarAdvance("Null",B148,"1m")</f>
        <v>47969</v>
      </c>
      <c r="C149" s="112">
        <f t="shared" si="2"/>
        <v>11.58904109589041</v>
      </c>
      <c r="D149" s="77">
        <f>_xll.qlYieldTSForwardRate($C$2,B149,B149,"Act/365 (Fixed)","Continuous")</f>
        <v>4.749028646880641E-2</v>
      </c>
      <c r="E149" s="77">
        <f>_xll.qlYieldTSForwardRate($C$4,B149,B149,"Act/365 (Fixed)","Continuous")</f>
        <v>3.0000000002816584E-3</v>
      </c>
      <c r="F149" s="77">
        <f>_xll.qlYieldTSForwardRate($C$5,B149,B149,"Act/365 (Fixed)","Continuous")</f>
        <v>5.0490286470568448E-2</v>
      </c>
    </row>
    <row r="150" spans="2:6">
      <c r="B150" s="111">
        <f>_xll.qlCalendarAdvance("Null",B149,"1m")</f>
        <v>48000</v>
      </c>
      <c r="C150" s="112">
        <f t="shared" si="2"/>
        <v>11.673972602739726</v>
      </c>
      <c r="D150" s="77">
        <f>_xll.qlYieldTSForwardRate($C$2,B150,B150,"Act/365 (Fixed)","Continuous")</f>
        <v>4.7492254569578951E-2</v>
      </c>
      <c r="E150" s="77">
        <f>_xll.qlYieldTSForwardRate($C$4,B150,B150,"Act/365 (Fixed)","Continuous")</f>
        <v>2.9999999980612128E-3</v>
      </c>
      <c r="F150" s="77">
        <f>_xll.qlYieldTSForwardRate($C$5,B150,B150,"Act/365 (Fixed)","Continuous")</f>
        <v>5.0492254566309687E-2</v>
      </c>
    </row>
    <row r="151" spans="2:6">
      <c r="B151" s="111">
        <f>_xll.qlCalendarAdvance("Null",B150,"1m")</f>
        <v>48030</v>
      </c>
      <c r="C151" s="112">
        <f t="shared" si="2"/>
        <v>11.756164383561643</v>
      </c>
      <c r="D151" s="77">
        <f>_xll.qlYieldTSForwardRate($C$2,B151,B151,"Act/365 (Fixed)","Continuous")</f>
        <v>4.7494159183659179E-2</v>
      </c>
      <c r="E151" s="77">
        <f>_xll.qlYieldTSForwardRate($C$4,B151,B151,"Act/365 (Fixed)","Continuous")</f>
        <v>3.0000000002816584E-3</v>
      </c>
      <c r="F151" s="77">
        <f>_xll.qlYieldTSForwardRate($C$5,B151,B151,"Act/365 (Fixed)","Continuous")</f>
        <v>5.0494159182038971E-2</v>
      </c>
    </row>
    <row r="152" spans="2:6">
      <c r="B152" s="111">
        <f>_xll.qlCalendarAdvance("Null",B151,"1m")</f>
        <v>48061</v>
      </c>
      <c r="C152" s="112">
        <f t="shared" si="2"/>
        <v>11.841095890410958</v>
      </c>
      <c r="D152" s="77">
        <f>_xll.qlYieldTSForwardRate($C$2,B152,B152,"Act/365 (Fixed)","Continuous")</f>
        <v>4.7496127284430964E-2</v>
      </c>
      <c r="E152" s="77">
        <f>_xll.qlYieldTSForwardRate($C$4,B152,B152,"Act/365 (Fixed)","Continuous")</f>
        <v>3.0000000002816584E-3</v>
      </c>
      <c r="F152" s="77">
        <f>_xll.qlYieldTSForwardRate($C$5,B152,B152,"Act/365 (Fixed)","Continuous")</f>
        <v>5.0496127284440757E-2</v>
      </c>
    </row>
    <row r="153" spans="2:6">
      <c r="B153" s="111">
        <f>_xll.qlCalendarAdvance("Null",B152,"1m")</f>
        <v>48092</v>
      </c>
      <c r="C153" s="112">
        <f t="shared" si="2"/>
        <v>11.926027397260274</v>
      </c>
      <c r="D153" s="77">
        <f>_xll.qlYieldTSForwardRate($C$2,B153,B153,"Act/365 (Fixed)","Continuous")</f>
        <v>4.7498095387422785E-2</v>
      </c>
      <c r="E153" s="77">
        <f>_xll.qlYieldTSForwardRate($C$4,B153,B153,"Act/365 (Fixed)","Continuous")</f>
        <v>3.0000000025021036E-3</v>
      </c>
      <c r="F153" s="77">
        <f>_xll.qlYieldTSForwardRate($C$5,B153,B153,"Act/365 (Fixed)","Continuous")</f>
        <v>5.0498095389062587E-2</v>
      </c>
    </row>
    <row r="154" spans="2:6">
      <c r="B154" s="111">
        <f>_xll.qlCalendarAdvance("Null",B153,"1m")</f>
        <v>48122</v>
      </c>
      <c r="C154" s="112">
        <f t="shared" si="2"/>
        <v>12.008219178082191</v>
      </c>
      <c r="D154" s="77">
        <f>_xll.qlYieldTSForwardRate($C$2,B154,B154,"Act/365 (Fixed)","Continuous")</f>
        <v>4.7499997627856352E-2</v>
      </c>
      <c r="E154" s="77">
        <f>_xll.qlYieldTSForwardRate($C$4,B154,B154,"Act/365 (Fixed)","Continuous")</f>
        <v>3.0000000002816584E-3</v>
      </c>
      <c r="F154" s="77">
        <f>_xll.qlYieldTSForwardRate($C$5,B154,B154,"Act/365 (Fixed)","Continuous")</f>
        <v>5.0499997626705047E-2</v>
      </c>
    </row>
    <row r="155" spans="2:6">
      <c r="B155" s="111">
        <f>_xll.qlCalendarAdvance("Null",B154,"1m")</f>
        <v>48153</v>
      </c>
      <c r="C155" s="112">
        <f t="shared" si="2"/>
        <v>12.093150684931507</v>
      </c>
      <c r="D155" s="77">
        <f>_xll.qlYieldTSForwardRate($C$2,B155,B155,"Act/365 (Fixed)","Continuous")</f>
        <v>4.7485857665863766E-2</v>
      </c>
      <c r="E155" s="77">
        <f>_xll.qlYieldTSForwardRate($C$4,B155,B155,"Act/365 (Fixed)","Continuous")</f>
        <v>3.0000000002816584E-3</v>
      </c>
      <c r="F155" s="77">
        <f>_xll.qlYieldTSForwardRate($C$5,B155,B155,"Act/365 (Fixed)","Continuous")</f>
        <v>5.0485857666734017E-2</v>
      </c>
    </row>
    <row r="156" spans="2:6">
      <c r="B156" s="111">
        <f>_xll.qlCalendarAdvance("Null",B155,"1m")</f>
        <v>48183</v>
      </c>
      <c r="C156" s="112">
        <f t="shared" si="2"/>
        <v>12.175342465753424</v>
      </c>
      <c r="D156" s="77">
        <f>_xll.qlYieldTSForwardRate($C$2,B156,B156,"Act/365 (Fixed)","Continuous")</f>
        <v>4.7472171534223874E-2</v>
      </c>
      <c r="E156" s="77">
        <f>_xll.qlYieldTSForwardRate($C$4,B156,B156,"Act/365 (Fixed)","Continuous")</f>
        <v>2.9999999980612128E-3</v>
      </c>
      <c r="F156" s="77">
        <f>_xll.qlYieldTSForwardRate($C$5,B156,B156,"Act/365 (Fixed)","Continuous")</f>
        <v>5.0472171532538655E-2</v>
      </c>
    </row>
    <row r="157" spans="2:6">
      <c r="B157" s="111">
        <f>_xll.qlCalendarAdvance("Null",B156,"1m")</f>
        <v>48214</v>
      </c>
      <c r="C157" s="112">
        <f t="shared" si="2"/>
        <v>12.260273972602739</v>
      </c>
      <c r="D157" s="77">
        <f>_xll.qlYieldTSForwardRate($C$2,B157,B157,"Act/365 (Fixed)","Continuous")</f>
        <v>4.745802919632594E-2</v>
      </c>
      <c r="E157" s="77">
        <f>_xll.qlYieldTSForwardRate($C$4,B157,B157,"Act/365 (Fixed)","Continuous")</f>
        <v>3.0000000002816584E-3</v>
      </c>
      <c r="F157" s="77">
        <f>_xll.qlYieldTSForwardRate($C$5,B157,B157,"Act/365 (Fixed)","Continuous")</f>
        <v>5.0458029198883418E-2</v>
      </c>
    </row>
    <row r="158" spans="2:6">
      <c r="B158" s="111">
        <f>_xll.qlCalendarAdvance("Null",B157,"1m")</f>
        <v>48245</v>
      </c>
      <c r="C158" s="112">
        <f t="shared" si="2"/>
        <v>12.345205479452055</v>
      </c>
      <c r="D158" s="77">
        <f>_xll.qlYieldTSForwardRate($C$2,B158,B158,"Act/365 (Fixed)","Continuous")</f>
        <v>4.7443886860628441E-2</v>
      </c>
      <c r="E158" s="77">
        <f>_xll.qlYieldTSForwardRate($C$4,B158,B158,"Act/365 (Fixed)","Continuous")</f>
        <v>3.0000000002816584E-3</v>
      </c>
      <c r="F158" s="77">
        <f>_xll.qlYieldTSForwardRate($C$5,B158,B158,"Act/365 (Fixed)","Continuous")</f>
        <v>5.0443886860767319E-2</v>
      </c>
    </row>
    <row r="159" spans="2:6">
      <c r="B159" s="111">
        <f>_xll.qlCalendarAdvance("Null",B158,"1m")</f>
        <v>48274</v>
      </c>
      <c r="C159" s="112">
        <f t="shared" si="2"/>
        <v>12.424657534246576</v>
      </c>
      <c r="D159" s="77">
        <f>_xll.qlYieldTSForwardRate($C$2,B159,B159,"Act/365 (Fixed)","Continuous")</f>
        <v>4.7430656932951239E-2</v>
      </c>
      <c r="E159" s="77">
        <f>_xll.qlYieldTSForwardRate($C$4,B159,B159,"Act/365 (Fixed)","Continuous")</f>
        <v>3.0000000002816584E-3</v>
      </c>
      <c r="F159" s="77">
        <f>_xll.qlYieldTSForwardRate($C$5,B159,B159,"Act/365 (Fixed)","Continuous")</f>
        <v>5.0430656934838662E-2</v>
      </c>
    </row>
    <row r="160" spans="2:6">
      <c r="B160" s="111">
        <f>_xll.qlCalendarAdvance("Null",B159,"1m")</f>
        <v>48305</v>
      </c>
      <c r="C160" s="112">
        <f t="shared" si="2"/>
        <v>12.509589041095891</v>
      </c>
      <c r="D160" s="77">
        <f>_xll.qlYieldTSForwardRate($C$2,B160,B160,"Act/365 (Fixed)","Continuous")</f>
        <v>4.7416514597215034E-2</v>
      </c>
      <c r="E160" s="77">
        <f>_xll.qlYieldTSForwardRate($C$4,B160,B160,"Act/365 (Fixed)","Continuous")</f>
        <v>2.9999999980612128E-3</v>
      </c>
      <c r="F160" s="77">
        <f>_xll.qlYieldTSForwardRate($C$5,B160,B160,"Act/365 (Fixed)","Continuous")</f>
        <v>5.0416514596683844E-2</v>
      </c>
    </row>
    <row r="161" spans="2:6">
      <c r="B161" s="111">
        <f>_xll.qlCalendarAdvance("Null",B160,"1m")</f>
        <v>48335</v>
      </c>
      <c r="C161" s="112">
        <f t="shared" si="2"/>
        <v>12.591780821917808</v>
      </c>
      <c r="D161" s="77">
        <f>_xll.qlYieldTSForwardRate($C$2,B161,B161,"Act/365 (Fixed)","Continuous")</f>
        <v>4.7402828467700671E-2</v>
      </c>
      <c r="E161" s="77">
        <f>_xll.qlYieldTSForwardRate($C$4,B161,B161,"Act/365 (Fixed)","Continuous")</f>
        <v>3.0000000002816584E-3</v>
      </c>
      <c r="F161" s="77">
        <f>_xll.qlYieldTSForwardRate($C$5,B161,B161,"Act/365 (Fixed)","Continuous")</f>
        <v>5.040282846683445E-2</v>
      </c>
    </row>
    <row r="162" spans="2:6">
      <c r="B162" s="111">
        <f>_xll.qlCalendarAdvance("Null",B161,"1m")</f>
        <v>48366</v>
      </c>
      <c r="C162" s="112">
        <f t="shared" si="2"/>
        <v>12.676712328767124</v>
      </c>
      <c r="D162" s="77">
        <f>_xll.qlYieldTSForwardRate($C$2,B162,B162,"Act/365 (Fixed)","Continuous")</f>
        <v>4.7388686129704663E-2</v>
      </c>
      <c r="E162" s="77">
        <f>_xll.qlYieldTSForwardRate($C$4,B162,B162,"Act/365 (Fixed)","Continuous")</f>
        <v>3.0000000002816584E-3</v>
      </c>
      <c r="F162" s="77">
        <f>_xll.qlYieldTSForwardRate($C$5,B162,B162,"Act/365 (Fixed)","Continuous")</f>
        <v>5.0388686130860713E-2</v>
      </c>
    </row>
    <row r="163" spans="2:6">
      <c r="B163" s="111">
        <f>_xll.qlCalendarAdvance("Null",B162,"1m")</f>
        <v>48396</v>
      </c>
      <c r="C163" s="112">
        <f t="shared" si="2"/>
        <v>12.758904109589041</v>
      </c>
      <c r="D163" s="77">
        <f>_xll.qlYieldTSForwardRate($C$2,B163,B163,"Act/365 (Fixed)","Continuous")</f>
        <v>4.7375000000152219E-2</v>
      </c>
      <c r="E163" s="77">
        <f>_xll.qlYieldTSForwardRate($C$4,B163,B163,"Act/365 (Fixed)","Continuous")</f>
        <v>3.0000000002816584E-3</v>
      </c>
      <c r="F163" s="77">
        <f>_xll.qlYieldTSForwardRate($C$5,B163,B163,"Act/365 (Fixed)","Continuous")</f>
        <v>5.0374999998752799E-2</v>
      </c>
    </row>
    <row r="164" spans="2:6">
      <c r="B164" s="111">
        <f>_xll.qlCalendarAdvance("Null",B163,"1m")</f>
        <v>48427</v>
      </c>
      <c r="C164" s="112">
        <f t="shared" si="2"/>
        <v>12.843835616438357</v>
      </c>
      <c r="D164" s="77">
        <f>_xll.qlYieldTSForwardRate($C$2,B164,B164,"Act/365 (Fixed)","Continuous")</f>
        <v>4.7360857664337293E-2</v>
      </c>
      <c r="E164" s="77">
        <f>_xll.qlYieldTSForwardRate($C$4,B164,B164,"Act/365 (Fixed)","Continuous")</f>
        <v>2.9999999980612128E-3</v>
      </c>
      <c r="F164" s="77">
        <f>_xll.qlYieldTSForwardRate($C$5,B164,B164,"Act/365 (Fixed)","Continuous")</f>
        <v>5.0360857662739712E-2</v>
      </c>
    </row>
    <row r="165" spans="2:6">
      <c r="B165" s="111">
        <f>_xll.qlCalendarAdvance("Null",B164,"1m")</f>
        <v>48458</v>
      </c>
      <c r="C165" s="112">
        <f t="shared" si="2"/>
        <v>12.92876712328767</v>
      </c>
      <c r="D165" s="77">
        <f>_xll.qlYieldTSForwardRate($C$2,B165,B165,"Act/365 (Fixed)","Continuous")</f>
        <v>4.7346715328502376E-2</v>
      </c>
      <c r="E165" s="77">
        <f>_xll.qlYieldTSForwardRate($C$4,B165,B165,"Act/365 (Fixed)","Continuous")</f>
        <v>3.0000000002816584E-3</v>
      </c>
      <c r="F165" s="77">
        <f>_xll.qlYieldTSForwardRate($C$5,B165,B165,"Act/365 (Fixed)","Continuous")</f>
        <v>5.034671532670662E-2</v>
      </c>
    </row>
    <row r="166" spans="2:6">
      <c r="B166" s="111">
        <f>_xll.qlCalendarAdvance("Null",B165,"1m")</f>
        <v>48488</v>
      </c>
      <c r="C166" s="112">
        <f t="shared" si="2"/>
        <v>13.010958904109589</v>
      </c>
      <c r="D166" s="77">
        <f>_xll.qlYieldTSForwardRate($C$2,B166,B166,"Act/365 (Fixed)","Continuous")</f>
        <v>4.7333029198892485E-2</v>
      </c>
      <c r="E166" s="77">
        <f>_xll.qlYieldTSForwardRate($C$4,B166,B166,"Act/365 (Fixed)","Continuous")</f>
        <v>3.0000000002816584E-3</v>
      </c>
      <c r="F166" s="77">
        <f>_xll.qlYieldTSForwardRate($C$5,B166,B166,"Act/365 (Fixed)","Continuous")</f>
        <v>5.0333029198982131E-2</v>
      </c>
    </row>
    <row r="167" spans="2:6">
      <c r="B167" s="111">
        <f>_xll.qlCalendarAdvance("Null",B166,"1m")</f>
        <v>48519</v>
      </c>
      <c r="C167" s="112">
        <f t="shared" si="2"/>
        <v>13.095890410958905</v>
      </c>
      <c r="D167" s="77">
        <f>_xll.qlYieldTSForwardRate($C$2,B167,B167,"Act/365 (Fixed)","Continuous")</f>
        <v>4.7318886860797771E-2</v>
      </c>
      <c r="E167" s="77">
        <f>_xll.qlYieldTSForwardRate($C$4,B167,B167,"Act/365 (Fixed)","Continuous")</f>
        <v>3.0000000002816584E-3</v>
      </c>
      <c r="F167" s="77">
        <f>_xll.qlYieldTSForwardRate($C$5,B167,B167,"Act/365 (Fixed)","Continuous")</f>
        <v>5.0318886860689242E-2</v>
      </c>
    </row>
    <row r="168" spans="2:6">
      <c r="B168" s="111">
        <f>_xll.qlCalendarAdvance("Null",B167,"1m")</f>
        <v>48549</v>
      </c>
      <c r="C168" s="112">
        <f t="shared" si="2"/>
        <v>13.178082191780822</v>
      </c>
      <c r="D168" s="77">
        <f>_xll.qlYieldTSForwardRate($C$2,B168,B168,"Act/365 (Fixed)","Continuous")</f>
        <v>4.7305200731149785E-2</v>
      </c>
      <c r="E168" s="77">
        <f>_xll.qlYieldTSForwardRate($C$4,B168,B168,"Act/365 (Fixed)","Continuous")</f>
        <v>3.0000000002816584E-3</v>
      </c>
      <c r="F168" s="77">
        <f>_xll.qlYieldTSForwardRate($C$5,B168,B168,"Act/365 (Fixed)","Continuous")</f>
        <v>5.0305200730706233E-2</v>
      </c>
    </row>
    <row r="169" spans="2:6">
      <c r="B169" s="111">
        <f>_xll.qlCalendarAdvance("Null",B168,"1m")</f>
        <v>48580</v>
      </c>
      <c r="C169" s="112">
        <f t="shared" si="2"/>
        <v>13.263013698630138</v>
      </c>
      <c r="D169" s="77">
        <f>_xll.qlYieldTSForwardRate($C$2,B169,B169,"Act/365 (Fixed)","Continuous")</f>
        <v>4.7291058393015721E-2</v>
      </c>
      <c r="E169" s="77">
        <f>_xll.qlYieldTSForwardRate($C$4,B169,B169,"Act/365 (Fixed)","Continuous")</f>
        <v>2.9999999980612128E-3</v>
      </c>
      <c r="F169" s="77">
        <f>_xll.qlYieldTSForwardRate($C$5,B169,B169,"Act/365 (Fixed)","Continuous")</f>
        <v>5.0291058394594426E-2</v>
      </c>
    </row>
    <row r="170" spans="2:6">
      <c r="B170" s="111">
        <f>_xll.qlCalendarAdvance("Null",B169,"1m")</f>
        <v>48611</v>
      </c>
      <c r="C170" s="112">
        <f t="shared" si="2"/>
        <v>13.347945205479451</v>
      </c>
      <c r="D170" s="77">
        <f>_xll.qlYieldTSForwardRate($C$2,B170,B170,"Act/365 (Fixed)","Continuous")</f>
        <v>4.7276916059302516E-2</v>
      </c>
      <c r="E170" s="77">
        <f>_xll.qlYieldTSForwardRate($C$4,B170,B170,"Act/365 (Fixed)","Continuous")</f>
        <v>3.0000000002816584E-3</v>
      </c>
      <c r="F170" s="77">
        <f>_xll.qlYieldTSForwardRate($C$5,B170,B170,"Act/365 (Fixed)","Continuous")</f>
        <v>5.0276916060683061E-2</v>
      </c>
    </row>
    <row r="171" spans="2:6">
      <c r="B171" s="111">
        <f>_xll.qlCalendarAdvance("Null",B170,"1m")</f>
        <v>48639</v>
      </c>
      <c r="C171" s="112">
        <f t="shared" si="2"/>
        <v>13.424657534246576</v>
      </c>
      <c r="D171" s="77">
        <f>_xll.qlYieldTSForwardRate($C$2,B171,B171,"Act/365 (Fixed)","Continuous")</f>
        <v>4.7264142335432163E-2</v>
      </c>
      <c r="E171" s="77">
        <f>_xll.qlYieldTSForwardRate($C$4,B171,B171,"Act/365 (Fixed)","Continuous")</f>
        <v>3.0000000002816584E-3</v>
      </c>
      <c r="F171" s="77">
        <f>_xll.qlYieldTSForwardRate($C$5,B171,B171,"Act/365 (Fixed)","Continuous")</f>
        <v>5.0264142336203944E-2</v>
      </c>
    </row>
    <row r="172" spans="2:6">
      <c r="B172" s="111">
        <f>_xll.qlCalendarAdvance("Null",B171,"1m")</f>
        <v>48670</v>
      </c>
      <c r="C172" s="112">
        <f t="shared" si="2"/>
        <v>13.509589041095891</v>
      </c>
      <c r="D172" s="77">
        <f>_xll.qlYieldTSForwardRate($C$2,B172,B172,"Act/365 (Fixed)","Continuous")</f>
        <v>4.724999999946046E-2</v>
      </c>
      <c r="E172" s="77">
        <f>_xll.qlYieldTSForwardRate($C$4,B172,B172,"Act/365 (Fixed)","Continuous")</f>
        <v>3.0000000002816584E-3</v>
      </c>
      <c r="F172" s="77">
        <f>_xll.qlYieldTSForwardRate($C$5,B172,B172,"Act/365 (Fixed)","Continuous")</f>
        <v>5.0250000000034073E-2</v>
      </c>
    </row>
    <row r="173" spans="2:6">
      <c r="B173" s="111">
        <f>_xll.qlCalendarAdvance("Null",B172,"1m")</f>
        <v>48700</v>
      </c>
      <c r="C173" s="112">
        <f t="shared" si="2"/>
        <v>13.591780821917808</v>
      </c>
      <c r="D173" s="77">
        <f>_xll.qlYieldTSForwardRate($C$2,B173,B173,"Act/365 (Fixed)","Continuous")</f>
        <v>4.7236313867497763E-2</v>
      </c>
      <c r="E173" s="77">
        <f>_xll.qlYieldTSForwardRate($C$4,B173,B173,"Act/365 (Fixed)","Continuous")</f>
        <v>2.9999999980612128E-3</v>
      </c>
      <c r="F173" s="77">
        <f>_xll.qlYieldTSForwardRate($C$5,B173,B173,"Act/365 (Fixed)","Continuous")</f>
        <v>5.0236313867736353E-2</v>
      </c>
    </row>
    <row r="174" spans="2:6">
      <c r="B174" s="111">
        <f>_xll.qlCalendarAdvance("Null",B173,"1m")</f>
        <v>48731</v>
      </c>
      <c r="C174" s="112">
        <f t="shared" si="2"/>
        <v>13.676712328767124</v>
      </c>
      <c r="D174" s="77">
        <f>_xll.qlYieldTSForwardRate($C$2,B174,B174,"Act/365 (Fixed)","Continuous")</f>
        <v>4.7222171533707141E-2</v>
      </c>
      <c r="E174" s="77">
        <f>_xll.qlYieldTSForwardRate($C$4,B174,B174,"Act/365 (Fixed)","Continuous")</f>
        <v>2.9999999980612128E-3</v>
      </c>
      <c r="F174" s="77">
        <f>_xll.qlYieldTSForwardRate($C$5,B174,B174,"Act/365 (Fixed)","Continuous")</f>
        <v>5.0222171531527131E-2</v>
      </c>
    </row>
    <row r="175" spans="2:6">
      <c r="B175" s="111">
        <f>_xll.qlCalendarAdvance("Null",B174,"1m")</f>
        <v>48761</v>
      </c>
      <c r="C175" s="112">
        <f t="shared" si="2"/>
        <v>13.758904109589041</v>
      </c>
      <c r="D175" s="77">
        <f>_xll.qlYieldTSForwardRate($C$2,B175,B175,"Act/365 (Fixed)","Continuous")</f>
        <v>4.7208485401706364E-2</v>
      </c>
      <c r="E175" s="77">
        <f>_xll.qlYieldTSForwardRate($C$4,B175,B175,"Act/365 (Fixed)","Continuous")</f>
        <v>2.9999999980612128E-3</v>
      </c>
      <c r="F175" s="77">
        <f>_xll.qlYieldTSForwardRate($C$5,B175,B175,"Act/365 (Fixed)","Continuous")</f>
        <v>5.0208485399191316E-2</v>
      </c>
    </row>
    <row r="176" spans="2:6">
      <c r="B176" s="111">
        <f>_xll.qlCalendarAdvance("Null",B175,"1m")</f>
        <v>48792</v>
      </c>
      <c r="C176" s="112">
        <f t="shared" si="2"/>
        <v>13.843835616438357</v>
      </c>
      <c r="D176" s="77">
        <f>_xll.qlYieldTSForwardRate($C$2,B176,B176,"Act/365 (Fixed)","Continuous")</f>
        <v>4.7194343065655946E-2</v>
      </c>
      <c r="E176" s="77">
        <f>_xll.qlYieldTSForwardRate($C$4,B176,B176,"Act/365 (Fixed)","Continuous")</f>
        <v>3.0000000002816584E-3</v>
      </c>
      <c r="F176" s="77">
        <f>_xll.qlYieldTSForwardRate($C$5,B176,B176,"Act/365 (Fixed)","Continuous")</f>
        <v>5.0194343067383601E-2</v>
      </c>
    </row>
    <row r="177" spans="2:6">
      <c r="B177" s="111">
        <f>_xll.qlCalendarAdvance("Null",B176,"1m")</f>
        <v>48823</v>
      </c>
      <c r="C177" s="112">
        <f t="shared" si="2"/>
        <v>13.92876712328767</v>
      </c>
      <c r="D177" s="77">
        <f>_xll.qlYieldTSForwardRate($C$2,B177,B177,"Act/365 (Fixed)","Continuous")</f>
        <v>4.7180200729585536E-2</v>
      </c>
      <c r="E177" s="77">
        <f>_xll.qlYieldTSForwardRate($C$4,B177,B177,"Act/365 (Fixed)","Continuous")</f>
        <v>3.0000000002816584E-3</v>
      </c>
      <c r="F177" s="77">
        <f>_xll.qlYieldTSForwardRate($C$5,B177,B177,"Act/365 (Fixed)","Continuous")</f>
        <v>5.0180200726674153E-2</v>
      </c>
    </row>
    <row r="178" spans="2:6">
      <c r="B178" s="111">
        <f>_xll.qlCalendarAdvance("Null",B177,"1m")</f>
        <v>48853</v>
      </c>
      <c r="C178" s="112">
        <f t="shared" si="2"/>
        <v>14.010958904109589</v>
      </c>
      <c r="D178" s="77">
        <f>_xll.qlYieldTSForwardRate($C$2,B178,B178,"Act/365 (Fixed)","Continuous")</f>
        <v>4.7166514597527312E-2</v>
      </c>
      <c r="E178" s="77">
        <f>_xll.qlYieldTSForwardRate($C$4,B178,B178,"Act/365 (Fixed)","Continuous")</f>
        <v>2.9999999980612128E-3</v>
      </c>
      <c r="F178" s="77">
        <f>_xll.qlYieldTSForwardRate($C$5,B178,B178,"Act/365 (Fixed)","Continuous")</f>
        <v>5.016651459650133E-2</v>
      </c>
    </row>
    <row r="179" spans="2:6">
      <c r="B179" s="111">
        <f>_xll.qlCalendarAdvance("Null",B178,"1m")</f>
        <v>48884</v>
      </c>
      <c r="C179" s="112">
        <f t="shared" si="2"/>
        <v>14.095890410958905</v>
      </c>
      <c r="D179" s="77">
        <f>_xll.qlYieldTSForwardRate($C$2,B179,B179,"Act/365 (Fixed)","Continuous")</f>
        <v>4.7152372263637984E-2</v>
      </c>
      <c r="E179" s="77">
        <f>_xll.qlYieldTSForwardRate($C$4,B179,B179,"Act/365 (Fixed)","Continuous")</f>
        <v>3.0000000002816584E-3</v>
      </c>
      <c r="F179" s="77">
        <f>_xll.qlYieldTSForwardRate($C$5,B179,B179,"Act/365 (Fixed)","Continuous")</f>
        <v>5.0152372262413827E-2</v>
      </c>
    </row>
    <row r="180" spans="2:6">
      <c r="B180" s="111">
        <f>_xll.qlCalendarAdvance("Null",B179,"1m")</f>
        <v>48914</v>
      </c>
      <c r="C180" s="112">
        <f t="shared" si="2"/>
        <v>14.178082191780822</v>
      </c>
      <c r="D180" s="77">
        <f>_xll.qlYieldTSForwardRate($C$2,B180,B180,"Act/365 (Fixed)","Continuous")</f>
        <v>4.7138686131541679E-2</v>
      </c>
      <c r="E180" s="77">
        <f>_xll.qlYieldTSForwardRate($C$4,B180,B180,"Act/365 (Fixed)","Continuous")</f>
        <v>3.0000000002816584E-3</v>
      </c>
      <c r="F180" s="77">
        <f>_xll.qlYieldTSForwardRate($C$5,B180,B180,"Act/365 (Fixed)","Continuous")</f>
        <v>5.0138686129982492E-2</v>
      </c>
    </row>
    <row r="181" spans="2:6">
      <c r="B181" s="111">
        <f>_xll.qlCalendarAdvance("Null",B180,"1m")</f>
        <v>48945</v>
      </c>
      <c r="C181" s="112">
        <f t="shared" si="2"/>
        <v>14.263013698630138</v>
      </c>
      <c r="D181" s="77">
        <f>_xll.qlYieldTSForwardRate($C$2,B181,B181,"Act/365 (Fixed)","Continuous")</f>
        <v>4.7124543793172109E-2</v>
      </c>
      <c r="E181" s="77">
        <f>_xll.qlYieldTSForwardRate($C$4,B181,B181,"Act/365 (Fixed)","Continuous")</f>
        <v>3.0000000002816584E-3</v>
      </c>
      <c r="F181" s="77">
        <f>_xll.qlYieldTSForwardRate($C$5,B181,B181,"Act/365 (Fixed)","Continuous")</f>
        <v>5.01245437936352E-2</v>
      </c>
    </row>
    <row r="182" spans="2:6">
      <c r="B182" s="111">
        <f>_xll.qlCalendarAdvance("Null",B181,"1m")</f>
        <v>48976</v>
      </c>
      <c r="C182" s="112">
        <f t="shared" si="2"/>
        <v>14.347945205479451</v>
      </c>
      <c r="D182" s="77">
        <f>_xll.qlYieldTSForwardRate($C$2,B182,B182,"Act/365 (Fixed)","Continuous")</f>
        <v>4.7110401461443858E-2</v>
      </c>
      <c r="E182" s="77">
        <f>_xll.qlYieldTSForwardRate($C$4,B182,B182,"Act/365 (Fixed)","Continuous")</f>
        <v>3.0000000002816584E-3</v>
      </c>
      <c r="F182" s="77">
        <f>_xll.qlYieldTSForwardRate($C$5,B182,B182,"Act/365 (Fixed)","Continuous")</f>
        <v>5.0110401461708774E-2</v>
      </c>
    </row>
    <row r="183" spans="2:6">
      <c r="B183" s="111">
        <f>_xll.qlCalendarAdvance("Null",B182,"1m")</f>
        <v>49004</v>
      </c>
      <c r="C183" s="112">
        <f t="shared" si="2"/>
        <v>14.424657534246576</v>
      </c>
      <c r="D183" s="77">
        <f>_xll.qlYieldTSForwardRate($C$2,B183,B183,"Act/365 (Fixed)","Continuous")</f>
        <v>4.7097627739581233E-2</v>
      </c>
      <c r="E183" s="77">
        <f>_xll.qlYieldTSForwardRate($C$4,B183,B183,"Act/365 (Fixed)","Continuous")</f>
        <v>3.0000000002816584E-3</v>
      </c>
      <c r="F183" s="77">
        <f>_xll.qlYieldTSForwardRate($C$5,B183,B183,"Act/365 (Fixed)","Continuous")</f>
        <v>5.0097627739237385E-2</v>
      </c>
    </row>
    <row r="184" spans="2:6">
      <c r="B184" s="111">
        <f>_xll.qlCalendarAdvance("Null",B183,"1m")</f>
        <v>49035</v>
      </c>
      <c r="C184" s="112">
        <f t="shared" si="2"/>
        <v>14.509589041095891</v>
      </c>
      <c r="D184" s="77">
        <f>_xll.qlYieldTSForwardRate($C$2,B184,B184,"Act/365 (Fixed)","Continuous")</f>
        <v>4.7083485398933166E-2</v>
      </c>
      <c r="E184" s="77">
        <f>_xll.qlYieldTSForwardRate($C$4,B184,B184,"Act/365 (Fixed)","Continuous")</f>
        <v>3.0000000002816584E-3</v>
      </c>
      <c r="F184" s="77">
        <f>_xll.qlYieldTSForwardRate($C$5,B184,B184,"Act/365 (Fixed)","Continuous")</f>
        <v>5.008348540061159E-2</v>
      </c>
    </row>
    <row r="185" spans="2:6">
      <c r="B185" s="111">
        <f>_xll.qlCalendarAdvance("Null",B184,"1m")</f>
        <v>49065</v>
      </c>
      <c r="C185" s="112">
        <f t="shared" si="2"/>
        <v>14.591780821917808</v>
      </c>
      <c r="D185" s="77">
        <f>_xll.qlYieldTSForwardRate($C$2,B185,B185,"Act/365 (Fixed)","Continuous")</f>
        <v>4.7069799268963014E-2</v>
      </c>
      <c r="E185" s="77">
        <f>_xll.qlYieldTSForwardRate($C$4,B185,B185,"Act/365 (Fixed)","Continuous")</f>
        <v>3.0000000002816584E-3</v>
      </c>
      <c r="F185" s="77">
        <f>_xll.qlYieldTSForwardRate($C$5,B185,B185,"Act/365 (Fixed)","Continuous")</f>
        <v>5.0069799268085975E-2</v>
      </c>
    </row>
    <row r="186" spans="2:6">
      <c r="B186" s="111">
        <f>_xll.qlCalendarAdvance("Null",B185,"1m")</f>
        <v>49096</v>
      </c>
      <c r="C186" s="112">
        <f t="shared" si="2"/>
        <v>14.676712328767124</v>
      </c>
      <c r="D186" s="77">
        <f>_xll.qlYieldTSForwardRate($C$2,B186,B186,"Act/365 (Fixed)","Continuous")</f>
        <v>4.7055656932716468E-2</v>
      </c>
      <c r="E186" s="77">
        <f>_xll.qlYieldTSForwardRate($C$4,B186,B186,"Act/365 (Fixed)","Continuous")</f>
        <v>3.0000000002816584E-3</v>
      </c>
      <c r="F186" s="77">
        <f>_xll.qlYieldTSForwardRate($C$5,B186,B186,"Act/365 (Fixed)","Continuous")</f>
        <v>5.0055656933861693E-2</v>
      </c>
    </row>
    <row r="187" spans="2:6">
      <c r="B187" s="111">
        <f>_xll.qlCalendarAdvance("Null",B186,"1m")</f>
        <v>49126</v>
      </c>
      <c r="C187" s="112">
        <f t="shared" si="2"/>
        <v>14.758904109589041</v>
      </c>
      <c r="D187" s="77">
        <f>_xll.qlYieldTSForwardRate($C$2,B187,B187,"Act/365 (Fixed)","Continuous")</f>
        <v>4.7041970804928661E-2</v>
      </c>
      <c r="E187" s="77">
        <f>_xll.qlYieldTSForwardRate($C$4,B187,B187,"Act/365 (Fixed)","Continuous")</f>
        <v>3.0000000002816584E-3</v>
      </c>
      <c r="F187" s="77">
        <f>_xll.qlYieldTSForwardRate($C$5,B187,B187,"Act/365 (Fixed)","Continuous")</f>
        <v>5.0041970805738856E-2</v>
      </c>
    </row>
    <row r="188" spans="2:6">
      <c r="B188" s="111">
        <f>_xll.qlCalendarAdvance("Null",B187,"1m")</f>
        <v>49157</v>
      </c>
      <c r="C188" s="112">
        <f t="shared" si="2"/>
        <v>14.843835616438357</v>
      </c>
      <c r="D188" s="77">
        <f>_xll.qlYieldTSForwardRate($C$2,B188,B188,"Act/365 (Fixed)","Continuous")</f>
        <v>4.7027828466422325E-2</v>
      </c>
      <c r="E188" s="77">
        <f>_xll.qlYieldTSForwardRate($C$4,B188,B188,"Act/365 (Fixed)","Continuous")</f>
        <v>3.0000000002816584E-3</v>
      </c>
      <c r="F188" s="77">
        <f>_xll.qlYieldTSForwardRate($C$5,B188,B188,"Act/365 (Fixed)","Continuous")</f>
        <v>5.0027828469254784E-2</v>
      </c>
    </row>
    <row r="189" spans="2:6">
      <c r="B189" s="111">
        <f>_xll.qlCalendarAdvance("Null",B188,"1m")</f>
        <v>49188</v>
      </c>
      <c r="C189" s="112">
        <f t="shared" si="2"/>
        <v>14.92876712328767</v>
      </c>
      <c r="D189" s="77">
        <f>_xll.qlYieldTSForwardRate($C$2,B189,B189,"Act/365 (Fixed)","Continuous")</f>
        <v>4.7013686132336863E-2</v>
      </c>
      <c r="E189" s="77">
        <f>_xll.qlYieldTSForwardRate($C$4,B189,B189,"Act/365 (Fixed)","Continuous")</f>
        <v>3.0000000002816584E-3</v>
      </c>
      <c r="F189" s="77">
        <f>_xll.qlYieldTSForwardRate($C$5,B189,B189,"Act/365 (Fixed)","Continuous")</f>
        <v>5.0013686130530276E-2</v>
      </c>
    </row>
    <row r="190" spans="2:6">
      <c r="B190" s="111">
        <f>_xll.qlCalendarAdvance("Null",B189,"1m")</f>
        <v>49218</v>
      </c>
      <c r="C190" s="112">
        <f t="shared" si="2"/>
        <v>15.010958904109589</v>
      </c>
      <c r="D190" s="77">
        <f>_xll.qlYieldTSForwardRate($C$2,B190,B190,"Act/365 (Fixed)","Continuous")</f>
        <v>4.6999997082398347E-2</v>
      </c>
      <c r="E190" s="77">
        <f>_xll.qlYieldTSForwardRate($C$4,B190,B190,"Act/365 (Fixed)","Continuous")</f>
        <v>3.0000000002816584E-3</v>
      </c>
      <c r="F190" s="77">
        <f>_xll.qlYieldTSForwardRate($C$5,B190,B190,"Act/365 (Fixed)","Continuous")</f>
        <v>4.9999997084698482E-2</v>
      </c>
    </row>
    <row r="191" spans="2:6">
      <c r="B191" s="111">
        <f>_xll.qlCalendarAdvance("Null",B190,"1m")</f>
        <v>49249</v>
      </c>
      <c r="C191" s="112">
        <f t="shared" si="2"/>
        <v>15.095890410958905</v>
      </c>
      <c r="D191" s="77">
        <f>_xll.qlYieldTSForwardRate($C$2,B191,B191,"Act/365 (Fixed)","Continuous")</f>
        <v>4.6966046000093235E-2</v>
      </c>
      <c r="E191" s="77">
        <f>_xll.qlYieldTSForwardRate($C$4,B191,B191,"Act/365 (Fixed)","Continuous")</f>
        <v>3.0000000002816584E-3</v>
      </c>
      <c r="F191" s="77">
        <f>_xll.qlYieldTSForwardRate($C$5,B191,B191,"Act/365 (Fixed)","Continuous")</f>
        <v>4.9966046001476513E-2</v>
      </c>
    </row>
    <row r="192" spans="2:6">
      <c r="B192" s="111">
        <f>_xll.qlCalendarAdvance("Null",B191,"1m")</f>
        <v>49279</v>
      </c>
      <c r="C192" s="112">
        <f t="shared" si="2"/>
        <v>15.178082191780822</v>
      </c>
      <c r="D192" s="77">
        <f>_xll.qlYieldTSForwardRate($C$2,B192,B192,"Act/365 (Fixed)","Continuous")</f>
        <v>4.693318729206622E-2</v>
      </c>
      <c r="E192" s="77">
        <f>_xll.qlYieldTSForwardRate($C$4,B192,B192,"Act/365 (Fixed)","Continuous")</f>
        <v>3.0000000002816584E-3</v>
      </c>
      <c r="F192" s="77">
        <f>_xll.qlYieldTSForwardRate($C$5,B192,B192,"Act/365 (Fixed)","Continuous")</f>
        <v>4.993318729442537E-2</v>
      </c>
    </row>
    <row r="193" spans="2:6">
      <c r="B193" s="111">
        <f>_xll.qlCalendarAdvance("Null",B192,"1m")</f>
        <v>49310</v>
      </c>
      <c r="C193" s="112">
        <f t="shared" si="2"/>
        <v>15.263013698630138</v>
      </c>
      <c r="D193" s="77">
        <f>_xll.qlYieldTSForwardRate($C$2,B193,B193,"Act/365 (Fixed)","Continuous")</f>
        <v>4.6899233296322729E-2</v>
      </c>
      <c r="E193" s="77">
        <f>_xll.qlYieldTSForwardRate($C$4,B193,B193,"Act/365 (Fixed)","Continuous")</f>
        <v>3.0000000002816584E-3</v>
      </c>
      <c r="F193" s="77">
        <f>_xll.qlYieldTSForwardRate($C$5,B193,B193,"Act/365 (Fixed)","Continuous")</f>
        <v>4.9899233297765896E-2</v>
      </c>
    </row>
    <row r="194" spans="2:6">
      <c r="B194" s="111">
        <f>_xll.qlCalendarAdvance("Null",B193,"1m")</f>
        <v>49341</v>
      </c>
      <c r="C194" s="112">
        <f t="shared" si="2"/>
        <v>15.347945205479451</v>
      </c>
      <c r="D194" s="77">
        <f>_xll.qlYieldTSForwardRate($C$2,B194,B194,"Act/365 (Fixed)","Continuous")</f>
        <v>4.6865279298243509E-2</v>
      </c>
      <c r="E194" s="77">
        <f>_xll.qlYieldTSForwardRate($C$4,B194,B194,"Act/365 (Fixed)","Continuous")</f>
        <v>3.0000000002816584E-3</v>
      </c>
      <c r="F194" s="77">
        <f>_xll.qlYieldTSForwardRate($C$5,B194,B194,"Act/365 (Fixed)","Continuous")</f>
        <v>4.9865279298770701E-2</v>
      </c>
    </row>
    <row r="195" spans="2:6">
      <c r="B195" s="111">
        <f>_xll.qlCalendarAdvance("Null",B194,"1m")</f>
        <v>49369</v>
      </c>
      <c r="C195" s="112">
        <f t="shared" si="2"/>
        <v>15.424657534246576</v>
      </c>
      <c r="D195" s="77">
        <f>_xll.qlYieldTSForwardRate($C$2,B195,B195,"Act/365 (Fixed)","Continuous")</f>
        <v>4.6834611171778201E-2</v>
      </c>
      <c r="E195" s="77">
        <f>_xll.qlYieldTSForwardRate($C$4,B195,B195,"Act/365 (Fixed)","Continuous")</f>
        <v>3.0000000002816584E-3</v>
      </c>
      <c r="F195" s="77">
        <f>_xll.qlYieldTSForwardRate($C$5,B195,B195,"Act/365 (Fixed)","Continuous")</f>
        <v>4.9834611170403657E-2</v>
      </c>
    </row>
    <row r="196" spans="2:6">
      <c r="B196" s="111">
        <f>_xll.qlCalendarAdvance("Null",B195,"1m")</f>
        <v>49400</v>
      </c>
      <c r="C196" s="112">
        <f t="shared" si="2"/>
        <v>15.509589041095891</v>
      </c>
      <c r="D196" s="77">
        <f>_xll.qlYieldTSForwardRate($C$2,B196,B196,"Act/365 (Fixed)","Continuous")</f>
        <v>4.6800657173479573E-2</v>
      </c>
      <c r="E196" s="77">
        <f>_xll.qlYieldTSForwardRate($C$4,B196,B196,"Act/365 (Fixed)","Continuous")</f>
        <v>3.0000000002816584E-3</v>
      </c>
      <c r="F196" s="77">
        <f>_xll.qlYieldTSForwardRate($C$5,B196,B196,"Act/365 (Fixed)","Continuous")</f>
        <v>4.9800657173409493E-2</v>
      </c>
    </row>
    <row r="197" spans="2:6">
      <c r="B197" s="111">
        <f>_xll.qlCalendarAdvance("Null",B196,"1m")</f>
        <v>49430</v>
      </c>
      <c r="C197" s="112">
        <f t="shared" si="2"/>
        <v>15.591780821917808</v>
      </c>
      <c r="D197" s="77">
        <f>_xll.qlYieldTSForwardRate($C$2,B197,B197,"Act/365 (Fixed)","Continuous")</f>
        <v>4.6767798464909104E-2</v>
      </c>
      <c r="E197" s="77">
        <f>_xll.qlYieldTSForwardRate($C$4,B197,B197,"Act/365 (Fixed)","Continuous")</f>
        <v>3.0000000002816584E-3</v>
      </c>
      <c r="F197" s="77">
        <f>_xll.qlYieldTSForwardRate($C$5,B197,B197,"Act/365 (Fixed)","Continuous")</f>
        <v>4.9767798465814889E-2</v>
      </c>
    </row>
    <row r="198" spans="2:6">
      <c r="B198" s="111">
        <f>_xll.qlCalendarAdvance("Null",B197,"1m")</f>
        <v>49461</v>
      </c>
      <c r="C198" s="112">
        <f t="shared" si="2"/>
        <v>15.676712328767124</v>
      </c>
      <c r="D198" s="77">
        <f>_xll.qlYieldTSForwardRate($C$2,B198,B198,"Act/365 (Fixed)","Continuous")</f>
        <v>4.6733844468604055E-2</v>
      </c>
      <c r="E198" s="77">
        <f>_xll.qlYieldTSForwardRate($C$4,B198,B198,"Act/365 (Fixed)","Continuous")</f>
        <v>2.9999999980612128E-3</v>
      </c>
      <c r="F198" s="77">
        <f>_xll.qlYieldTSForwardRate($C$5,B198,B198,"Act/365 (Fixed)","Continuous")</f>
        <v>4.9733844468593857E-2</v>
      </c>
    </row>
    <row r="199" spans="2:6">
      <c r="B199" s="111">
        <f>_xll.qlCalendarAdvance("Null",B198,"1m")</f>
        <v>49491</v>
      </c>
      <c r="C199" s="112">
        <f t="shared" si="2"/>
        <v>15.758904109589041</v>
      </c>
      <c r="D199" s="77">
        <f>_xll.qlYieldTSForwardRate($C$2,B199,B199,"Act/365 (Fixed)","Continuous")</f>
        <v>4.6700985762034478E-2</v>
      </c>
      <c r="E199" s="77">
        <f>_xll.qlYieldTSForwardRate($C$4,B199,B199,"Act/365 (Fixed)","Continuous")</f>
        <v>3.0000000002816584E-3</v>
      </c>
      <c r="F199" s="77">
        <f>_xll.qlYieldTSForwardRate($C$5,B199,B199,"Act/365 (Fixed)","Continuous")</f>
        <v>4.9700985760779727E-2</v>
      </c>
    </row>
    <row r="200" spans="2:6">
      <c r="B200" s="111">
        <f>_xll.qlCalendarAdvance("Null",B199,"1m")</f>
        <v>49522</v>
      </c>
      <c r="C200" s="112">
        <f t="shared" si="2"/>
        <v>15.843835616438357</v>
      </c>
      <c r="D200" s="77">
        <f>_xll.qlYieldTSForwardRate($C$2,B200,B200,"Act/365 (Fixed)","Continuous")</f>
        <v>4.6667031765502569E-2</v>
      </c>
      <c r="E200" s="77">
        <f>_xll.qlYieldTSForwardRate($C$4,B200,B200,"Act/365 (Fixed)","Continuous")</f>
        <v>3.0000000002816584E-3</v>
      </c>
      <c r="F200" s="77">
        <f>_xll.qlYieldTSForwardRate($C$5,B200,B200,"Act/365 (Fixed)","Continuous")</f>
        <v>4.9667031763331836E-2</v>
      </c>
    </row>
    <row r="201" spans="2:6">
      <c r="B201" s="111">
        <f>_xll.qlCalendarAdvance("Null",B200,"1m")</f>
        <v>49553</v>
      </c>
      <c r="C201" s="112">
        <f t="shared" si="2"/>
        <v>15.92876712328767</v>
      </c>
      <c r="D201" s="77">
        <f>_xll.qlYieldTSForwardRate($C$2,B201,B201,"Act/365 (Fixed)","Continuous")</f>
        <v>4.6633077766634938E-2</v>
      </c>
      <c r="E201" s="77">
        <f>_xll.qlYieldTSForwardRate($C$4,B201,B201,"Act/365 (Fixed)","Continuous")</f>
        <v>3.0000000002816584E-3</v>
      </c>
      <c r="F201" s="77">
        <f>_xll.qlYieldTSForwardRate($C$5,B201,B201,"Act/365 (Fixed)","Continuous")</f>
        <v>4.9633077767989101E-2</v>
      </c>
    </row>
    <row r="202" spans="2:6">
      <c r="B202" s="111">
        <f>_xll.qlCalendarAdvance("Null",B201,"1m")</f>
        <v>49583</v>
      </c>
      <c r="C202" s="112">
        <f t="shared" si="2"/>
        <v>16.010958904109589</v>
      </c>
      <c r="D202" s="77">
        <f>_xll.qlYieldTSForwardRate($C$2,B202,B202,"Act/365 (Fixed)","Continuous")</f>
        <v>4.6600219057513825E-2</v>
      </c>
      <c r="E202" s="77">
        <f>_xll.qlYieldTSForwardRate($C$4,B202,B202,"Act/365 (Fixed)","Continuous")</f>
        <v>3.0000000002816584E-3</v>
      </c>
      <c r="F202" s="77">
        <f>_xll.qlYieldTSForwardRate($C$5,B202,B202,"Act/365 (Fixed)","Continuous")</f>
        <v>4.9600219057623421E-2</v>
      </c>
    </row>
    <row r="203" spans="2:6">
      <c r="B203" s="111">
        <f>_xll.qlCalendarAdvance("Null",B202,"1m")</f>
        <v>49614</v>
      </c>
      <c r="C203" s="112">
        <f t="shared" ref="C203:C266" si="3">(B203-$B$10)/365</f>
        <v>16.095890410958905</v>
      </c>
      <c r="D203" s="77">
        <f>_xll.qlYieldTSForwardRate($C$2,B203,B203,"Act/365 (Fixed)","Continuous")</f>
        <v>4.6566265062860206E-2</v>
      </c>
      <c r="E203" s="77">
        <f>_xll.qlYieldTSForwardRate($C$4,B203,B203,"Act/365 (Fixed)","Continuous")</f>
        <v>3.0000000002816584E-3</v>
      </c>
      <c r="F203" s="77">
        <f>_xll.qlYieldTSForwardRate($C$5,B203,B203,"Act/365 (Fixed)","Continuous")</f>
        <v>4.9566265059833386E-2</v>
      </c>
    </row>
    <row r="204" spans="2:6">
      <c r="B204" s="111">
        <f>_xll.qlCalendarAdvance("Null",B203,"1m")</f>
        <v>49644</v>
      </c>
      <c r="C204" s="112">
        <f t="shared" si="3"/>
        <v>16.17808219178082</v>
      </c>
      <c r="D204" s="77">
        <f>_xll.qlYieldTSForwardRate($C$2,B204,B204,"Act/365 (Fixed)","Continuous")</f>
        <v>4.6533406351299121E-2</v>
      </c>
      <c r="E204" s="77">
        <f>_xll.qlYieldTSForwardRate($C$4,B204,B204,"Act/365 (Fixed)","Continuous")</f>
        <v>3.0000000002816584E-3</v>
      </c>
      <c r="F204" s="77">
        <f>_xll.qlYieldTSForwardRate($C$5,B204,B204,"Act/365 (Fixed)","Continuous")</f>
        <v>4.9533406353689045E-2</v>
      </c>
    </row>
    <row r="205" spans="2:6">
      <c r="B205" s="111">
        <f>_xll.qlCalendarAdvance("Null",B204,"1m")</f>
        <v>49675</v>
      </c>
      <c r="C205" s="112">
        <f t="shared" si="3"/>
        <v>16.263013698630136</v>
      </c>
      <c r="D205" s="77">
        <f>_xll.qlYieldTSForwardRate($C$2,B205,B205,"Act/365 (Fixed)","Continuous")</f>
        <v>4.6499452354198216E-2</v>
      </c>
      <c r="E205" s="77">
        <f>_xll.qlYieldTSForwardRate($C$4,B205,B205,"Act/365 (Fixed)","Continuous")</f>
        <v>3.0000000002816584E-3</v>
      </c>
      <c r="F205" s="77">
        <f>_xll.qlYieldTSForwardRate($C$5,B205,B205,"Act/365 (Fixed)","Continuous")</f>
        <v>4.9499452353451719E-2</v>
      </c>
    </row>
    <row r="206" spans="2:6">
      <c r="B206" s="111">
        <f>_xll.qlCalendarAdvance("Null",B205,"1m")</f>
        <v>49706</v>
      </c>
      <c r="C206" s="112">
        <f t="shared" si="3"/>
        <v>16.347945205479451</v>
      </c>
      <c r="D206" s="77">
        <f>_xll.qlYieldTSForwardRate($C$2,B206,B206,"Act/365 (Fixed)","Continuous")</f>
        <v>4.6465498356982014E-2</v>
      </c>
      <c r="E206" s="77">
        <f>_xll.qlYieldTSForwardRate($C$4,B206,B206,"Act/365 (Fixed)","Continuous")</f>
        <v>3.0000000002816584E-3</v>
      </c>
      <c r="F206" s="77">
        <f>_xll.qlYieldTSForwardRate($C$5,B206,B206,"Act/365 (Fixed)","Continuous")</f>
        <v>4.9465498355319548E-2</v>
      </c>
    </row>
    <row r="207" spans="2:6">
      <c r="B207" s="111">
        <f>_xll.qlCalendarAdvance("Null",B206,"1m")</f>
        <v>49735</v>
      </c>
      <c r="C207" s="112">
        <f t="shared" si="3"/>
        <v>16.427397260273974</v>
      </c>
      <c r="D207" s="77">
        <f>_xll.qlYieldTSForwardRate($C$2,B207,B207,"Act/365 (Fixed)","Continuous")</f>
        <v>4.6433734939410741E-2</v>
      </c>
      <c r="E207" s="77">
        <f>_xll.qlYieldTSForwardRate($C$4,B207,B207,"Act/365 (Fixed)","Continuous")</f>
        <v>2.9999999980612128E-3</v>
      </c>
      <c r="F207" s="77">
        <f>_xll.qlYieldTSForwardRate($C$5,B207,B207,"Act/365 (Fixed)","Continuous")</f>
        <v>4.9433734938395556E-2</v>
      </c>
    </row>
    <row r="208" spans="2:6">
      <c r="B208" s="111">
        <f>_xll.qlCalendarAdvance("Null",B207,"1m")</f>
        <v>49766</v>
      </c>
      <c r="C208" s="112">
        <f t="shared" si="3"/>
        <v>16.512328767123286</v>
      </c>
      <c r="D208" s="77">
        <f>_xll.qlYieldTSForwardRate($C$2,B208,B208,"Act/365 (Fixed)","Continuous")</f>
        <v>4.6399780939750973E-2</v>
      </c>
      <c r="E208" s="77">
        <f>_xll.qlYieldTSForwardRate($C$4,B208,B208,"Act/365 (Fixed)","Continuous")</f>
        <v>3.0000000002816584E-3</v>
      </c>
      <c r="F208" s="77">
        <f>_xll.qlYieldTSForwardRate($C$5,B208,B208,"Act/365 (Fixed)","Continuous")</f>
        <v>4.9399780942260683E-2</v>
      </c>
    </row>
    <row r="209" spans="2:6">
      <c r="B209" s="111">
        <f>_xll.qlCalendarAdvance("Null",B208,"1m")</f>
        <v>49796</v>
      </c>
      <c r="C209" s="112">
        <f t="shared" si="3"/>
        <v>16.594520547945205</v>
      </c>
      <c r="D209" s="77">
        <f>_xll.qlYieldTSForwardRate($C$2,B209,B209,"Act/365 (Fixed)","Continuous")</f>
        <v>4.6366922236524583E-2</v>
      </c>
      <c r="E209" s="77">
        <f>_xll.qlYieldTSForwardRate($C$4,B209,B209,"Act/365 (Fixed)","Continuous")</f>
        <v>3.0000000002816584E-3</v>
      </c>
      <c r="F209" s="77">
        <f>_xll.qlYieldTSForwardRate($C$5,B209,B209,"Act/365 (Fixed)","Continuous")</f>
        <v>4.9366922237789726E-2</v>
      </c>
    </row>
    <row r="210" spans="2:6">
      <c r="B210" s="111">
        <f>_xll.qlCalendarAdvance("Null",B209,"1m")</f>
        <v>49827</v>
      </c>
      <c r="C210" s="112">
        <f t="shared" si="3"/>
        <v>16.67945205479452</v>
      </c>
      <c r="D210" s="77">
        <f>_xll.qlYieldTSForwardRate($C$2,B210,B210,"Act/365 (Fixed)","Continuous")</f>
        <v>4.6332968236637961E-2</v>
      </c>
      <c r="E210" s="77">
        <f>_xll.qlYieldTSForwardRate($C$4,B210,B210,"Act/365 (Fixed)","Continuous")</f>
        <v>2.9999999980612128E-3</v>
      </c>
      <c r="F210" s="77">
        <f>_xll.qlYieldTSForwardRate($C$5,B210,B210,"Act/365 (Fixed)","Continuous")</f>
        <v>4.933296823476669E-2</v>
      </c>
    </row>
    <row r="211" spans="2:6">
      <c r="B211" s="111">
        <f>_xll.qlCalendarAdvance("Null",B210,"1m")</f>
        <v>49857</v>
      </c>
      <c r="C211" s="112">
        <f t="shared" si="3"/>
        <v>16.761643835616439</v>
      </c>
      <c r="D211" s="77">
        <f>_xll.qlYieldTSForwardRate($C$2,B211,B211,"Act/365 (Fixed)","Continuous")</f>
        <v>4.630010952875116E-2</v>
      </c>
      <c r="E211" s="77">
        <f>_xll.qlYieldTSForwardRate($C$4,B211,B211,"Act/365 (Fixed)","Continuous")</f>
        <v>3.0000000002816584E-3</v>
      </c>
      <c r="F211" s="77">
        <f>_xll.qlYieldTSForwardRate($C$5,B211,B211,"Act/365 (Fixed)","Continuous")</f>
        <v>4.93001095300762E-2</v>
      </c>
    </row>
    <row r="212" spans="2:6">
      <c r="B212" s="111">
        <f>_xll.qlCalendarAdvance("Null",B211,"1m")</f>
        <v>49888</v>
      </c>
      <c r="C212" s="112">
        <f t="shared" si="3"/>
        <v>16.846575342465755</v>
      </c>
      <c r="D212" s="77">
        <f>_xll.qlYieldTSForwardRate($C$2,B212,B212,"Act/365 (Fixed)","Continuous")</f>
        <v>4.6266155530858118E-2</v>
      </c>
      <c r="E212" s="77">
        <f>_xll.qlYieldTSForwardRate($C$4,B212,B212,"Act/365 (Fixed)","Continuous")</f>
        <v>3.0000000002816584E-3</v>
      </c>
      <c r="F212" s="77">
        <f>_xll.qlYieldTSForwardRate($C$5,B212,B212,"Act/365 (Fixed)","Continuous")</f>
        <v>4.9266155529046743E-2</v>
      </c>
    </row>
    <row r="213" spans="2:6">
      <c r="B213" s="111">
        <f>_xll.qlCalendarAdvance("Null",B212,"1m")</f>
        <v>49919</v>
      </c>
      <c r="C213" s="112">
        <f t="shared" si="3"/>
        <v>16.931506849315067</v>
      </c>
      <c r="D213" s="77">
        <f>_xll.qlYieldTSForwardRate($C$2,B213,B213,"Act/365 (Fixed)","Continuous")</f>
        <v>4.623220153062934E-2</v>
      </c>
      <c r="E213" s="77">
        <f>_xll.qlYieldTSForwardRate($C$4,B213,B213,"Act/365 (Fixed)","Continuous")</f>
        <v>3.0000000002816584E-3</v>
      </c>
      <c r="F213" s="77">
        <f>_xll.qlYieldTSForwardRate($C$5,B213,B213,"Act/365 (Fixed)","Continuous")</f>
        <v>4.9232201532342861E-2</v>
      </c>
    </row>
    <row r="214" spans="2:6">
      <c r="B214" s="111">
        <f>_xll.qlCalendarAdvance("Null",B213,"1m")</f>
        <v>49949</v>
      </c>
      <c r="C214" s="112">
        <f t="shared" si="3"/>
        <v>17.013698630136986</v>
      </c>
      <c r="D214" s="77">
        <f>_xll.qlYieldTSForwardRate($C$2,B214,B214,"Act/365 (Fixed)","Continuous")</f>
        <v>4.6199342824631881E-2</v>
      </c>
      <c r="E214" s="77">
        <f>_xll.qlYieldTSForwardRate($C$4,B214,B214,"Act/365 (Fixed)","Continuous")</f>
        <v>2.9999999980612128E-3</v>
      </c>
      <c r="F214" s="77">
        <f>_xll.qlYieldTSForwardRate($C$5,B214,B214,"Act/365 (Fixed)","Continuous")</f>
        <v>4.9199342825100828E-2</v>
      </c>
    </row>
    <row r="215" spans="2:6">
      <c r="B215" s="111">
        <f>_xll.qlCalendarAdvance("Null",B214,"1m")</f>
        <v>49980</v>
      </c>
      <c r="C215" s="112">
        <f t="shared" si="3"/>
        <v>17.098630136986301</v>
      </c>
      <c r="D215" s="77">
        <f>_xll.qlYieldTSForwardRate($C$2,B215,B215,"Act/365 (Fixed)","Continuous")</f>
        <v>4.6165388826396689E-2</v>
      </c>
      <c r="E215" s="77">
        <f>_xll.qlYieldTSForwardRate($C$4,B215,B215,"Act/365 (Fixed)","Continuous")</f>
        <v>3.0000000002816584E-3</v>
      </c>
      <c r="F215" s="77">
        <f>_xll.qlYieldTSForwardRate($C$5,B215,B215,"Act/365 (Fixed)","Continuous")</f>
        <v>4.9165388825949667E-2</v>
      </c>
    </row>
    <row r="216" spans="2:6">
      <c r="B216" s="111">
        <f>_xll.qlCalendarAdvance("Null",B215,"1m")</f>
        <v>50010</v>
      </c>
      <c r="C216" s="112">
        <f t="shared" si="3"/>
        <v>17.18082191780822</v>
      </c>
      <c r="D216" s="77">
        <f>_xll.qlYieldTSForwardRate($C$2,B216,B216,"Act/365 (Fixed)","Continuous")</f>
        <v>4.6132530122400123E-2</v>
      </c>
      <c r="E216" s="77">
        <f>_xll.qlYieldTSForwardRate($C$4,B216,B216,"Act/365 (Fixed)","Continuous")</f>
        <v>3.0000000002816584E-3</v>
      </c>
      <c r="F216" s="77">
        <f>_xll.qlYieldTSForwardRate($C$5,B216,B216,"Act/365 (Fixed)","Continuous")</f>
        <v>4.9132530120708527E-2</v>
      </c>
    </row>
    <row r="217" spans="2:6">
      <c r="B217" s="111">
        <f>_xll.qlCalendarAdvance("Null",B216,"1m")</f>
        <v>50041</v>
      </c>
      <c r="C217" s="112">
        <f t="shared" si="3"/>
        <v>17.265753424657536</v>
      </c>
      <c r="D217" s="77">
        <f>_xll.qlYieldTSForwardRate($C$2,B217,B217,"Act/365 (Fixed)","Continuous")</f>
        <v>4.609857612393807E-2</v>
      </c>
      <c r="E217" s="77">
        <f>_xll.qlYieldTSForwardRate($C$4,B217,B217,"Act/365 (Fixed)","Continuous")</f>
        <v>3.0000000002816584E-3</v>
      </c>
      <c r="F217" s="77">
        <f>_xll.qlYieldTSForwardRate($C$5,B217,B217,"Act/365 (Fixed)","Continuous")</f>
        <v>4.9098576123550938E-2</v>
      </c>
    </row>
    <row r="218" spans="2:6">
      <c r="B218" s="111">
        <f>_xll.qlCalendarAdvance("Null",B217,"1m")</f>
        <v>50072</v>
      </c>
      <c r="C218" s="112">
        <f t="shared" si="3"/>
        <v>17.350684931506848</v>
      </c>
      <c r="D218" s="77">
        <f>_xll.qlYieldTSForwardRate($C$2,B218,B218,"Act/365 (Fixed)","Continuous")</f>
        <v>4.6064622125360735E-2</v>
      </c>
      <c r="E218" s="77">
        <f>_xll.qlYieldTSForwardRate($C$4,B218,B218,"Act/365 (Fixed)","Continuous")</f>
        <v>2.9999999980612128E-3</v>
      </c>
      <c r="F218" s="77">
        <f>_xll.qlYieldTSForwardRate($C$5,B218,B218,"Act/365 (Fixed)","Continuous")</f>
        <v>4.9064622124057634E-2</v>
      </c>
    </row>
    <row r="219" spans="2:6">
      <c r="B219" s="111">
        <f>_xll.qlCalendarAdvance("Null",B218,"1m")</f>
        <v>50100</v>
      </c>
      <c r="C219" s="112">
        <f t="shared" si="3"/>
        <v>17.427397260273974</v>
      </c>
      <c r="D219" s="77">
        <f>_xll.qlYieldTSForwardRate($C$2,B219,B219,"Act/365 (Fixed)","Continuous")</f>
        <v>4.6033953996439982E-2</v>
      </c>
      <c r="E219" s="77">
        <f>_xll.qlYieldTSForwardRate($C$4,B219,B219,"Act/365 (Fixed)","Continuous")</f>
        <v>3.0000000002816584E-3</v>
      </c>
      <c r="F219" s="77">
        <f>_xll.qlYieldTSForwardRate($C$5,B219,B219,"Act/365 (Fixed)","Continuous")</f>
        <v>4.9033953997676002E-2</v>
      </c>
    </row>
    <row r="220" spans="2:6">
      <c r="B220" s="111">
        <f>_xll.qlCalendarAdvance("Null",B219,"1m")</f>
        <v>50131</v>
      </c>
      <c r="C220" s="112">
        <f t="shared" si="3"/>
        <v>17.512328767123286</v>
      </c>
      <c r="D220" s="77">
        <f>_xll.qlYieldTSForwardRate($C$2,B220,B220,"Act/365 (Fixed)","Continuous")</f>
        <v>4.5999999997643232E-2</v>
      </c>
      <c r="E220" s="77">
        <f>_xll.qlYieldTSForwardRate($C$4,B220,B220,"Act/365 (Fixed)","Continuous")</f>
        <v>3.0000000002816584E-3</v>
      </c>
      <c r="F220" s="77">
        <f>_xll.qlYieldTSForwardRate($C$5,B220,B220,"Act/365 (Fixed)","Continuous")</f>
        <v>4.9000000000183709E-2</v>
      </c>
    </row>
    <row r="221" spans="2:6">
      <c r="B221" s="111">
        <f>_xll.qlCalendarAdvance("Null",B220,"1m")</f>
        <v>50161</v>
      </c>
      <c r="C221" s="112">
        <f t="shared" si="3"/>
        <v>17.594520547945205</v>
      </c>
      <c r="D221" s="77">
        <f>_xll.qlYieldTSForwardRate($C$2,B221,B221,"Act/365 (Fixed)","Continuous")</f>
        <v>4.5967141293103218E-2</v>
      </c>
      <c r="E221" s="77">
        <f>_xll.qlYieldTSForwardRate($C$4,B221,B221,"Act/365 (Fixed)","Continuous")</f>
        <v>3.0000000002816584E-3</v>
      </c>
      <c r="F221" s="77">
        <f>_xll.qlYieldTSForwardRate($C$5,B221,B221,"Act/365 (Fixed)","Continuous")</f>
        <v>4.896714129217869E-2</v>
      </c>
    </row>
    <row r="222" spans="2:6">
      <c r="B222" s="111">
        <f>_xll.qlCalendarAdvance("Null",B221,"1m")</f>
        <v>50192</v>
      </c>
      <c r="C222" s="112">
        <f t="shared" si="3"/>
        <v>17.67945205479452</v>
      </c>
      <c r="D222" s="77">
        <f>_xll.qlYieldTSForwardRate($C$2,B222,B222,"Act/365 (Fixed)","Continuous")</f>
        <v>4.5933187294079608E-2</v>
      </c>
      <c r="E222" s="77">
        <f>_xll.qlYieldTSForwardRate($C$4,B222,B222,"Act/365 (Fixed)","Continuous")</f>
        <v>3.0000000002816584E-3</v>
      </c>
      <c r="F222" s="77">
        <f>_xll.qlYieldTSForwardRate($C$5,B222,B222,"Act/365 (Fixed)","Continuous")</f>
        <v>4.8933187294459543E-2</v>
      </c>
    </row>
    <row r="223" spans="2:6">
      <c r="B223" s="111">
        <f>_xll.qlCalendarAdvance("Null",B222,"1m")</f>
        <v>50222</v>
      </c>
      <c r="C223" s="112">
        <f t="shared" si="3"/>
        <v>17.761643835616439</v>
      </c>
      <c r="D223" s="77">
        <f>_xll.qlYieldTSForwardRate($C$2,B223,B223,"Act/365 (Fixed)","Continuous")</f>
        <v>4.5900328584879184E-2</v>
      </c>
      <c r="E223" s="77">
        <f>_xll.qlYieldTSForwardRate($C$4,B223,B223,"Act/365 (Fixed)","Continuous")</f>
        <v>2.9999999980612128E-3</v>
      </c>
      <c r="F223" s="77">
        <f>_xll.qlYieldTSForwardRate($C$5,B223,B223,"Act/365 (Fixed)","Continuous")</f>
        <v>4.8900328584014552E-2</v>
      </c>
    </row>
    <row r="224" spans="2:6">
      <c r="B224" s="111">
        <f>_xll.qlCalendarAdvance("Null",B223,"1m")</f>
        <v>50253</v>
      </c>
      <c r="C224" s="112">
        <f t="shared" si="3"/>
        <v>17.846575342465755</v>
      </c>
      <c r="D224" s="77">
        <f>_xll.qlYieldTSForwardRate($C$2,B224,B224,"Act/365 (Fixed)","Continuous")</f>
        <v>4.5866374590069592E-2</v>
      </c>
      <c r="E224" s="77">
        <f>_xll.qlYieldTSForwardRate($C$4,B224,B224,"Act/365 (Fixed)","Continuous")</f>
        <v>2.9999999980612128E-3</v>
      </c>
      <c r="F224" s="77">
        <f>_xll.qlYieldTSForwardRate($C$5,B224,B224,"Act/365 (Fixed)","Continuous")</f>
        <v>4.8866374588288977E-2</v>
      </c>
    </row>
    <row r="225" spans="2:6">
      <c r="B225" s="111">
        <f>_xll.qlCalendarAdvance("Null",B224,"1m")</f>
        <v>50284</v>
      </c>
      <c r="C225" s="112">
        <f t="shared" si="3"/>
        <v>17.931506849315067</v>
      </c>
      <c r="D225" s="77">
        <f>_xll.qlYieldTSForwardRate($C$2,B225,B225,"Act/365 (Fixed)","Continuous")</f>
        <v>4.5832420592924278E-2</v>
      </c>
      <c r="E225" s="77">
        <f>_xll.qlYieldTSForwardRate($C$4,B225,B225,"Act/365 (Fixed)","Continuous")</f>
        <v>3.0000000002816584E-3</v>
      </c>
      <c r="F225" s="77">
        <f>_xll.qlYieldTSForwardRate($C$5,B225,B225,"Act/365 (Fixed)","Continuous")</f>
        <v>4.8832420592448127E-2</v>
      </c>
    </row>
    <row r="226" spans="2:6">
      <c r="B226" s="111">
        <f>_xll.qlCalendarAdvance("Null",B225,"1m")</f>
        <v>50314</v>
      </c>
      <c r="C226" s="112">
        <f t="shared" si="3"/>
        <v>18.013698630136986</v>
      </c>
      <c r="D226" s="77">
        <f>_xll.qlYieldTSForwardRate($C$2,B226,B226,"Act/365 (Fixed)","Continuous")</f>
        <v>4.5799561881172311E-2</v>
      </c>
      <c r="E226" s="77">
        <f>_xll.qlYieldTSForwardRate($C$4,B226,B226,"Act/365 (Fixed)","Continuous")</f>
        <v>3.0000000002816584E-3</v>
      </c>
      <c r="F226" s="77">
        <f>_xll.qlYieldTSForwardRate($C$5,B226,B226,"Act/365 (Fixed)","Continuous")</f>
        <v>4.8799561881672032E-2</v>
      </c>
    </row>
    <row r="227" spans="2:6">
      <c r="B227" s="111">
        <f>_xll.qlCalendarAdvance("Null",B226,"1m")</f>
        <v>50345</v>
      </c>
      <c r="C227" s="112">
        <f t="shared" si="3"/>
        <v>18.098630136986301</v>
      </c>
      <c r="D227" s="77">
        <f>_xll.qlYieldTSForwardRate($C$2,B227,B227,"Act/365 (Fixed)","Continuous")</f>
        <v>4.5765607886020569E-2</v>
      </c>
      <c r="E227" s="77">
        <f>_xll.qlYieldTSForwardRate($C$4,B227,B227,"Act/365 (Fixed)","Continuous")</f>
        <v>3.0000000002816584E-3</v>
      </c>
      <c r="F227" s="77">
        <f>_xll.qlYieldTSForwardRate($C$5,B227,B227,"Act/365 (Fixed)","Continuous")</f>
        <v>4.8765607885604322E-2</v>
      </c>
    </row>
    <row r="228" spans="2:6">
      <c r="B228" s="111">
        <f>_xll.qlCalendarAdvance("Null",B227,"1m")</f>
        <v>50375</v>
      </c>
      <c r="C228" s="112">
        <f t="shared" si="3"/>
        <v>18.18082191780822</v>
      </c>
      <c r="D228" s="77">
        <f>_xll.qlYieldTSForwardRate($C$2,B228,B228,"Act/365 (Fixed)","Continuous")</f>
        <v>4.5732749178489941E-2</v>
      </c>
      <c r="E228" s="77">
        <f>_xll.qlYieldTSForwardRate($C$4,B228,B228,"Act/365 (Fixed)","Continuous")</f>
        <v>3.0000000002816584E-3</v>
      </c>
      <c r="F228" s="77">
        <f>_xll.qlYieldTSForwardRate($C$5,B228,B228,"Act/365 (Fixed)","Continuous")</f>
        <v>4.8732749179049552E-2</v>
      </c>
    </row>
    <row r="229" spans="2:6">
      <c r="B229" s="111">
        <f>_xll.qlCalendarAdvance("Null",B228,"1m")</f>
        <v>50406</v>
      </c>
      <c r="C229" s="112">
        <f t="shared" si="3"/>
        <v>18.265753424657536</v>
      </c>
      <c r="D229" s="77">
        <f>_xll.qlYieldTSForwardRate($C$2,B229,B229,"Act/365 (Fixed)","Continuous")</f>
        <v>4.5698795180890921E-2</v>
      </c>
      <c r="E229" s="77">
        <f>_xll.qlYieldTSForwardRate($C$4,B229,B229,"Act/365 (Fixed)","Continuous")</f>
        <v>2.9999999980612128E-3</v>
      </c>
      <c r="F229" s="77">
        <f>_xll.qlYieldTSForwardRate($C$5,B229,B229,"Act/365 (Fixed)","Continuous")</f>
        <v>4.8698795178314117E-2</v>
      </c>
    </row>
    <row r="230" spans="2:6">
      <c r="B230" s="111">
        <f>_xll.qlCalendarAdvance("Null",B229,"1m")</f>
        <v>50437</v>
      </c>
      <c r="C230" s="112">
        <f t="shared" si="3"/>
        <v>18.350684931506848</v>
      </c>
      <c r="D230" s="77">
        <f>_xll.qlYieldTSForwardRate($C$2,B230,B230,"Act/365 (Fixed)","Continuous")</f>
        <v>4.5664841183176604E-2</v>
      </c>
      <c r="E230" s="77">
        <f>_xll.qlYieldTSForwardRate($C$4,B230,B230,"Act/365 (Fixed)","Continuous")</f>
        <v>3.0000000002816584E-3</v>
      </c>
      <c r="F230" s="77">
        <f>_xll.qlYieldTSForwardRate($C$5,B230,B230,"Act/365 (Fixed)","Continuous")</f>
        <v>4.8664841184124695E-2</v>
      </c>
    </row>
    <row r="231" spans="2:6">
      <c r="B231" s="111">
        <f>_xll.qlCalendarAdvance("Null",B230,"1m")</f>
        <v>50465</v>
      </c>
      <c r="C231" s="112">
        <f t="shared" si="3"/>
        <v>18.427397260273974</v>
      </c>
      <c r="D231" s="77">
        <f>_xll.qlYieldTSForwardRate($C$2,B231,B231,"Act/365 (Fixed)","Continuous")</f>
        <v>4.5634173055250221E-2</v>
      </c>
      <c r="E231" s="77">
        <f>_xll.qlYieldTSForwardRate($C$4,B231,B231,"Act/365 (Fixed)","Continuous")</f>
        <v>3.0000000002816584E-3</v>
      </c>
      <c r="F231" s="77">
        <f>_xll.qlYieldTSForwardRate($C$5,B231,B231,"Act/365 (Fixed)","Continuous")</f>
        <v>4.8634173056517002E-2</v>
      </c>
    </row>
    <row r="232" spans="2:6">
      <c r="B232" s="111">
        <f>_xll.qlCalendarAdvance("Null",B231,"1m")</f>
        <v>50496</v>
      </c>
      <c r="C232" s="112">
        <f t="shared" si="3"/>
        <v>18.512328767123286</v>
      </c>
      <c r="D232" s="77">
        <f>_xll.qlYieldTSForwardRate($C$2,B232,B232,"Act/365 (Fixed)","Continuous")</f>
        <v>4.5600219059536928E-2</v>
      </c>
      <c r="E232" s="77">
        <f>_xll.qlYieldTSForwardRate($C$4,B232,B232,"Act/365 (Fixed)","Continuous")</f>
        <v>2.9999999980612128E-3</v>
      </c>
      <c r="F232" s="77">
        <f>_xll.qlYieldTSForwardRate($C$5,B232,B232,"Act/365 (Fixed)","Continuous")</f>
        <v>4.8600219057667302E-2</v>
      </c>
    </row>
    <row r="233" spans="2:6">
      <c r="B233" s="111">
        <f>_xll.qlCalendarAdvance("Null",B232,"1m")</f>
        <v>50526</v>
      </c>
      <c r="C233" s="112">
        <f t="shared" si="3"/>
        <v>18.594520547945205</v>
      </c>
      <c r="D233" s="77">
        <f>_xll.qlYieldTSForwardRate($C$2,B233,B233,"Act/365 (Fixed)","Continuous")</f>
        <v>4.5567360351462853E-2</v>
      </c>
      <c r="E233" s="77">
        <f>_xll.qlYieldTSForwardRate($C$4,B233,B233,"Act/365 (Fixed)","Continuous")</f>
        <v>3.0000000002816584E-3</v>
      </c>
      <c r="F233" s="77">
        <f>_xll.qlYieldTSForwardRate($C$5,B233,B233,"Act/365 (Fixed)","Continuous")</f>
        <v>4.8567360352789524E-2</v>
      </c>
    </row>
    <row r="234" spans="2:6">
      <c r="B234" s="111">
        <f>_xll.qlCalendarAdvance("Null",B233,"1m")</f>
        <v>50557</v>
      </c>
      <c r="C234" s="112">
        <f t="shared" si="3"/>
        <v>18.67945205479452</v>
      </c>
      <c r="D234" s="77">
        <f>_xll.qlYieldTSForwardRate($C$2,B234,B234,"Act/365 (Fixed)","Continuous")</f>
        <v>4.5533406351081829E-2</v>
      </c>
      <c r="E234" s="77">
        <f>_xll.qlYieldTSForwardRate($C$4,B234,B234,"Act/365 (Fixed)","Continuous")</f>
        <v>2.9999999980612128E-3</v>
      </c>
      <c r="F234" s="77">
        <f>_xll.qlYieldTSForwardRate($C$5,B234,B234,"Act/365 (Fixed)","Continuous")</f>
        <v>4.8533406351492531E-2</v>
      </c>
    </row>
    <row r="235" spans="2:6">
      <c r="B235" s="111">
        <f>_xll.qlCalendarAdvance("Null",B234,"1m")</f>
        <v>50587</v>
      </c>
      <c r="C235" s="112">
        <f t="shared" si="3"/>
        <v>18.761643835616439</v>
      </c>
      <c r="D235" s="77">
        <f>_xll.qlYieldTSForwardRate($C$2,B235,B235,"Act/365 (Fixed)","Continuous")</f>
        <v>4.5500547645008646E-2</v>
      </c>
      <c r="E235" s="77">
        <f>_xll.qlYieldTSForwardRate($C$4,B235,B235,"Act/365 (Fixed)","Continuous")</f>
        <v>2.9999999980612128E-3</v>
      </c>
      <c r="F235" s="77">
        <f>_xll.qlYieldTSForwardRate($C$5,B235,B235,"Act/365 (Fixed)","Continuous")</f>
        <v>4.8500547644174781E-2</v>
      </c>
    </row>
    <row r="236" spans="2:6">
      <c r="B236" s="111">
        <f>_xll.qlCalendarAdvance("Null",B235,"1m")</f>
        <v>50618</v>
      </c>
      <c r="C236" s="112">
        <f t="shared" si="3"/>
        <v>18.846575342465755</v>
      </c>
      <c r="D236" s="77">
        <f>_xll.qlYieldTSForwardRate($C$2,B236,B236,"Act/365 (Fixed)","Continuous")</f>
        <v>4.546659364884164E-2</v>
      </c>
      <c r="E236" s="77">
        <f>_xll.qlYieldTSForwardRate($C$4,B236,B236,"Act/365 (Fixed)","Continuous")</f>
        <v>3.0000000002816584E-3</v>
      </c>
      <c r="F236" s="77">
        <f>_xll.qlYieldTSForwardRate($C$5,B236,B236,"Act/365 (Fixed)","Continuous")</f>
        <v>4.8466593649312231E-2</v>
      </c>
    </row>
    <row r="237" spans="2:6">
      <c r="B237" s="111">
        <f>_xll.qlCalendarAdvance("Null",B236,"1m")</f>
        <v>50649</v>
      </c>
      <c r="C237" s="112">
        <f t="shared" si="3"/>
        <v>18.931506849315067</v>
      </c>
      <c r="D237" s="77">
        <f>_xll.qlYieldTSForwardRate($C$2,B237,B237,"Act/365 (Fixed)","Continuous")</f>
        <v>4.5432639648118472E-2</v>
      </c>
      <c r="E237" s="77">
        <f>_xll.qlYieldTSForwardRate($C$4,B237,B237,"Act/365 (Fixed)","Continuous")</f>
        <v>3.0000000002816584E-3</v>
      </c>
      <c r="F237" s="77">
        <f>_xll.qlYieldTSForwardRate($C$5,B237,B237,"Act/365 (Fixed)","Continuous")</f>
        <v>4.843263964989352E-2</v>
      </c>
    </row>
    <row r="238" spans="2:6">
      <c r="B238" s="111">
        <f>_xll.qlCalendarAdvance("Null",B237,"1m")</f>
        <v>50679</v>
      </c>
      <c r="C238" s="112">
        <f t="shared" si="3"/>
        <v>19.013698630136986</v>
      </c>
      <c r="D238" s="77">
        <f>_xll.qlYieldTSForwardRate($C$2,B238,B238,"Act/365 (Fixed)","Continuous")</f>
        <v>4.539978094171418E-2</v>
      </c>
      <c r="E238" s="77">
        <f>_xll.qlYieldTSForwardRate($C$4,B238,B238,"Act/365 (Fixed)","Continuous")</f>
        <v>3.0000000002816584E-3</v>
      </c>
      <c r="F238" s="77">
        <f>_xll.qlYieldTSForwardRate($C$5,B238,B238,"Act/365 (Fixed)","Continuous")</f>
        <v>4.8399780940024228E-2</v>
      </c>
    </row>
    <row r="239" spans="2:6">
      <c r="B239" s="111">
        <f>_xll.qlCalendarAdvance("Null",B238,"1m")</f>
        <v>50710</v>
      </c>
      <c r="C239" s="112">
        <f t="shared" si="3"/>
        <v>19.098630136986301</v>
      </c>
      <c r="D239" s="77">
        <f>_xll.qlYieldTSForwardRate($C$2,B239,B239,"Act/365 (Fixed)","Continuous")</f>
        <v>4.5365826942984598E-2</v>
      </c>
      <c r="E239" s="77">
        <f>_xll.qlYieldTSForwardRate($C$4,B239,B239,"Act/365 (Fixed)","Continuous")</f>
        <v>3.0000000002816584E-3</v>
      </c>
      <c r="F239" s="77">
        <f>_xll.qlYieldTSForwardRate($C$5,B239,B239,"Act/365 (Fixed)","Continuous")</f>
        <v>4.8365826942599097E-2</v>
      </c>
    </row>
    <row r="240" spans="2:6">
      <c r="B240" s="111">
        <f>_xll.qlCalendarAdvance("Null",B239,"1m")</f>
        <v>50740</v>
      </c>
      <c r="C240" s="112">
        <f t="shared" si="3"/>
        <v>19.18082191780822</v>
      </c>
      <c r="D240" s="77">
        <f>_xll.qlYieldTSForwardRate($C$2,B240,B240,"Act/365 (Fixed)","Continuous")</f>
        <v>4.5332968236360772E-2</v>
      </c>
      <c r="E240" s="77">
        <f>_xll.qlYieldTSForwardRate($C$4,B240,B240,"Act/365 (Fixed)","Continuous")</f>
        <v>3.0000000002816584E-3</v>
      </c>
      <c r="F240" s="77">
        <f>_xll.qlYieldTSForwardRate($C$5,B240,B240,"Act/365 (Fixed)","Continuous")</f>
        <v>4.8332968236951136E-2</v>
      </c>
    </row>
    <row r="241" spans="2:6">
      <c r="B241" s="111">
        <f>_xll.qlCalendarAdvance("Null",B240,"1m")</f>
        <v>50771</v>
      </c>
      <c r="C241" s="112">
        <f t="shared" si="3"/>
        <v>19.265753424657536</v>
      </c>
      <c r="D241" s="77">
        <f>_xll.qlYieldTSForwardRate($C$2,B241,B241,"Act/365 (Fixed)","Continuous")</f>
        <v>4.529901423962477E-2</v>
      </c>
      <c r="E241" s="77">
        <f>_xll.qlYieldTSForwardRate($C$4,B241,B241,"Act/365 (Fixed)","Continuous")</f>
        <v>3.0000000002816584E-3</v>
      </c>
      <c r="F241" s="77">
        <f>_xll.qlYieldTSForwardRate($C$5,B241,B241,"Act/365 (Fixed)","Continuous")</f>
        <v>4.8299014239299158E-2</v>
      </c>
    </row>
    <row r="242" spans="2:6">
      <c r="B242" s="111">
        <f>_xll.qlCalendarAdvance("Null",B241,"1m")</f>
        <v>50802</v>
      </c>
      <c r="C242" s="112">
        <f t="shared" si="3"/>
        <v>19.350684931506848</v>
      </c>
      <c r="D242" s="77">
        <f>_xll.qlYieldTSForwardRate($C$2,B242,B242,"Act/365 (Fixed)","Continuous")</f>
        <v>4.5265060242773478E-2</v>
      </c>
      <c r="E242" s="77">
        <f>_xll.qlYieldTSForwardRate($C$4,B242,B242,"Act/365 (Fixed)","Continuous")</f>
        <v>3.0000000002816584E-3</v>
      </c>
      <c r="F242" s="77">
        <f>_xll.qlYieldTSForwardRate($C$5,B242,B242,"Act/365 (Fixed)","Continuous")</f>
        <v>4.8265060243752322E-2</v>
      </c>
    </row>
    <row r="243" spans="2:6">
      <c r="B243" s="111">
        <f>_xll.qlCalendarAdvance("Null",B242,"1m")</f>
        <v>50830</v>
      </c>
      <c r="C243" s="112">
        <f t="shared" si="3"/>
        <v>19.427397260273974</v>
      </c>
      <c r="D243" s="77">
        <f>_xll.qlYieldTSForwardRate($C$2,B243,B243,"Act/365 (Fixed)","Continuous")</f>
        <v>4.5234392113621034E-2</v>
      </c>
      <c r="E243" s="77">
        <f>_xll.qlYieldTSForwardRate($C$4,B243,B243,"Act/365 (Fixed)","Continuous")</f>
        <v>3.0000000025021036E-3</v>
      </c>
      <c r="F243" s="77">
        <f>_xll.qlYieldTSForwardRate($C$5,B243,B243,"Act/365 (Fixed)","Continuous")</f>
        <v>4.8234392114918583E-2</v>
      </c>
    </row>
    <row r="244" spans="2:6">
      <c r="B244" s="111">
        <f>_xll.qlCalendarAdvance("Null",B243,"1m")</f>
        <v>50861</v>
      </c>
      <c r="C244" s="112">
        <f t="shared" si="3"/>
        <v>19.512328767123286</v>
      </c>
      <c r="D244" s="77">
        <f>_xll.qlYieldTSForwardRate($C$2,B244,B244,"Act/365 (Fixed)","Continuous")</f>
        <v>4.5200438116550327E-2</v>
      </c>
      <c r="E244" s="77">
        <f>_xll.qlYieldTSForwardRate($C$4,B244,B244,"Act/365 (Fixed)","Continuous")</f>
        <v>2.9999999980612128E-3</v>
      </c>
      <c r="F244" s="77">
        <f>_xll.qlYieldTSForwardRate($C$5,B244,B244,"Act/365 (Fixed)","Continuous")</f>
        <v>4.8200438114711461E-2</v>
      </c>
    </row>
    <row r="245" spans="2:6">
      <c r="B245" s="111">
        <f>_xll.qlCalendarAdvance("Null",B244,"1m")</f>
        <v>50891</v>
      </c>
      <c r="C245" s="112">
        <f t="shared" si="3"/>
        <v>19.594520547945205</v>
      </c>
      <c r="D245" s="77">
        <f>_xll.qlYieldTSForwardRate($C$2,B245,B245,"Act/365 (Fixed)","Continuous")</f>
        <v>4.5167579407162615E-2</v>
      </c>
      <c r="E245" s="77">
        <f>_xll.qlYieldTSForwardRate($C$4,B245,B245,"Act/365 (Fixed)","Continuous")</f>
        <v>2.9999999980612128E-3</v>
      </c>
      <c r="F245" s="77">
        <f>_xll.qlYieldTSForwardRate($C$5,B245,B245,"Act/365 (Fixed)","Continuous")</f>
        <v>4.8167579408520053E-2</v>
      </c>
    </row>
    <row r="246" spans="2:6">
      <c r="B246" s="111">
        <f>_xll.qlCalendarAdvance("Null",B245,"1m")</f>
        <v>50922</v>
      </c>
      <c r="C246" s="112">
        <f t="shared" si="3"/>
        <v>19.67945205479452</v>
      </c>
      <c r="D246" s="77">
        <f>_xll.qlYieldTSForwardRate($C$2,B246,B246,"Act/365 (Fixed)","Continuous")</f>
        <v>4.5133625409865048E-2</v>
      </c>
      <c r="E246" s="77">
        <f>_xll.qlYieldTSForwardRate($C$4,B246,B246,"Act/365 (Fixed)","Continuous")</f>
        <v>2.9999999980612128E-3</v>
      </c>
      <c r="F246" s="77">
        <f>_xll.qlYieldTSForwardRate($C$5,B246,B246,"Act/365 (Fixed)","Continuous")</f>
        <v>4.8133625408086078E-2</v>
      </c>
    </row>
    <row r="247" spans="2:6">
      <c r="B247" s="111">
        <f>_xll.qlCalendarAdvance("Null",B246,"1m")</f>
        <v>50952</v>
      </c>
      <c r="C247" s="112">
        <f t="shared" si="3"/>
        <v>19.761643835616439</v>
      </c>
      <c r="D247" s="77">
        <f>_xll.qlYieldTSForwardRate($C$2,B247,B247,"Act/365 (Fixed)","Continuous")</f>
        <v>4.5100766702478243E-2</v>
      </c>
      <c r="E247" s="77">
        <f>_xll.qlYieldTSForwardRate($C$4,B247,B247,"Act/365 (Fixed)","Continuous")</f>
        <v>3.0000000025021036E-3</v>
      </c>
      <c r="F247" s="77">
        <f>_xll.qlYieldTSForwardRate($C$5,B247,B247,"Act/365 (Fixed)","Continuous")</f>
        <v>4.8100766706116002E-2</v>
      </c>
    </row>
    <row r="248" spans="2:6">
      <c r="B248" s="111">
        <f>_xll.qlCalendarAdvance("Null",B247,"1m")</f>
        <v>50983</v>
      </c>
      <c r="C248" s="112">
        <f t="shared" si="3"/>
        <v>19.846575342465755</v>
      </c>
      <c r="D248" s="77">
        <f>_xll.qlYieldTSForwardRate($C$2,B248,B248,"Act/365 (Fixed)","Continuous")</f>
        <v>4.5066812704953822E-2</v>
      </c>
      <c r="E248" s="77">
        <f>_xll.qlYieldTSForwardRate($C$4,B248,B248,"Act/365 (Fixed)","Continuous")</f>
        <v>3.0000000002816584E-3</v>
      </c>
      <c r="F248" s="77">
        <f>_xll.qlYieldTSForwardRate($C$5,B248,B248,"Act/365 (Fixed)","Continuous")</f>
        <v>4.8066812703234735E-2</v>
      </c>
    </row>
    <row r="249" spans="2:6">
      <c r="B249" s="111">
        <f>_xll.qlCalendarAdvance("Null",B248,"1m")</f>
        <v>51014</v>
      </c>
      <c r="C249" s="112">
        <f t="shared" si="3"/>
        <v>19.931506849315067</v>
      </c>
      <c r="D249" s="77">
        <f>_xll.qlYieldTSForwardRate($C$2,B249,B249,"Act/365 (Fixed)","Continuous")</f>
        <v>4.5032858707314112E-2</v>
      </c>
      <c r="E249" s="77">
        <f>_xll.qlYieldTSForwardRate($C$4,B249,B249,"Act/365 (Fixed)","Continuous")</f>
        <v>2.9999999980612128E-3</v>
      </c>
      <c r="F249" s="77">
        <f>_xll.qlYieldTSForwardRate($C$5,B249,B249,"Act/365 (Fixed)","Continuous")</f>
        <v>4.8032858706899481E-2</v>
      </c>
    </row>
    <row r="250" spans="2:6">
      <c r="B250" s="111">
        <f>_xll.qlCalendarAdvance("Null",B249,"1m")</f>
        <v>51044</v>
      </c>
      <c r="C250" s="112">
        <f t="shared" si="3"/>
        <v>20.013698630136986</v>
      </c>
      <c r="D250" s="77">
        <f>_xll.qlYieldTSForwardRate($C$2,B250,B250,"Act/365 (Fixed)","Continuous")</f>
        <v>4.5000000001816629E-2</v>
      </c>
      <c r="E250" s="77">
        <f>_xll.qlYieldTSForwardRate($C$4,B250,B250,"Act/365 (Fixed)","Continuous")</f>
        <v>2.9999999980612128E-3</v>
      </c>
      <c r="F250" s="77">
        <f>_xll.qlYieldTSForwardRate($C$5,B250,B250,"Act/365 (Fixed)","Continuous")</f>
        <v>4.8000000000157431E-2</v>
      </c>
    </row>
    <row r="251" spans="2:6">
      <c r="B251" s="111">
        <f>_xll.qlCalendarAdvance("Null",B250,"1m")</f>
        <v>51075</v>
      </c>
      <c r="C251" s="112">
        <f t="shared" si="3"/>
        <v>20.098630136986301</v>
      </c>
      <c r="D251" s="77">
        <f>_xll.qlYieldTSForwardRate($C$2,B251,B251,"Act/365 (Fixed)","Continuous")</f>
        <v>4.4966064586779493E-2</v>
      </c>
      <c r="E251" s="77">
        <f>_xll.qlYieldTSForwardRate($C$4,B251,B251,"Act/365 (Fixed)","Continuous")</f>
        <v>3.0000000002816584E-3</v>
      </c>
      <c r="F251" s="77">
        <f>_xll.qlYieldTSForwardRate($C$5,B251,B251,"Act/365 (Fixed)","Continuous")</f>
        <v>4.7966064586419173E-2</v>
      </c>
    </row>
    <row r="252" spans="2:6">
      <c r="B252" s="111">
        <f>_xll.qlCalendarAdvance("Null",B251,"1m")</f>
        <v>51105</v>
      </c>
      <c r="C252" s="112">
        <f t="shared" si="3"/>
        <v>20.18082191780822</v>
      </c>
      <c r="D252" s="77">
        <f>_xll.qlYieldTSForwardRate($C$2,B252,B252,"Act/365 (Fixed)","Continuous")</f>
        <v>4.4933223866594721E-2</v>
      </c>
      <c r="E252" s="77">
        <f>_xll.qlYieldTSForwardRate($C$4,B252,B252,"Act/365 (Fixed)","Continuous")</f>
        <v>2.9999999980612128E-3</v>
      </c>
      <c r="F252" s="77">
        <f>_xll.qlYieldTSForwardRate($C$5,B252,B252,"Act/365 (Fixed)","Continuous")</f>
        <v>4.7933223864984442E-2</v>
      </c>
    </row>
    <row r="253" spans="2:6">
      <c r="B253" s="111">
        <f>_xll.qlCalendarAdvance("Null",B252,"1m")</f>
        <v>51136</v>
      </c>
      <c r="C253" s="112">
        <f t="shared" si="3"/>
        <v>20.265753424657536</v>
      </c>
      <c r="D253" s="77">
        <f>_xll.qlYieldTSForwardRate($C$2,B253,B253,"Act/365 (Fixed)","Continuous")</f>
        <v>4.4899288449110529E-2</v>
      </c>
      <c r="E253" s="77">
        <f>_xll.qlYieldTSForwardRate($C$4,B253,B253,"Act/365 (Fixed)","Continuous")</f>
        <v>3.0000000002816584E-3</v>
      </c>
      <c r="F253" s="77">
        <f>_xll.qlYieldTSForwardRate($C$5,B253,B253,"Act/365 (Fixed)","Continuous")</f>
        <v>4.7899288451019574E-2</v>
      </c>
    </row>
    <row r="254" spans="2:6">
      <c r="B254" s="111">
        <f>_xll.qlCalendarAdvance("Null",B253,"1m")</f>
        <v>51167</v>
      </c>
      <c r="C254" s="112">
        <f t="shared" si="3"/>
        <v>20.350684931506848</v>
      </c>
      <c r="D254" s="77">
        <f>_xll.qlYieldTSForwardRate($C$2,B254,B254,"Act/365 (Fixed)","Continuous")</f>
        <v>4.4865353035952064E-2</v>
      </c>
      <c r="E254" s="77">
        <f>_xll.qlYieldTSForwardRate($C$4,B254,B254,"Act/365 (Fixed)","Continuous")</f>
        <v>3.0000000002816584E-3</v>
      </c>
      <c r="F254" s="77">
        <f>_xll.qlYieldTSForwardRate($C$5,B254,B254,"Act/365 (Fixed)","Continuous")</f>
        <v>4.7865353036939541E-2</v>
      </c>
    </row>
    <row r="255" spans="2:6">
      <c r="B255" s="111">
        <f>_xll.qlCalendarAdvance("Null",B254,"1m")</f>
        <v>51196</v>
      </c>
      <c r="C255" s="112">
        <f t="shared" si="3"/>
        <v>20.43013698630137</v>
      </c>
      <c r="D255" s="77">
        <f>_xll.qlYieldTSForwardRate($C$2,B255,B255,"Act/365 (Fixed)","Continuous")</f>
        <v>4.4833607005974108E-2</v>
      </c>
      <c r="E255" s="77">
        <f>_xll.qlYieldTSForwardRate($C$4,B255,B255,"Act/365 (Fixed)","Continuous")</f>
        <v>3.0000000025021036E-3</v>
      </c>
      <c r="F255" s="77">
        <f>_xll.qlYieldTSForwardRate($C$5,B255,B255,"Act/365 (Fixed)","Continuous")</f>
        <v>4.7833607007603654E-2</v>
      </c>
    </row>
    <row r="256" spans="2:6">
      <c r="B256" s="111">
        <f>_xll.qlCalendarAdvance("Null",B255,"1m")</f>
        <v>51227</v>
      </c>
      <c r="C256" s="112">
        <f t="shared" si="3"/>
        <v>20.515068493150686</v>
      </c>
      <c r="D256" s="77">
        <f>_xll.qlYieldTSForwardRate($C$2,B256,B256,"Act/365 (Fixed)","Continuous")</f>
        <v>4.4799671592592745E-2</v>
      </c>
      <c r="E256" s="77">
        <f>_xll.qlYieldTSForwardRate($C$4,B256,B256,"Act/365 (Fixed)","Continuous")</f>
        <v>3.0000000002816584E-3</v>
      </c>
      <c r="F256" s="77">
        <f>_xll.qlYieldTSForwardRate($C$5,B256,B256,"Act/365 (Fixed)","Continuous")</f>
        <v>4.779967159330073E-2</v>
      </c>
    </row>
    <row r="257" spans="2:6">
      <c r="B257" s="111">
        <f>_xll.qlCalendarAdvance("Null",B256,"1m")</f>
        <v>51257</v>
      </c>
      <c r="C257" s="112">
        <f t="shared" si="3"/>
        <v>20.597260273972601</v>
      </c>
      <c r="D257" s="77">
        <f>_xll.qlYieldTSForwardRate($C$2,B257,B257,"Act/365 (Fixed)","Continuous")</f>
        <v>4.4766830869641082E-2</v>
      </c>
      <c r="E257" s="77">
        <f>_xll.qlYieldTSForwardRate($C$4,B257,B257,"Act/365 (Fixed)","Continuous")</f>
        <v>3.0000000002816584E-3</v>
      </c>
      <c r="F257" s="77">
        <f>_xll.qlYieldTSForwardRate($C$5,B257,B257,"Act/365 (Fixed)","Continuous")</f>
        <v>4.7766830866878676E-2</v>
      </c>
    </row>
    <row r="258" spans="2:6">
      <c r="B258" s="111">
        <f>_xll.qlCalendarAdvance("Null",B257,"1m")</f>
        <v>51288</v>
      </c>
      <c r="C258" s="112">
        <f t="shared" si="3"/>
        <v>20.682191780821917</v>
      </c>
      <c r="D258" s="77">
        <f>_xll.qlYieldTSForwardRate($C$2,B258,B258,"Act/365 (Fixed)","Continuous")</f>
        <v>4.4732895456033116E-2</v>
      </c>
      <c r="E258" s="77">
        <f>_xll.qlYieldTSForwardRate($C$4,B258,B258,"Act/365 (Fixed)","Continuous")</f>
        <v>3.0000000002816584E-3</v>
      </c>
      <c r="F258" s="77">
        <f>_xll.qlYieldTSForwardRate($C$5,B258,B258,"Act/365 (Fixed)","Continuous")</f>
        <v>4.7732895454569588E-2</v>
      </c>
    </row>
    <row r="259" spans="2:6">
      <c r="B259" s="111">
        <f>_xll.qlCalendarAdvance("Null",B258,"1m")</f>
        <v>51318</v>
      </c>
      <c r="C259" s="112">
        <f t="shared" si="3"/>
        <v>20.764383561643836</v>
      </c>
      <c r="D259" s="77">
        <f>_xll.qlYieldTSForwardRate($C$2,B259,B259,"Act/365 (Fixed)","Continuous")</f>
        <v>4.4700054732862156E-2</v>
      </c>
      <c r="E259" s="77">
        <f>_xll.qlYieldTSForwardRate($C$4,B259,B259,"Act/365 (Fixed)","Continuous")</f>
        <v>3.0000000002816584E-3</v>
      </c>
      <c r="F259" s="77">
        <f>_xll.qlYieldTSForwardRate($C$5,B259,B259,"Act/365 (Fixed)","Continuous")</f>
        <v>4.7700054732369108E-2</v>
      </c>
    </row>
    <row r="260" spans="2:6">
      <c r="B260" s="111">
        <f>_xll.qlCalendarAdvance("Null",B259,"1m")</f>
        <v>51349</v>
      </c>
      <c r="C260" s="112">
        <f t="shared" si="3"/>
        <v>20.849315068493151</v>
      </c>
      <c r="D260" s="77">
        <f>_xll.qlYieldTSForwardRate($C$2,B260,B260,"Act/365 (Fixed)","Continuous")</f>
        <v>4.4666119321248011E-2</v>
      </c>
      <c r="E260" s="77">
        <f>_xll.qlYieldTSForwardRate($C$4,B260,B260,"Act/365 (Fixed)","Continuous")</f>
        <v>3.0000000002816584E-3</v>
      </c>
      <c r="F260" s="77">
        <f>_xll.qlYieldTSForwardRate($C$5,B260,B260,"Act/365 (Fixed)","Continuous")</f>
        <v>4.7666119322053842E-2</v>
      </c>
    </row>
    <row r="261" spans="2:6">
      <c r="B261" s="111">
        <f>_xll.qlCalendarAdvance("Null",B260,"1m")</f>
        <v>51380</v>
      </c>
      <c r="C261" s="112">
        <f t="shared" si="3"/>
        <v>20.934246575342467</v>
      </c>
      <c r="D261" s="77">
        <f>_xll.qlYieldTSForwardRate($C$2,B261,B261,"Act/365 (Fixed)","Continuous")</f>
        <v>4.463218390729827E-2</v>
      </c>
      <c r="E261" s="77">
        <f>_xll.qlYieldTSForwardRate($C$4,B261,B261,"Act/365 (Fixed)","Continuous")</f>
        <v>3.0000000002816584E-3</v>
      </c>
      <c r="F261" s="77">
        <f>_xll.qlYieldTSForwardRate($C$5,B261,B261,"Act/365 (Fixed)","Continuous")</f>
        <v>4.7632183907182546E-2</v>
      </c>
    </row>
    <row r="262" spans="2:6">
      <c r="B262" s="111">
        <f>_xll.qlCalendarAdvance("Null",B261,"1m")</f>
        <v>51410</v>
      </c>
      <c r="C262" s="112">
        <f t="shared" si="3"/>
        <v>21.016438356164382</v>
      </c>
      <c r="D262" s="77">
        <f>_xll.qlYieldTSForwardRate($C$2,B262,B262,"Act/365 (Fixed)","Continuous")</f>
        <v>4.4599343186017014E-2</v>
      </c>
      <c r="E262" s="77">
        <f>_xll.qlYieldTSForwardRate($C$4,B262,B262,"Act/365 (Fixed)","Continuous")</f>
        <v>3.0000000002816584E-3</v>
      </c>
      <c r="F262" s="77">
        <f>_xll.qlYieldTSForwardRate($C$5,B262,B262,"Act/365 (Fixed)","Continuous")</f>
        <v>4.7599343184651317E-2</v>
      </c>
    </row>
    <row r="263" spans="2:6">
      <c r="B263" s="111">
        <f>_xll.qlCalendarAdvance("Null",B262,"1m")</f>
        <v>51441</v>
      </c>
      <c r="C263" s="112">
        <f t="shared" si="3"/>
        <v>21.101369863013698</v>
      </c>
      <c r="D263" s="77">
        <f>_xll.qlYieldTSForwardRate($C$2,B263,B263,"Act/365 (Fixed)","Continuous")</f>
        <v>4.4565407771840662E-2</v>
      </c>
      <c r="E263" s="77">
        <f>_xll.qlYieldTSForwardRate($C$4,B263,B263,"Act/365 (Fixed)","Continuous")</f>
        <v>3.0000000002816584E-3</v>
      </c>
      <c r="F263" s="77">
        <f>_xll.qlYieldTSForwardRate($C$5,B263,B263,"Act/365 (Fixed)","Continuous")</f>
        <v>4.7565407773994296E-2</v>
      </c>
    </row>
    <row r="264" spans="2:6">
      <c r="B264" s="111">
        <f>_xll.qlCalendarAdvance("Null",B263,"1m")</f>
        <v>51471</v>
      </c>
      <c r="C264" s="112">
        <f t="shared" si="3"/>
        <v>21.183561643835617</v>
      </c>
      <c r="D264" s="77">
        <f>_xll.qlYieldTSForwardRate($C$2,B264,B264,"Act/365 (Fixed)","Continuous")</f>
        <v>4.4532567048119663E-2</v>
      </c>
      <c r="E264" s="77">
        <f>_xll.qlYieldTSForwardRate($C$4,B264,B264,"Act/365 (Fixed)","Continuous")</f>
        <v>3.0000000002816584E-3</v>
      </c>
      <c r="F264" s="77">
        <f>_xll.qlYieldTSForwardRate($C$5,B264,B264,"Act/365 (Fixed)","Continuous")</f>
        <v>4.7532567049023332E-2</v>
      </c>
    </row>
    <row r="265" spans="2:6">
      <c r="B265" s="111">
        <f>_xll.qlCalendarAdvance("Null",B264,"1m")</f>
        <v>51502</v>
      </c>
      <c r="C265" s="112">
        <f t="shared" si="3"/>
        <v>21.268493150684932</v>
      </c>
      <c r="D265" s="77">
        <f>_xll.qlYieldTSForwardRate($C$2,B265,B265,"Act/365 (Fixed)","Continuous")</f>
        <v>4.4498631635937147E-2</v>
      </c>
      <c r="E265" s="77">
        <f>_xll.qlYieldTSForwardRate($C$4,B265,B265,"Act/365 (Fixed)","Continuous")</f>
        <v>3.0000000002816584E-3</v>
      </c>
      <c r="F265" s="77">
        <f>_xll.qlYieldTSForwardRate($C$5,B265,B265,"Act/365 (Fixed)","Continuous")</f>
        <v>4.7498631635919254E-2</v>
      </c>
    </row>
    <row r="266" spans="2:6">
      <c r="B266" s="111">
        <f>_xll.qlCalendarAdvance("Null",B265,"1m")</f>
        <v>51533</v>
      </c>
      <c r="C266" s="112">
        <f t="shared" si="3"/>
        <v>21.353424657534248</v>
      </c>
      <c r="D266" s="77">
        <f>_xll.qlYieldTSForwardRate($C$2,B266,B266,"Act/365 (Fixed)","Continuous")</f>
        <v>4.4464696223639466E-2</v>
      </c>
      <c r="E266" s="77">
        <f>_xll.qlYieldTSForwardRate($C$4,B266,B266,"Act/365 (Fixed)","Continuous")</f>
        <v>2.9999999980612128E-3</v>
      </c>
      <c r="F266" s="77">
        <f>_xll.qlYieldTSForwardRate($C$5,B266,B266,"Act/365 (Fixed)","Continuous")</f>
        <v>4.7464696222700019E-2</v>
      </c>
    </row>
    <row r="267" spans="2:6">
      <c r="B267" s="111">
        <f>_xll.qlCalendarAdvance("Null",B266,"1m")</f>
        <v>51561</v>
      </c>
      <c r="C267" s="112">
        <f t="shared" ref="C267:C330" si="4">(B267-$B$10)/365</f>
        <v>21.43013698630137</v>
      </c>
      <c r="D267" s="77">
        <f>_xll.qlYieldTSForwardRate($C$2,B267,B267,"Act/365 (Fixed)","Continuous")</f>
        <v>4.4434044882970883E-2</v>
      </c>
      <c r="E267" s="77">
        <f>_xll.qlYieldTSForwardRate($C$4,B267,B267,"Act/365 (Fixed)","Continuous")</f>
        <v>3.0000000002816584E-3</v>
      </c>
      <c r="F267" s="77">
        <f>_xll.qlYieldTSForwardRate($C$5,B267,B267,"Act/365 (Fixed)","Continuous")</f>
        <v>4.7434044882345094E-2</v>
      </c>
    </row>
    <row r="268" spans="2:6">
      <c r="B268" s="111">
        <f>_xll.qlCalendarAdvance("Null",B267,"1m")</f>
        <v>51592</v>
      </c>
      <c r="C268" s="112">
        <f t="shared" si="4"/>
        <v>21.515068493150686</v>
      </c>
      <c r="D268" s="77">
        <f>_xll.qlYieldTSForwardRate($C$2,B268,B268,"Act/365 (Fixed)","Continuous")</f>
        <v>4.4400109468233584E-2</v>
      </c>
      <c r="E268" s="77">
        <f>_xll.qlYieldTSForwardRate($C$4,B268,B268,"Act/365 (Fixed)","Continuous")</f>
        <v>3.0000000002816584E-3</v>
      </c>
      <c r="F268" s="77">
        <f>_xll.qlYieldTSForwardRate($C$5,B268,B268,"Act/365 (Fixed)","Continuous")</f>
        <v>4.7400109471127112E-2</v>
      </c>
    </row>
    <row r="269" spans="2:6">
      <c r="B269" s="111">
        <f>_xll.qlCalendarAdvance("Null",B268,"1m")</f>
        <v>51622</v>
      </c>
      <c r="C269" s="112">
        <f t="shared" si="4"/>
        <v>21.597260273972601</v>
      </c>
      <c r="D269" s="77">
        <f>_xll.qlYieldTSForwardRate($C$2,B269,B269,"Act/365 (Fixed)","Continuous")</f>
        <v>4.4367268746190174E-2</v>
      </c>
      <c r="E269" s="77">
        <f>_xll.qlYieldTSForwardRate($C$4,B269,B269,"Act/365 (Fixed)","Continuous")</f>
        <v>3.0000000002816584E-3</v>
      </c>
      <c r="F269" s="77">
        <f>_xll.qlYieldTSForwardRate($C$5,B269,B269,"Act/365 (Fixed)","Continuous")</f>
        <v>4.7367268747833736E-2</v>
      </c>
    </row>
    <row r="270" spans="2:6">
      <c r="B270" s="111">
        <f>_xll.qlCalendarAdvance("Null",B269,"1m")</f>
        <v>51653</v>
      </c>
      <c r="C270" s="112">
        <f t="shared" si="4"/>
        <v>21.682191780821917</v>
      </c>
      <c r="D270" s="77">
        <f>_xll.qlYieldTSForwardRate($C$2,B270,B270,"Act/365 (Fixed)","Continuous")</f>
        <v>4.4333333333446703E-2</v>
      </c>
      <c r="E270" s="77">
        <f>_xll.qlYieldTSForwardRate($C$4,B270,B270,"Act/365 (Fixed)","Continuous")</f>
        <v>3.0000000025021036E-3</v>
      </c>
      <c r="F270" s="77">
        <f>_xll.qlYieldTSForwardRate($C$5,B270,B270,"Act/365 (Fixed)","Continuous")</f>
        <v>4.7333333334168719E-2</v>
      </c>
    </row>
    <row r="271" spans="2:6">
      <c r="B271" s="111">
        <f>_xll.qlCalendarAdvance("Null",B270,"1m")</f>
        <v>51683</v>
      </c>
      <c r="C271" s="112">
        <f t="shared" si="4"/>
        <v>21.764383561643836</v>
      </c>
      <c r="D271" s="77">
        <f>_xll.qlYieldTSForwardRate($C$2,B271,B271,"Act/365 (Fixed)","Continuous")</f>
        <v>4.4300492611183996E-2</v>
      </c>
      <c r="E271" s="77">
        <f>_xll.qlYieldTSForwardRate($C$4,B271,B271,"Act/365 (Fixed)","Continuous")</f>
        <v>3.0000000002816584E-3</v>
      </c>
      <c r="F271" s="77">
        <f>_xll.qlYieldTSForwardRate($C$5,B271,B271,"Act/365 (Fixed)","Continuous")</f>
        <v>4.7300492608435614E-2</v>
      </c>
    </row>
    <row r="272" spans="2:6">
      <c r="B272" s="111">
        <f>_xll.qlCalendarAdvance("Null",B271,"1m")</f>
        <v>51714</v>
      </c>
      <c r="C272" s="112">
        <f t="shared" si="4"/>
        <v>21.849315068493151</v>
      </c>
      <c r="D272" s="77">
        <f>_xll.qlYieldTSForwardRate($C$2,B272,B272,"Act/365 (Fixed)","Continuous")</f>
        <v>4.426655719599349E-2</v>
      </c>
      <c r="E272" s="77">
        <f>_xll.qlYieldTSForwardRate($C$4,B272,B272,"Act/365 (Fixed)","Continuous")</f>
        <v>3.0000000002816584E-3</v>
      </c>
      <c r="F272" s="77">
        <f>_xll.qlYieldTSForwardRate($C$5,B272,B272,"Act/365 (Fixed)","Continuous")</f>
        <v>4.7266557196764418E-2</v>
      </c>
    </row>
    <row r="273" spans="2:6">
      <c r="B273" s="111">
        <f>_xll.qlCalendarAdvance("Null",B272,"1m")</f>
        <v>51745</v>
      </c>
      <c r="C273" s="112">
        <f t="shared" si="4"/>
        <v>21.934246575342467</v>
      </c>
      <c r="D273" s="77">
        <f>_xll.qlYieldTSForwardRate($C$2,B273,B273,"Act/365 (Fixed)","Continuous")</f>
        <v>4.4232621785128684E-2</v>
      </c>
      <c r="E273" s="77">
        <f>_xll.qlYieldTSForwardRate($C$4,B273,B273,"Act/365 (Fixed)","Continuous")</f>
        <v>3.0000000002816584E-3</v>
      </c>
      <c r="F273" s="77">
        <f>_xll.qlYieldTSForwardRate($C$5,B273,B273,"Act/365 (Fixed)","Continuous")</f>
        <v>4.7232621784978064E-2</v>
      </c>
    </row>
    <row r="274" spans="2:6">
      <c r="B274" s="111">
        <f>_xll.qlCalendarAdvance("Null",B273,"1m")</f>
        <v>51775</v>
      </c>
      <c r="C274" s="112">
        <f t="shared" si="4"/>
        <v>22.016438356164382</v>
      </c>
      <c r="D274" s="77">
        <f>_xll.qlYieldTSForwardRate($C$2,B274,B274,"Act/365 (Fixed)","Continuous")</f>
        <v>4.4199781060314795E-2</v>
      </c>
      <c r="E274" s="77">
        <f>_xll.qlYieldTSForwardRate($C$4,B274,B274,"Act/365 (Fixed)","Continuous")</f>
        <v>3.0000000002816584E-3</v>
      </c>
      <c r="F274" s="77">
        <f>_xll.qlYieldTSForwardRate($C$5,B274,B274,"Act/365 (Fixed)","Continuous")</f>
        <v>4.7199781061134649E-2</v>
      </c>
    </row>
    <row r="275" spans="2:6">
      <c r="B275" s="111">
        <f>_xll.qlCalendarAdvance("Null",B274,"1m")</f>
        <v>51806</v>
      </c>
      <c r="C275" s="112">
        <f t="shared" si="4"/>
        <v>22.101369863013698</v>
      </c>
      <c r="D275" s="77">
        <f>_xll.qlYieldTSForwardRate($C$2,B275,B275,"Act/365 (Fixed)","Continuous")</f>
        <v>4.416584564700296E-2</v>
      </c>
      <c r="E275" s="77">
        <f>_xll.qlYieldTSForwardRate($C$4,B275,B275,"Act/365 (Fixed)","Continuous")</f>
        <v>2.9999999980612128E-3</v>
      </c>
      <c r="F275" s="77">
        <f>_xll.qlYieldTSForwardRate($C$5,B275,B275,"Act/365 (Fixed)","Continuous")</f>
        <v>4.7165845646901253E-2</v>
      </c>
    </row>
    <row r="276" spans="2:6">
      <c r="B276" s="111">
        <f>_xll.qlCalendarAdvance("Null",B275,"1m")</f>
        <v>51836</v>
      </c>
      <c r="C276" s="112">
        <f t="shared" si="4"/>
        <v>22.183561643835617</v>
      </c>
      <c r="D276" s="77">
        <f>_xll.qlYieldTSForwardRate($C$2,B276,B276,"Act/365 (Fixed)","Continuous")</f>
        <v>4.4133004926410639E-2</v>
      </c>
      <c r="E276" s="77">
        <f>_xll.qlYieldTSForwardRate($C$4,B276,B276,"Act/365 (Fixed)","Continuous")</f>
        <v>2.9999999980612128E-3</v>
      </c>
      <c r="F276" s="77">
        <f>_xll.qlYieldTSForwardRate($C$5,B276,B276,"Act/365 (Fixed)","Continuous")</f>
        <v>4.7133004925058966E-2</v>
      </c>
    </row>
    <row r="277" spans="2:6">
      <c r="B277" s="111">
        <f>_xll.qlCalendarAdvance("Null",B276,"1m")</f>
        <v>51867</v>
      </c>
      <c r="C277" s="112">
        <f t="shared" si="4"/>
        <v>22.268493150684932</v>
      </c>
      <c r="D277" s="77">
        <f>_xll.qlYieldTSForwardRate($C$2,B277,B277,"Act/365 (Fixed)","Continuous")</f>
        <v>4.4099069512872187E-2</v>
      </c>
      <c r="E277" s="77">
        <f>_xll.qlYieldTSForwardRate($C$4,B277,B277,"Act/365 (Fixed)","Continuous")</f>
        <v>3.0000000002816584E-3</v>
      </c>
      <c r="F277" s="77">
        <f>_xll.qlYieldTSForwardRate($C$5,B277,B277,"Act/365 (Fixed)","Continuous")</f>
        <v>4.7099069512819405E-2</v>
      </c>
    </row>
    <row r="278" spans="2:6">
      <c r="B278" s="111">
        <f>_xll.qlCalendarAdvance("Null",B277,"1m")</f>
        <v>51898</v>
      </c>
      <c r="C278" s="112">
        <f t="shared" si="4"/>
        <v>22.353424657534248</v>
      </c>
      <c r="D278" s="77">
        <f>_xll.qlYieldTSForwardRate($C$2,B278,B278,"Act/365 (Fixed)","Continuous")</f>
        <v>4.4065134099218577E-2</v>
      </c>
      <c r="E278" s="77">
        <f>_xll.qlYieldTSForwardRate($C$4,B278,B278,"Act/365 (Fixed)","Continuous")</f>
        <v>3.0000000002816584E-3</v>
      </c>
      <c r="F278" s="77">
        <f>_xll.qlYieldTSForwardRate($C$5,B278,B278,"Act/365 (Fixed)","Continuous")</f>
        <v>4.7065134096023795E-2</v>
      </c>
    </row>
    <row r="279" spans="2:6">
      <c r="B279" s="111">
        <f>_xll.qlCalendarAdvance("Null",B278,"1m")</f>
        <v>51926</v>
      </c>
      <c r="C279" s="112">
        <f t="shared" si="4"/>
        <v>22.43013698630137</v>
      </c>
      <c r="D279" s="77">
        <f>_xll.qlYieldTSForwardRate($C$2,B279,B279,"Act/365 (Fixed)","Continuous")</f>
        <v>4.4034482757325286E-2</v>
      </c>
      <c r="E279" s="77">
        <f>_xll.qlYieldTSForwardRate($C$4,B279,B279,"Act/365 (Fixed)","Continuous")</f>
        <v>3.0000000002816584E-3</v>
      </c>
      <c r="F279" s="77">
        <f>_xll.qlYieldTSForwardRate($C$5,B279,B279,"Act/365 (Fixed)","Continuous")</f>
        <v>4.7034482756664595E-2</v>
      </c>
    </row>
    <row r="280" spans="2:6">
      <c r="B280" s="111">
        <f>_xll.qlCalendarAdvance("Null",B279,"1m")</f>
        <v>51957</v>
      </c>
      <c r="C280" s="112">
        <f t="shared" si="4"/>
        <v>22.515068493150686</v>
      </c>
      <c r="D280" s="77">
        <f>_xll.qlYieldTSForwardRate($C$2,B280,B280,"Act/365 (Fixed)","Continuous")</f>
        <v>4.4000547345672922E-2</v>
      </c>
      <c r="E280" s="77">
        <f>_xll.qlYieldTSForwardRate($C$4,B280,B280,"Act/365 (Fixed)","Continuous")</f>
        <v>3.0000000002816584E-3</v>
      </c>
      <c r="F280" s="77">
        <f>_xll.qlYieldTSForwardRate($C$5,B280,B280,"Act/365 (Fixed)","Continuous")</f>
        <v>4.7000547348531554E-2</v>
      </c>
    </row>
    <row r="281" spans="2:6">
      <c r="B281" s="111">
        <f>_xll.qlCalendarAdvance("Null",B280,"1m")</f>
        <v>51987</v>
      </c>
      <c r="C281" s="112">
        <f t="shared" si="4"/>
        <v>22.597260273972601</v>
      </c>
      <c r="D281" s="77">
        <f>_xll.qlYieldTSForwardRate($C$2,B281,B281,"Act/365 (Fixed)","Continuous")</f>
        <v>4.3967706622317325E-2</v>
      </c>
      <c r="E281" s="77">
        <f>_xll.qlYieldTSForwardRate($C$4,B281,B281,"Act/365 (Fixed)","Continuous")</f>
        <v>3.0000000002816584E-3</v>
      </c>
      <c r="F281" s="77">
        <f>_xll.qlYieldTSForwardRate($C$5,B281,B281,"Act/365 (Fixed)","Continuous")</f>
        <v>4.696770662170556E-2</v>
      </c>
    </row>
    <row r="282" spans="2:6">
      <c r="B282" s="111">
        <f>_xll.qlCalendarAdvance("Null",B281,"1m")</f>
        <v>52018</v>
      </c>
      <c r="C282" s="112">
        <f t="shared" si="4"/>
        <v>22.682191780821917</v>
      </c>
      <c r="D282" s="77">
        <f>_xll.qlYieldTSForwardRate($C$2,B282,B282,"Act/365 (Fixed)","Continuous")</f>
        <v>4.3933771208217932E-2</v>
      </c>
      <c r="E282" s="77">
        <f>_xll.qlYieldTSForwardRate($C$4,B282,B282,"Act/365 (Fixed)","Continuous")</f>
        <v>3.0000000002816584E-3</v>
      </c>
      <c r="F282" s="77">
        <f>_xll.qlYieldTSForwardRate($C$5,B282,B282,"Act/365 (Fixed)","Continuous")</f>
        <v>4.6933771208905038E-2</v>
      </c>
    </row>
    <row r="283" spans="2:6">
      <c r="B283" s="111">
        <f>_xll.qlCalendarAdvance("Null",B282,"1m")</f>
        <v>52048</v>
      </c>
      <c r="C283" s="112">
        <f t="shared" si="4"/>
        <v>22.764383561643836</v>
      </c>
      <c r="D283" s="77">
        <f>_xll.qlYieldTSForwardRate($C$2,B283,B283,"Act/365 (Fixed)","Continuous")</f>
        <v>4.3900930489083903E-2</v>
      </c>
      <c r="E283" s="77">
        <f>_xll.qlYieldTSForwardRate($C$4,B283,B283,"Act/365 (Fixed)","Continuous")</f>
        <v>3.0000000002816584E-3</v>
      </c>
      <c r="F283" s="77">
        <f>_xll.qlYieldTSForwardRate($C$5,B283,B283,"Act/365 (Fixed)","Continuous")</f>
        <v>4.690093048852105E-2</v>
      </c>
    </row>
    <row r="284" spans="2:6">
      <c r="B284" s="111">
        <f>_xll.qlCalendarAdvance("Null",B283,"1m")</f>
        <v>52079</v>
      </c>
      <c r="C284" s="112">
        <f t="shared" si="4"/>
        <v>22.849315068493151</v>
      </c>
      <c r="D284" s="77">
        <f>_xll.qlYieldTSForwardRate($C$2,B284,B284,"Act/365 (Fixed)","Continuous")</f>
        <v>4.3866995076978339E-2</v>
      </c>
      <c r="E284" s="77">
        <f>_xll.qlYieldTSForwardRate($C$4,B284,B284,"Act/365 (Fixed)","Continuous")</f>
        <v>3.0000000002816584E-3</v>
      </c>
      <c r="F284" s="77">
        <f>_xll.qlYieldTSForwardRate($C$5,B284,B284,"Act/365 (Fixed)","Continuous")</f>
        <v>4.6866995075493925E-2</v>
      </c>
    </row>
    <row r="285" spans="2:6">
      <c r="B285" s="111">
        <f>_xll.qlCalendarAdvance("Null",B284,"1m")</f>
        <v>52110</v>
      </c>
      <c r="C285" s="112">
        <f t="shared" si="4"/>
        <v>22.934246575342467</v>
      </c>
      <c r="D285" s="77">
        <f>_xll.qlYieldTSForwardRate($C$2,B285,B285,"Act/365 (Fixed)","Continuous")</f>
        <v>4.3833059660316726E-2</v>
      </c>
      <c r="E285" s="77">
        <f>_xll.qlYieldTSForwardRate($C$4,B285,B285,"Act/365 (Fixed)","Continuous")</f>
        <v>3.0000000002816584E-3</v>
      </c>
      <c r="F285" s="77">
        <f>_xll.qlYieldTSForwardRate($C$5,B285,B285,"Act/365 (Fixed)","Continuous")</f>
        <v>4.683305966013121E-2</v>
      </c>
    </row>
    <row r="286" spans="2:6">
      <c r="B286" s="111">
        <f>_xll.qlCalendarAdvance("Null",B285,"1m")</f>
        <v>52140</v>
      </c>
      <c r="C286" s="112">
        <f t="shared" si="4"/>
        <v>23.016438356164382</v>
      </c>
      <c r="D286" s="77">
        <f>_xll.qlYieldTSForwardRate($C$2,B286,B286,"Act/365 (Fixed)","Continuous")</f>
        <v>4.3800218938631529E-2</v>
      </c>
      <c r="E286" s="77">
        <f>_xll.qlYieldTSForwardRate($C$4,B286,B286,"Act/365 (Fixed)","Continuous")</f>
        <v>3.0000000002816584E-3</v>
      </c>
      <c r="F286" s="77">
        <f>_xll.qlYieldTSForwardRate($C$5,B286,B286,"Act/365 (Fixed)","Continuous")</f>
        <v>4.6800218939416466E-2</v>
      </c>
    </row>
    <row r="287" spans="2:6">
      <c r="B287" s="111">
        <f>_xll.qlCalendarAdvance("Null",B286,"1m")</f>
        <v>52171</v>
      </c>
      <c r="C287" s="112">
        <f t="shared" si="4"/>
        <v>23.101369863013698</v>
      </c>
      <c r="D287" s="77">
        <f>_xll.qlYieldTSForwardRate($C$2,B287,B287,"Act/365 (Fixed)","Continuous")</f>
        <v>4.376628352396375E-2</v>
      </c>
      <c r="E287" s="77">
        <f>_xll.qlYieldTSForwardRate($C$4,B287,B287,"Act/365 (Fixed)","Continuous")</f>
        <v>3.0000000002816584E-3</v>
      </c>
      <c r="F287" s="77">
        <f>_xll.qlYieldTSForwardRate($C$5,B287,B287,"Act/365 (Fixed)","Continuous")</f>
        <v>4.6766283526047572E-2</v>
      </c>
    </row>
    <row r="288" spans="2:6">
      <c r="B288" s="111">
        <f>_xll.qlCalendarAdvance("Null",B287,"1m")</f>
        <v>52201</v>
      </c>
      <c r="C288" s="112">
        <f t="shared" si="4"/>
        <v>23.183561643835617</v>
      </c>
      <c r="D288" s="77">
        <f>_xll.qlYieldTSForwardRate($C$2,B288,B288,"Act/365 (Fixed)","Continuous")</f>
        <v>4.3733442802059243E-2</v>
      </c>
      <c r="E288" s="77">
        <f>_xll.qlYieldTSForwardRate($C$4,B288,B288,"Act/365 (Fixed)","Continuous")</f>
        <v>3.0000000002816584E-3</v>
      </c>
      <c r="F288" s="77">
        <f>_xll.qlYieldTSForwardRate($C$5,B288,B288,"Act/365 (Fixed)","Continuous")</f>
        <v>4.6733442800672674E-2</v>
      </c>
    </row>
    <row r="289" spans="2:6">
      <c r="B289" s="111">
        <f>_xll.qlCalendarAdvance("Null",B288,"1m")</f>
        <v>52232</v>
      </c>
      <c r="C289" s="112">
        <f t="shared" si="4"/>
        <v>23.268493150684932</v>
      </c>
      <c r="D289" s="77">
        <f>_xll.qlYieldTSForwardRate($C$2,B289,B289,"Act/365 (Fixed)","Continuous")</f>
        <v>4.3699507389385293E-2</v>
      </c>
      <c r="E289" s="77">
        <f>_xll.qlYieldTSForwardRate($C$4,B289,B289,"Act/365 (Fixed)","Continuous")</f>
        <v>3.0000000002816584E-3</v>
      </c>
      <c r="F289" s="77">
        <f>_xll.qlYieldTSForwardRate($C$5,B289,B289,"Act/365 (Fixed)","Continuous")</f>
        <v>4.6699507389297609E-2</v>
      </c>
    </row>
    <row r="290" spans="2:6">
      <c r="B290" s="111">
        <f>_xll.qlCalendarAdvance("Null",B289,"1m")</f>
        <v>52263</v>
      </c>
      <c r="C290" s="112">
        <f t="shared" si="4"/>
        <v>23.353424657534248</v>
      </c>
      <c r="D290" s="77">
        <f>_xll.qlYieldTSForwardRate($C$2,B290,B290,"Act/365 (Fixed)","Continuous")</f>
        <v>4.3665571974375754E-2</v>
      </c>
      <c r="E290" s="77">
        <f>_xll.qlYieldTSForwardRate($C$4,B290,B290,"Act/365 (Fixed)","Continuous")</f>
        <v>3.0000000002816584E-3</v>
      </c>
      <c r="F290" s="77">
        <f>_xll.qlYieldTSForwardRate($C$5,B290,B290,"Act/365 (Fixed)","Continuous")</f>
        <v>4.6665571975586941E-2</v>
      </c>
    </row>
    <row r="291" spans="2:6">
      <c r="B291" s="111">
        <f>_xll.qlCalendarAdvance("Null",B290,"1m")</f>
        <v>52291</v>
      </c>
      <c r="C291" s="112">
        <f t="shared" si="4"/>
        <v>23.43013698630137</v>
      </c>
      <c r="D291" s="77">
        <f>_xll.qlYieldTSForwardRate($C$2,B291,B291,"Act/365 (Fixed)","Continuous")</f>
        <v>4.363492063347818E-2</v>
      </c>
      <c r="E291" s="77">
        <f>_xll.qlYieldTSForwardRate($C$4,B291,B291,"Act/365 (Fixed)","Continuous")</f>
        <v>3.0000000002816584E-3</v>
      </c>
      <c r="F291" s="77">
        <f>_xll.qlYieldTSForwardRate($C$5,B291,B291,"Act/365 (Fixed)","Continuous")</f>
        <v>4.6634920632782594E-2</v>
      </c>
    </row>
    <row r="292" spans="2:6">
      <c r="B292" s="111">
        <f>_xll.qlCalendarAdvance("Null",B291,"1m")</f>
        <v>52322</v>
      </c>
      <c r="C292" s="112">
        <f t="shared" si="4"/>
        <v>23.515068493150686</v>
      </c>
      <c r="D292" s="77">
        <f>_xll.qlYieldTSForwardRate($C$2,B292,B292,"Act/365 (Fixed)","Continuous")</f>
        <v>4.3600985220469901E-2</v>
      </c>
      <c r="E292" s="77">
        <f>_xll.qlYieldTSForwardRate($C$4,B292,B292,"Act/365 (Fixed)","Continuous")</f>
        <v>3.0000000002816584E-3</v>
      </c>
      <c r="F292" s="77">
        <f>_xll.qlYieldTSForwardRate($C$5,B292,B292,"Act/365 (Fixed)","Continuous")</f>
        <v>4.6600985221073192E-2</v>
      </c>
    </row>
    <row r="293" spans="2:6">
      <c r="B293" s="111">
        <f>_xll.qlCalendarAdvance("Null",B292,"1m")</f>
        <v>52352</v>
      </c>
      <c r="C293" s="112">
        <f t="shared" si="4"/>
        <v>23.597260273972601</v>
      </c>
      <c r="D293" s="77">
        <f>_xll.qlYieldTSForwardRate($C$2,B293,B293,"Act/365 (Fixed)","Continuous")</f>
        <v>4.3568144500242975E-2</v>
      </c>
      <c r="E293" s="77">
        <f>_xll.qlYieldTSForwardRate($C$4,B293,B293,"Act/365 (Fixed)","Continuous")</f>
        <v>3.0000000002816584E-3</v>
      </c>
      <c r="F293" s="77">
        <f>_xll.qlYieldTSForwardRate($C$5,B293,B293,"Act/365 (Fixed)","Continuous")</f>
        <v>4.656814450181674E-2</v>
      </c>
    </row>
    <row r="294" spans="2:6">
      <c r="B294" s="111">
        <f>_xll.qlCalendarAdvance("Null",B293,"1m")</f>
        <v>52383</v>
      </c>
      <c r="C294" s="112">
        <f t="shared" si="4"/>
        <v>23.682191780821917</v>
      </c>
      <c r="D294" s="77">
        <f>_xll.qlYieldTSForwardRate($C$2,B294,B294,"Act/365 (Fixed)","Continuous")</f>
        <v>4.3534209087008092E-2</v>
      </c>
      <c r="E294" s="77">
        <f>_xll.qlYieldTSForwardRate($C$4,B294,B294,"Act/365 (Fixed)","Continuous")</f>
        <v>3.0000000002816584E-3</v>
      </c>
      <c r="F294" s="77">
        <f>_xll.qlYieldTSForwardRate($C$5,B294,B294,"Act/365 (Fixed)","Continuous")</f>
        <v>4.6534209087660296E-2</v>
      </c>
    </row>
    <row r="295" spans="2:6">
      <c r="B295" s="111">
        <f>_xll.qlCalendarAdvance("Null",B294,"1m")</f>
        <v>52413</v>
      </c>
      <c r="C295" s="112">
        <f t="shared" si="4"/>
        <v>23.764383561643836</v>
      </c>
      <c r="D295" s="77">
        <f>_xll.qlYieldTSForwardRate($C$2,B295,B295,"Act/365 (Fixed)","Continuous")</f>
        <v>4.3501368359900559E-2</v>
      </c>
      <c r="E295" s="77">
        <f>_xll.qlYieldTSForwardRate($C$4,B295,B295,"Act/365 (Fixed)","Continuous")</f>
        <v>3.0000000002816584E-3</v>
      </c>
      <c r="F295" s="77">
        <f>_xll.qlYieldTSForwardRate($C$5,B295,B295,"Act/365 (Fixed)","Continuous")</f>
        <v>4.6501368361523243E-2</v>
      </c>
    </row>
    <row r="296" spans="2:6">
      <c r="B296" s="111">
        <f>_xll.qlCalendarAdvance("Null",B295,"1m")</f>
        <v>52444</v>
      </c>
      <c r="C296" s="112">
        <f t="shared" si="4"/>
        <v>23.849315068493151</v>
      </c>
      <c r="D296" s="77">
        <f>_xll.qlYieldTSForwardRate($C$2,B296,B296,"Act/365 (Fixed)","Continuous")</f>
        <v>4.3467432948659492E-2</v>
      </c>
      <c r="E296" s="77">
        <f>_xll.qlYieldTSForwardRate($C$4,B296,B296,"Act/365 (Fixed)","Continuous")</f>
        <v>3.0000000002816584E-3</v>
      </c>
      <c r="F296" s="77">
        <f>_xll.qlYieldTSForwardRate($C$5,B296,B296,"Act/365 (Fixed)","Continuous")</f>
        <v>4.6467432951581053E-2</v>
      </c>
    </row>
    <row r="297" spans="2:6">
      <c r="B297" s="111">
        <f>_xll.qlCalendarAdvance("Null",B296,"1m")</f>
        <v>52475</v>
      </c>
      <c r="C297" s="112">
        <f t="shared" si="4"/>
        <v>23.934246575342467</v>
      </c>
      <c r="D297" s="77">
        <f>_xll.qlYieldTSForwardRate($C$2,B297,B297,"Act/365 (Fixed)","Continuous")</f>
        <v>4.343349753730328E-2</v>
      </c>
      <c r="E297" s="77">
        <f>_xll.qlYieldTSForwardRate($C$4,B297,B297,"Act/365 (Fixed)","Continuous")</f>
        <v>2.9999999980612128E-3</v>
      </c>
      <c r="F297" s="77">
        <f>_xll.qlYieldTSForwardRate($C$5,B297,B297,"Act/365 (Fixed)","Continuous")</f>
        <v>4.6433497534862402E-2</v>
      </c>
    </row>
    <row r="298" spans="2:6">
      <c r="B298" s="111">
        <f>_xll.qlCalendarAdvance("Null",B297,"1m")</f>
        <v>52505</v>
      </c>
      <c r="C298" s="112">
        <f t="shared" si="4"/>
        <v>24.016438356164382</v>
      </c>
      <c r="D298" s="77">
        <f>_xll.qlYieldTSForwardRate($C$2,B298,B298,"Act/365 (Fixed)","Continuous")</f>
        <v>4.3400656814305875E-2</v>
      </c>
      <c r="E298" s="77">
        <f>_xll.qlYieldTSForwardRate($C$4,B298,B298,"Act/365 (Fixed)","Continuous")</f>
        <v>3.0000000002816584E-3</v>
      </c>
      <c r="F298" s="77">
        <f>_xll.qlYieldTSForwardRate($C$5,B298,B298,"Act/365 (Fixed)","Continuous")</f>
        <v>4.6400656815055917E-2</v>
      </c>
    </row>
    <row r="299" spans="2:6">
      <c r="B299" s="111">
        <f>_xll.qlCalendarAdvance("Null",B298,"1m")</f>
        <v>52536</v>
      </c>
      <c r="C299" s="112">
        <f t="shared" si="4"/>
        <v>24.101369863013698</v>
      </c>
      <c r="D299" s="77">
        <f>_xll.qlYieldTSForwardRate($C$2,B299,B299,"Act/365 (Fixed)","Continuous")</f>
        <v>4.3366721398282168E-2</v>
      </c>
      <c r="E299" s="77">
        <f>_xll.qlYieldTSForwardRate($C$4,B299,B299,"Act/365 (Fixed)","Continuous")</f>
        <v>3.0000000002816584E-3</v>
      </c>
      <c r="F299" s="77">
        <f>_xll.qlYieldTSForwardRate($C$5,B299,B299,"Act/365 (Fixed)","Continuous")</f>
        <v>4.6366721400331087E-2</v>
      </c>
    </row>
    <row r="300" spans="2:6">
      <c r="B300" s="111">
        <f>_xll.qlCalendarAdvance("Null",B299,"1m")</f>
        <v>52566</v>
      </c>
      <c r="C300" s="112">
        <f t="shared" si="4"/>
        <v>24.183561643835617</v>
      </c>
      <c r="D300" s="77">
        <f>_xll.qlYieldTSForwardRate($C$2,B300,B300,"Act/365 (Fixed)","Continuous")</f>
        <v>4.3333880677285913E-2</v>
      </c>
      <c r="E300" s="77">
        <f>_xll.qlYieldTSForwardRate($C$4,B300,B300,"Act/365 (Fixed)","Continuous")</f>
        <v>3.0000000002816584E-3</v>
      </c>
      <c r="F300" s="77">
        <f>_xll.qlYieldTSForwardRate($C$5,B300,B300,"Act/365 (Fixed)","Continuous")</f>
        <v>4.6333880678084867E-2</v>
      </c>
    </row>
    <row r="301" spans="2:6">
      <c r="B301" s="111">
        <f>_xll.qlCalendarAdvance("Null",B300,"1m")</f>
        <v>52597</v>
      </c>
      <c r="C301" s="112">
        <f t="shared" si="4"/>
        <v>24.268493150684932</v>
      </c>
      <c r="D301" s="77">
        <f>_xll.qlYieldTSForwardRate($C$2,B301,B301,"Act/365 (Fixed)","Continuous")</f>
        <v>4.3299945263256034E-2</v>
      </c>
      <c r="E301" s="77">
        <f>_xll.qlYieldTSForwardRate($C$4,B301,B301,"Act/365 (Fixed)","Continuous")</f>
        <v>3.0000000002816584E-3</v>
      </c>
      <c r="F301" s="77">
        <f>_xll.qlYieldTSForwardRate($C$5,B301,B301,"Act/365 (Fixed)","Continuous")</f>
        <v>4.6299945265353866E-2</v>
      </c>
    </row>
    <row r="302" spans="2:6">
      <c r="B302" s="111">
        <f>_xll.qlCalendarAdvance("Null",B301,"1m")</f>
        <v>52628</v>
      </c>
      <c r="C302" s="112">
        <f t="shared" si="4"/>
        <v>24.353424657534248</v>
      </c>
      <c r="D302" s="77">
        <f>_xll.qlYieldTSForwardRate($C$2,B302,B302,"Act/365 (Fixed)","Continuous")</f>
        <v>4.3266009851331437E-2</v>
      </c>
      <c r="E302" s="77">
        <f>_xll.qlYieldTSForwardRate($C$4,B302,B302,"Act/365 (Fixed)","Continuous")</f>
        <v>3.0000000002816584E-3</v>
      </c>
      <c r="F302" s="77">
        <f>_xll.qlYieldTSForwardRate($C$5,B302,B302,"Act/365 (Fixed)","Continuous")</f>
        <v>4.6266009850287275E-2</v>
      </c>
    </row>
    <row r="303" spans="2:6">
      <c r="B303" s="111">
        <f>_xll.qlCalendarAdvance("Null",B302,"1m")</f>
        <v>52657</v>
      </c>
      <c r="C303" s="112">
        <f t="shared" si="4"/>
        <v>24.432876712328767</v>
      </c>
      <c r="D303" s="77">
        <f>_xll.qlYieldTSForwardRate($C$2,B303,B303,"Act/365 (Fixed)","Continuous")</f>
        <v>4.3234263820717073E-2</v>
      </c>
      <c r="E303" s="77">
        <f>_xll.qlYieldTSForwardRate($C$4,B303,B303,"Act/365 (Fixed)","Continuous")</f>
        <v>3.0000000002816584E-3</v>
      </c>
      <c r="F303" s="77">
        <f>_xll.qlYieldTSForwardRate($C$5,B303,B303,"Act/365 (Fixed)","Continuous")</f>
        <v>4.6234263822535412E-2</v>
      </c>
    </row>
    <row r="304" spans="2:6">
      <c r="B304" s="111">
        <f>_xll.qlCalendarAdvance("Null",B303,"1m")</f>
        <v>52688</v>
      </c>
      <c r="C304" s="112">
        <f t="shared" si="4"/>
        <v>24.517808219178082</v>
      </c>
      <c r="D304" s="77">
        <f>_xll.qlYieldTSForwardRate($C$2,B304,B304,"Act/365 (Fixed)","Continuous")</f>
        <v>4.3200328408569584E-2</v>
      </c>
      <c r="E304" s="77">
        <f>_xll.qlYieldTSForwardRate($C$4,B304,B304,"Act/365 (Fixed)","Continuous")</f>
        <v>3.0000000002816584E-3</v>
      </c>
      <c r="F304" s="77">
        <f>_xll.qlYieldTSForwardRate($C$5,B304,B304,"Act/365 (Fixed)","Continuous")</f>
        <v>4.620032840724593E-2</v>
      </c>
    </row>
    <row r="305" spans="2:6">
      <c r="B305" s="111">
        <f>_xll.qlCalendarAdvance("Null",B304,"1m")</f>
        <v>52718</v>
      </c>
      <c r="C305" s="112">
        <f t="shared" si="4"/>
        <v>24.6</v>
      </c>
      <c r="D305" s="77">
        <f>_xll.qlYieldTSForwardRate($C$2,B305,B305,"Act/365 (Fixed)","Continuous")</f>
        <v>4.3167487684806438E-2</v>
      </c>
      <c r="E305" s="77">
        <f>_xll.qlYieldTSForwardRate($C$4,B305,B305,"Act/365 (Fixed)","Continuous")</f>
        <v>3.0000000002816584E-3</v>
      </c>
      <c r="F305" s="77">
        <f>_xll.qlYieldTSForwardRate($C$5,B305,B305,"Act/365 (Fixed)","Continuous")</f>
        <v>4.6167487684453258E-2</v>
      </c>
    </row>
    <row r="306" spans="2:6">
      <c r="B306" s="111">
        <f>_xll.qlCalendarAdvance("Null",B305,"1m")</f>
        <v>52749</v>
      </c>
      <c r="C306" s="112">
        <f t="shared" si="4"/>
        <v>24.684931506849313</v>
      </c>
      <c r="D306" s="77">
        <f>_xll.qlYieldTSForwardRate($C$2,B306,B306,"Act/365 (Fixed)","Continuous")</f>
        <v>4.3133552272432332E-2</v>
      </c>
      <c r="E306" s="77">
        <f>_xll.qlYieldTSForwardRate($C$4,B306,B306,"Act/365 (Fixed)","Continuous")</f>
        <v>3.0000000002816584E-3</v>
      </c>
      <c r="F306" s="77">
        <f>_xll.qlYieldTSForwardRate($C$5,B306,B306,"Act/365 (Fixed)","Continuous")</f>
        <v>4.6133552273378037E-2</v>
      </c>
    </row>
    <row r="307" spans="2:6">
      <c r="B307" s="111">
        <f>_xll.qlCalendarAdvance("Null",B306,"1m")</f>
        <v>52779</v>
      </c>
      <c r="C307" s="112">
        <f t="shared" si="4"/>
        <v>24.767123287671232</v>
      </c>
      <c r="D307" s="77">
        <f>_xll.qlYieldTSForwardRate($C$2,B307,B307,"Act/365 (Fixed)","Continuous")</f>
        <v>4.3100711548449896E-2</v>
      </c>
      <c r="E307" s="77">
        <f>_xll.qlYieldTSForwardRate($C$4,B307,B307,"Act/365 (Fixed)","Continuous")</f>
        <v>3.0000000002816584E-3</v>
      </c>
      <c r="F307" s="77">
        <f>_xll.qlYieldTSForwardRate($C$5,B307,B307,"Act/365 (Fixed)","Continuous")</f>
        <v>4.6100711548145629E-2</v>
      </c>
    </row>
    <row r="308" spans="2:6">
      <c r="B308" s="111">
        <f>_xll.qlCalendarAdvance("Null",B307,"1m")</f>
        <v>52810</v>
      </c>
      <c r="C308" s="112">
        <f t="shared" si="4"/>
        <v>24.852054794520548</v>
      </c>
      <c r="D308" s="77">
        <f>_xll.qlYieldTSForwardRate($C$2,B308,B308,"Act/365 (Fixed)","Continuous")</f>
        <v>4.3066776135849187E-2</v>
      </c>
      <c r="E308" s="77">
        <f>_xll.qlYieldTSForwardRate($C$4,B308,B308,"Act/365 (Fixed)","Continuous")</f>
        <v>3.0000000002816584E-3</v>
      </c>
      <c r="F308" s="77">
        <f>_xll.qlYieldTSForwardRate($C$5,B308,B308,"Act/365 (Fixed)","Continuous")</f>
        <v>4.6066776134623372E-2</v>
      </c>
    </row>
    <row r="309" spans="2:6">
      <c r="B309" s="111">
        <f>_xll.qlCalendarAdvance("Null",B308,"1m")</f>
        <v>52841</v>
      </c>
      <c r="C309" s="112">
        <f t="shared" si="4"/>
        <v>24.936986301369863</v>
      </c>
      <c r="D309" s="77">
        <f>_xll.qlYieldTSForwardRate($C$2,B309,B309,"Act/365 (Fixed)","Continuous")</f>
        <v>4.3032840723133313E-2</v>
      </c>
      <c r="E309" s="77">
        <f>_xll.qlYieldTSForwardRate($C$4,B309,B309,"Act/365 (Fixed)","Continuous")</f>
        <v>3.0000000025021036E-3</v>
      </c>
      <c r="F309" s="77">
        <f>_xll.qlYieldTSForwardRate($C$5,B309,B309,"Act/365 (Fixed)","Continuous")</f>
        <v>4.6032840725426814E-2</v>
      </c>
    </row>
    <row r="310" spans="2:6">
      <c r="B310" s="111">
        <f>_xll.qlCalendarAdvance("Null",B309,"1m")</f>
        <v>52871</v>
      </c>
      <c r="C310" s="112">
        <f t="shared" si="4"/>
        <v>25.019178082191782</v>
      </c>
      <c r="D310" s="77">
        <f>_xll.qlYieldTSForwardRate($C$2,B310,B310,"Act/365 (Fixed)","Continuous")</f>
        <v>4.3000004994802263E-2</v>
      </c>
      <c r="E310" s="77">
        <f>_xll.qlYieldTSForwardRate($C$4,B310,B310,"Act/365 (Fixed)","Continuous")</f>
        <v>3.0000000002816584E-3</v>
      </c>
      <c r="F310" s="77">
        <f>_xll.qlYieldTSForwardRate($C$5,B310,B310,"Act/365 (Fixed)","Continuous")</f>
        <v>4.6000004995844293E-2</v>
      </c>
    </row>
    <row r="311" spans="2:6">
      <c r="B311" s="111">
        <f>_xll.qlCalendarAdvance("Null",B310,"1m")</f>
        <v>52902</v>
      </c>
      <c r="C311" s="112">
        <f t="shared" si="4"/>
        <v>25.104109589041094</v>
      </c>
      <c r="D311" s="77">
        <f>_xll.qlYieldTSForwardRate($C$2,B311,B311,"Act/365 (Fixed)","Continuous")</f>
        <v>4.2999999998820135E-2</v>
      </c>
      <c r="E311" s="77">
        <f>_xll.qlYieldTSForwardRate($C$4,B311,B311,"Act/365 (Fixed)","Continuous")</f>
        <v>3.0000000002816584E-3</v>
      </c>
      <c r="F311" s="77">
        <f>_xll.qlYieldTSForwardRate($C$5,B311,B311,"Act/365 (Fixed)","Continuous")</f>
        <v>4.5999999997643232E-2</v>
      </c>
    </row>
    <row r="312" spans="2:6">
      <c r="B312" s="111">
        <f>_xll.qlCalendarAdvance("Null",B311,"1m")</f>
        <v>52932</v>
      </c>
      <c r="C312" s="112">
        <f t="shared" si="4"/>
        <v>25.186301369863013</v>
      </c>
      <c r="D312" s="77">
        <f>_xll.qlYieldTSForwardRate($C$2,B312,B312,"Act/365 (Fixed)","Continuous")</f>
        <v>4.2999999998820135E-2</v>
      </c>
      <c r="E312" s="77">
        <f>_xll.qlYieldTSForwardRate($C$4,B312,B312,"Act/365 (Fixed)","Continuous")</f>
        <v>3.0000000002816584E-3</v>
      </c>
      <c r="F312" s="77">
        <f>_xll.qlYieldTSForwardRate($C$5,B312,B312,"Act/365 (Fixed)","Continuous")</f>
        <v>4.5999999997643232E-2</v>
      </c>
    </row>
    <row r="313" spans="2:6">
      <c r="B313" s="111">
        <f>_xll.qlCalendarAdvance("Null",B312,"1m")</f>
        <v>52963</v>
      </c>
      <c r="C313" s="112">
        <f t="shared" si="4"/>
        <v>25.271232876712329</v>
      </c>
      <c r="D313" s="77">
        <f>_xll.qlYieldTSForwardRate($C$2,B313,B313,"Act/365 (Fixed)","Continuous")</f>
        <v>4.3000000001040574E-2</v>
      </c>
      <c r="E313" s="77">
        <f>_xll.qlYieldTSForwardRate($C$4,B313,B313,"Act/365 (Fixed)","Continuous")</f>
        <v>3.0000000002816584E-3</v>
      </c>
      <c r="F313" s="77">
        <f>_xll.qlYieldTSForwardRate($C$5,B313,B313,"Act/365 (Fixed)","Continuous")</f>
        <v>4.6000000002084096E-2</v>
      </c>
    </row>
    <row r="314" spans="2:6">
      <c r="B314" s="111">
        <f>_xll.qlCalendarAdvance("Null",B313,"1m")</f>
        <v>52994</v>
      </c>
      <c r="C314" s="112">
        <f t="shared" si="4"/>
        <v>25.356164383561644</v>
      </c>
      <c r="D314" s="77">
        <f>_xll.qlYieldTSForwardRate($C$2,B314,B314,"Act/365 (Fixed)","Continuous")</f>
        <v>4.2999999998820135E-2</v>
      </c>
      <c r="E314" s="77">
        <f>_xll.qlYieldTSForwardRate($C$4,B314,B314,"Act/365 (Fixed)","Continuous")</f>
        <v>3.0000000025021036E-3</v>
      </c>
      <c r="F314" s="77">
        <f>_xll.qlYieldTSForwardRate($C$5,B314,B314,"Act/365 (Fixed)","Continuous")</f>
        <v>4.5999999999863671E-2</v>
      </c>
    </row>
    <row r="315" spans="2:6">
      <c r="B315" s="111">
        <f>_xll.qlCalendarAdvance("Null",B314,"1m")</f>
        <v>53022</v>
      </c>
      <c r="C315" s="112">
        <f t="shared" si="4"/>
        <v>25.432876712328767</v>
      </c>
      <c r="D315" s="77">
        <f>_xll.qlYieldTSForwardRate($C$2,B315,B315,"Act/365 (Fixed)","Continuous")</f>
        <v>4.3000000001040574E-2</v>
      </c>
      <c r="E315" s="77">
        <f>_xll.qlYieldTSForwardRate($C$4,B315,B315,"Act/365 (Fixed)","Continuous")</f>
        <v>3.0000000002816584E-3</v>
      </c>
      <c r="F315" s="77">
        <f>_xll.qlYieldTSForwardRate($C$5,B315,B315,"Act/365 (Fixed)","Continuous")</f>
        <v>4.6000000002084096E-2</v>
      </c>
    </row>
    <row r="316" spans="2:6">
      <c r="B316" s="111">
        <f>_xll.qlCalendarAdvance("Null",B315,"1m")</f>
        <v>53053</v>
      </c>
      <c r="C316" s="112">
        <f t="shared" si="4"/>
        <v>25.517808219178082</v>
      </c>
      <c r="D316" s="77">
        <f>_xll.qlYieldTSForwardRate($C$2,B316,B316,"Act/365 (Fixed)","Continuous")</f>
        <v>4.3000000001040574E-2</v>
      </c>
      <c r="E316" s="77">
        <f>_xll.qlYieldTSForwardRate($C$4,B316,B316,"Act/365 (Fixed)","Continuous")</f>
        <v>3.0000000002816584E-3</v>
      </c>
      <c r="F316" s="77">
        <f>_xll.qlYieldTSForwardRate($C$5,B316,B316,"Act/365 (Fixed)","Continuous")</f>
        <v>4.6000000002084096E-2</v>
      </c>
    </row>
    <row r="317" spans="2:6">
      <c r="B317" s="111">
        <f>_xll.qlCalendarAdvance("Null",B316,"1m")</f>
        <v>53083</v>
      </c>
      <c r="C317" s="112">
        <f t="shared" si="4"/>
        <v>25.6</v>
      </c>
      <c r="D317" s="77">
        <f>_xll.qlYieldTSForwardRate($C$2,B317,B317,"Act/365 (Fixed)","Continuous")</f>
        <v>4.3000000001040574E-2</v>
      </c>
      <c r="E317" s="77">
        <f>_xll.qlYieldTSForwardRate($C$4,B317,B317,"Act/365 (Fixed)","Continuous")</f>
        <v>3.0000000002816584E-3</v>
      </c>
      <c r="F317" s="77">
        <f>_xll.qlYieldTSForwardRate($C$5,B317,B317,"Act/365 (Fixed)","Continuous")</f>
        <v>4.6000000002084096E-2</v>
      </c>
    </row>
    <row r="318" spans="2:6">
      <c r="B318" s="111">
        <f>_xll.qlCalendarAdvance("Null",B317,"1m")</f>
        <v>53114</v>
      </c>
      <c r="C318" s="112">
        <f t="shared" si="4"/>
        <v>25.684931506849313</v>
      </c>
      <c r="D318" s="77">
        <f>_xll.qlYieldTSForwardRate($C$2,B318,B318,"Act/365 (Fixed)","Continuous")</f>
        <v>4.3000000001040574E-2</v>
      </c>
      <c r="E318" s="77">
        <f>_xll.qlYieldTSForwardRate($C$4,B318,B318,"Act/365 (Fixed)","Continuous")</f>
        <v>2.9999999980612128E-3</v>
      </c>
      <c r="F318" s="77">
        <f>_xll.qlYieldTSForwardRate($C$5,B318,B318,"Act/365 (Fixed)","Continuous")</f>
        <v>4.5999999999863671E-2</v>
      </c>
    </row>
    <row r="319" spans="2:6">
      <c r="B319" s="111">
        <f>_xll.qlCalendarAdvance("Null",B318,"1m")</f>
        <v>53144</v>
      </c>
      <c r="C319" s="112">
        <f t="shared" si="4"/>
        <v>25.767123287671232</v>
      </c>
      <c r="D319" s="77">
        <f>_xll.qlYieldTSForwardRate($C$2,B319,B319,"Act/365 (Fixed)","Continuous")</f>
        <v>4.3000000001040574E-2</v>
      </c>
      <c r="E319" s="77">
        <f>_xll.qlYieldTSForwardRate($C$4,B319,B319,"Act/365 (Fixed)","Continuous")</f>
        <v>3.0000000002816584E-3</v>
      </c>
      <c r="F319" s="77">
        <f>_xll.qlYieldTSForwardRate($C$5,B319,B319,"Act/365 (Fixed)","Continuous")</f>
        <v>4.6000000002084096E-2</v>
      </c>
    </row>
    <row r="320" spans="2:6">
      <c r="B320" s="111">
        <f>_xll.qlCalendarAdvance("Null",B319,"1m")</f>
        <v>53175</v>
      </c>
      <c r="C320" s="112">
        <f t="shared" si="4"/>
        <v>25.852054794520548</v>
      </c>
      <c r="D320" s="77">
        <f>_xll.qlYieldTSForwardRate($C$2,B320,B320,"Act/365 (Fixed)","Continuous")</f>
        <v>4.2999999996599696E-2</v>
      </c>
      <c r="E320" s="77">
        <f>_xll.qlYieldTSForwardRate($C$4,B320,B320,"Act/365 (Fixed)","Continuous")</f>
        <v>2.9999999980612128E-3</v>
      </c>
      <c r="F320" s="77">
        <f>_xll.qlYieldTSForwardRate($C$5,B320,B320,"Act/365 (Fixed)","Continuous")</f>
        <v>4.5999999997643232E-2</v>
      </c>
    </row>
    <row r="321" spans="2:6">
      <c r="B321" s="111">
        <f>_xll.qlCalendarAdvance("Null",B320,"1m")</f>
        <v>53206</v>
      </c>
      <c r="C321" s="112">
        <f t="shared" si="4"/>
        <v>25.936986301369863</v>
      </c>
      <c r="D321" s="77">
        <f>_xll.qlYieldTSForwardRate($C$2,B321,B321,"Act/365 (Fixed)","Continuous")</f>
        <v>4.3000000001040574E-2</v>
      </c>
      <c r="E321" s="77">
        <f>_xll.qlYieldTSForwardRate($C$4,B321,B321,"Act/365 (Fixed)","Continuous")</f>
        <v>3.0000000002816584E-3</v>
      </c>
      <c r="F321" s="77">
        <f>_xll.qlYieldTSForwardRate($C$5,B321,B321,"Act/365 (Fixed)","Continuous")</f>
        <v>4.5999999999863671E-2</v>
      </c>
    </row>
    <row r="322" spans="2:6">
      <c r="B322" s="111">
        <f>_xll.qlCalendarAdvance("Null",B321,"1m")</f>
        <v>53236</v>
      </c>
      <c r="C322" s="112">
        <f t="shared" si="4"/>
        <v>26.019178082191782</v>
      </c>
      <c r="D322" s="77">
        <f>_xll.qlYieldTSForwardRate($C$2,B322,B322,"Act/365 (Fixed)","Continuous")</f>
        <v>4.3000000001040574E-2</v>
      </c>
      <c r="E322" s="77">
        <f>_xll.qlYieldTSForwardRate($C$4,B322,B322,"Act/365 (Fixed)","Continuous")</f>
        <v>3.0000000002816584E-3</v>
      </c>
      <c r="F322" s="77">
        <f>_xll.qlYieldTSForwardRate($C$5,B322,B322,"Act/365 (Fixed)","Continuous")</f>
        <v>4.6000000002084096E-2</v>
      </c>
    </row>
    <row r="323" spans="2:6">
      <c r="B323" s="111">
        <f>_xll.qlCalendarAdvance("Null",B322,"1m")</f>
        <v>53267</v>
      </c>
      <c r="C323" s="112">
        <f t="shared" si="4"/>
        <v>26.104109589041094</v>
      </c>
      <c r="D323" s="77">
        <f>_xll.qlYieldTSForwardRate($C$2,B323,B323,"Act/365 (Fixed)","Continuous")</f>
        <v>4.3000000001040574E-2</v>
      </c>
      <c r="E323" s="77">
        <f>_xll.qlYieldTSForwardRate($C$4,B323,B323,"Act/365 (Fixed)","Continuous")</f>
        <v>2.9999999980612128E-3</v>
      </c>
      <c r="F323" s="77">
        <f>_xll.qlYieldTSForwardRate($C$5,B323,B323,"Act/365 (Fixed)","Continuous")</f>
        <v>4.5999999997643232E-2</v>
      </c>
    </row>
    <row r="324" spans="2:6">
      <c r="B324" s="111">
        <f>_xll.qlCalendarAdvance("Null",B323,"1m")</f>
        <v>53297</v>
      </c>
      <c r="C324" s="112">
        <f t="shared" si="4"/>
        <v>26.186301369863013</v>
      </c>
      <c r="D324" s="77">
        <f>_xll.qlYieldTSForwardRate($C$2,B324,B324,"Act/365 (Fixed)","Continuous")</f>
        <v>4.3000000001040574E-2</v>
      </c>
      <c r="E324" s="77">
        <f>_xll.qlYieldTSForwardRate($C$4,B324,B324,"Act/365 (Fixed)","Continuous")</f>
        <v>3.0000000002816584E-3</v>
      </c>
      <c r="F324" s="77">
        <f>_xll.qlYieldTSForwardRate($C$5,B324,B324,"Act/365 (Fixed)","Continuous")</f>
        <v>4.6000000002084096E-2</v>
      </c>
    </row>
    <row r="325" spans="2:6">
      <c r="B325" s="111">
        <f>_xll.qlCalendarAdvance("Null",B324,"1m")</f>
        <v>53328</v>
      </c>
      <c r="C325" s="112">
        <f t="shared" si="4"/>
        <v>26.271232876712329</v>
      </c>
      <c r="D325" s="77">
        <f>_xll.qlYieldTSForwardRate($C$2,B325,B325,"Act/365 (Fixed)","Continuous")</f>
        <v>4.3000000001040574E-2</v>
      </c>
      <c r="E325" s="77">
        <f>_xll.qlYieldTSForwardRate($C$4,B325,B325,"Act/365 (Fixed)","Continuous")</f>
        <v>3.0000000002816584E-3</v>
      </c>
      <c r="F325" s="77">
        <f>_xll.qlYieldTSForwardRate($C$5,B325,B325,"Act/365 (Fixed)","Continuous")</f>
        <v>4.5999999999863671E-2</v>
      </c>
    </row>
    <row r="326" spans="2:6">
      <c r="B326" s="111">
        <f>_xll.qlCalendarAdvance("Null",B325,"1m")</f>
        <v>53359</v>
      </c>
      <c r="C326" s="112">
        <f t="shared" si="4"/>
        <v>26.356164383561644</v>
      </c>
      <c r="D326" s="77">
        <f>_xll.qlYieldTSForwardRate($C$2,B326,B326,"Act/365 (Fixed)","Continuous")</f>
        <v>4.2999999998820135E-2</v>
      </c>
      <c r="E326" s="77">
        <f>_xll.qlYieldTSForwardRate($C$4,B326,B326,"Act/365 (Fixed)","Continuous")</f>
        <v>3.0000000002816584E-3</v>
      </c>
      <c r="F326" s="77">
        <f>_xll.qlYieldTSForwardRate($C$5,B326,B326,"Act/365 (Fixed)","Continuous")</f>
        <v>4.5999999999863671E-2</v>
      </c>
    </row>
    <row r="327" spans="2:6">
      <c r="B327" s="111">
        <f>_xll.qlCalendarAdvance("Null",B326,"1m")</f>
        <v>53387</v>
      </c>
      <c r="C327" s="112">
        <f t="shared" si="4"/>
        <v>26.432876712328767</v>
      </c>
      <c r="D327" s="77">
        <f>_xll.qlYieldTSForwardRate($C$2,B327,B327,"Act/365 (Fixed)","Continuous")</f>
        <v>4.2999999998820135E-2</v>
      </c>
      <c r="E327" s="77">
        <f>_xll.qlYieldTSForwardRate($C$4,B327,B327,"Act/365 (Fixed)","Continuous")</f>
        <v>3.0000000002816584E-3</v>
      </c>
      <c r="F327" s="77">
        <f>_xll.qlYieldTSForwardRate($C$5,B327,B327,"Act/365 (Fixed)","Continuous")</f>
        <v>4.5999999999863671E-2</v>
      </c>
    </row>
    <row r="328" spans="2:6">
      <c r="B328" s="111">
        <f>_xll.qlCalendarAdvance("Null",B327,"1m")</f>
        <v>53418</v>
      </c>
      <c r="C328" s="112">
        <f t="shared" si="4"/>
        <v>26.517808219178082</v>
      </c>
      <c r="D328" s="77">
        <f>_xll.qlYieldTSForwardRate($C$2,B328,B328,"Act/365 (Fixed)","Continuous")</f>
        <v>4.2999999998820135E-2</v>
      </c>
      <c r="E328" s="77">
        <f>_xll.qlYieldTSForwardRate($C$4,B328,B328,"Act/365 (Fixed)","Continuous")</f>
        <v>2.9999999980612128E-3</v>
      </c>
      <c r="F328" s="77">
        <f>_xll.qlYieldTSForwardRate($C$5,B328,B328,"Act/365 (Fixed)","Continuous")</f>
        <v>4.5999999997643232E-2</v>
      </c>
    </row>
    <row r="329" spans="2:6">
      <c r="B329" s="111">
        <f>_xll.qlCalendarAdvance("Null",B328,"1m")</f>
        <v>53448</v>
      </c>
      <c r="C329" s="112">
        <f t="shared" si="4"/>
        <v>26.6</v>
      </c>
      <c r="D329" s="77">
        <f>_xll.qlYieldTSForwardRate($C$2,B329,B329,"Act/365 (Fixed)","Continuous")</f>
        <v>4.2999999998820135E-2</v>
      </c>
      <c r="E329" s="77">
        <f>_xll.qlYieldTSForwardRate($C$4,B329,B329,"Act/365 (Fixed)","Continuous")</f>
        <v>3.0000000002816584E-3</v>
      </c>
      <c r="F329" s="77">
        <f>_xll.qlYieldTSForwardRate($C$5,B329,B329,"Act/365 (Fixed)","Continuous")</f>
        <v>4.5999999997643232E-2</v>
      </c>
    </row>
    <row r="330" spans="2:6">
      <c r="B330" s="111">
        <f>_xll.qlCalendarAdvance("Null",B329,"1m")</f>
        <v>53479</v>
      </c>
      <c r="C330" s="112">
        <f t="shared" si="4"/>
        <v>26.684931506849313</v>
      </c>
      <c r="D330" s="77">
        <f>_xll.qlYieldTSForwardRate($C$2,B330,B330,"Act/365 (Fixed)","Continuous")</f>
        <v>4.3000000001040574E-2</v>
      </c>
      <c r="E330" s="77">
        <f>_xll.qlYieldTSForwardRate($C$4,B330,B330,"Act/365 (Fixed)","Continuous")</f>
        <v>3.0000000002816584E-3</v>
      </c>
      <c r="F330" s="77">
        <f>_xll.qlYieldTSForwardRate($C$5,B330,B330,"Act/365 (Fixed)","Continuous")</f>
        <v>4.5999999999863671E-2</v>
      </c>
    </row>
    <row r="331" spans="2:6">
      <c r="B331" s="111">
        <f>_xll.qlCalendarAdvance("Null",B330,"1m")</f>
        <v>53509</v>
      </c>
      <c r="C331" s="112">
        <f t="shared" ref="C331:C370" si="5">(B331-$B$10)/365</f>
        <v>26.767123287671232</v>
      </c>
      <c r="D331" s="77">
        <f>_xll.qlYieldTSForwardRate($C$2,B331,B331,"Act/365 (Fixed)","Continuous")</f>
        <v>4.2999999996599696E-2</v>
      </c>
      <c r="E331" s="77">
        <f>_xll.qlYieldTSForwardRate($C$4,B331,B331,"Act/365 (Fixed)","Continuous")</f>
        <v>3.0000000002816584E-3</v>
      </c>
      <c r="F331" s="77">
        <f>_xll.qlYieldTSForwardRate($C$5,B331,B331,"Act/365 (Fixed)","Continuous")</f>
        <v>4.5999999997643232E-2</v>
      </c>
    </row>
    <row r="332" spans="2:6">
      <c r="B332" s="111">
        <f>_xll.qlCalendarAdvance("Null",B331,"1m")</f>
        <v>53540</v>
      </c>
      <c r="C332" s="112">
        <f t="shared" si="5"/>
        <v>26.852054794520548</v>
      </c>
      <c r="D332" s="77">
        <f>_xll.qlYieldTSForwardRate($C$2,B332,B332,"Act/365 (Fixed)","Continuous")</f>
        <v>4.3000000001040574E-2</v>
      </c>
      <c r="E332" s="77">
        <f>_xll.qlYieldTSForwardRate($C$4,B332,B332,"Act/365 (Fixed)","Continuous")</f>
        <v>3.0000000002816584E-3</v>
      </c>
      <c r="F332" s="77">
        <f>_xll.qlYieldTSForwardRate($C$5,B332,B332,"Act/365 (Fixed)","Continuous")</f>
        <v>4.6000000002084096E-2</v>
      </c>
    </row>
    <row r="333" spans="2:6">
      <c r="B333" s="111">
        <f>_xll.qlCalendarAdvance("Null",B332,"1m")</f>
        <v>53571</v>
      </c>
      <c r="C333" s="112">
        <f t="shared" si="5"/>
        <v>26.936986301369863</v>
      </c>
      <c r="D333" s="77">
        <f>_xll.qlYieldTSForwardRate($C$2,B333,B333,"Act/365 (Fixed)","Continuous")</f>
        <v>4.3000000001040574E-2</v>
      </c>
      <c r="E333" s="77">
        <f>_xll.qlYieldTSForwardRate($C$4,B333,B333,"Act/365 (Fixed)","Continuous")</f>
        <v>2.9999999980612128E-3</v>
      </c>
      <c r="F333" s="77">
        <f>_xll.qlYieldTSForwardRate($C$5,B333,B333,"Act/365 (Fixed)","Continuous")</f>
        <v>4.5999999999863671E-2</v>
      </c>
    </row>
    <row r="334" spans="2:6">
      <c r="B334" s="111">
        <f>_xll.qlCalendarAdvance("Null",B333,"1m")</f>
        <v>53601</v>
      </c>
      <c r="C334" s="112">
        <f t="shared" si="5"/>
        <v>27.019178082191782</v>
      </c>
      <c r="D334" s="77">
        <f>_xll.qlYieldTSForwardRate($C$2,B334,B334,"Act/365 (Fixed)","Continuous")</f>
        <v>4.3000000001040574E-2</v>
      </c>
      <c r="E334" s="77">
        <f>_xll.qlYieldTSForwardRate($C$4,B334,B334,"Act/365 (Fixed)","Continuous")</f>
        <v>3.0000000002816584E-3</v>
      </c>
      <c r="F334" s="77">
        <f>_xll.qlYieldTSForwardRate($C$5,B334,B334,"Act/365 (Fixed)","Continuous")</f>
        <v>4.5999999999863671E-2</v>
      </c>
    </row>
    <row r="335" spans="2:6">
      <c r="B335" s="111">
        <f>_xll.qlCalendarAdvance("Null",B334,"1m")</f>
        <v>53632</v>
      </c>
      <c r="C335" s="112">
        <f t="shared" si="5"/>
        <v>27.104109589041094</v>
      </c>
      <c r="D335" s="77">
        <f>_xll.qlYieldTSForwardRate($C$2,B335,B335,"Act/365 (Fixed)","Continuous")</f>
        <v>4.3000000001040574E-2</v>
      </c>
      <c r="E335" s="77">
        <f>_xll.qlYieldTSForwardRate($C$4,B335,B335,"Act/365 (Fixed)","Continuous")</f>
        <v>3.0000000002816584E-3</v>
      </c>
      <c r="F335" s="77">
        <f>_xll.qlYieldTSForwardRate($C$5,B335,B335,"Act/365 (Fixed)","Continuous")</f>
        <v>4.6000000002084096E-2</v>
      </c>
    </row>
    <row r="336" spans="2:6">
      <c r="B336" s="111">
        <f>_xll.qlCalendarAdvance("Null",B335,"1m")</f>
        <v>53662</v>
      </c>
      <c r="C336" s="112">
        <f t="shared" si="5"/>
        <v>27.186301369863013</v>
      </c>
      <c r="D336" s="77">
        <f>_xll.qlYieldTSForwardRate($C$2,B336,B336,"Act/365 (Fixed)","Continuous")</f>
        <v>4.3000000001040574E-2</v>
      </c>
      <c r="E336" s="77">
        <f>_xll.qlYieldTSForwardRate($C$4,B336,B336,"Act/365 (Fixed)","Continuous")</f>
        <v>3.0000000002816584E-3</v>
      </c>
      <c r="F336" s="77">
        <f>_xll.qlYieldTSForwardRate($C$5,B336,B336,"Act/365 (Fixed)","Continuous")</f>
        <v>4.6000000002084096E-2</v>
      </c>
    </row>
    <row r="337" spans="2:6">
      <c r="B337" s="111">
        <f>_xll.qlCalendarAdvance("Null",B336,"1m")</f>
        <v>53693</v>
      </c>
      <c r="C337" s="112">
        <f t="shared" si="5"/>
        <v>27.271232876712329</v>
      </c>
      <c r="D337" s="77">
        <f>_xll.qlYieldTSForwardRate($C$2,B337,B337,"Act/365 (Fixed)","Continuous")</f>
        <v>4.2999999998820135E-2</v>
      </c>
      <c r="E337" s="77">
        <f>_xll.qlYieldTSForwardRate($C$4,B337,B337,"Act/365 (Fixed)","Continuous")</f>
        <v>2.9999999980612128E-3</v>
      </c>
      <c r="F337" s="77">
        <f>_xll.qlYieldTSForwardRate($C$5,B337,B337,"Act/365 (Fixed)","Continuous")</f>
        <v>4.5999999995422793E-2</v>
      </c>
    </row>
    <row r="338" spans="2:6">
      <c r="B338" s="111">
        <f>_xll.qlCalendarAdvance("Null",B337,"1m")</f>
        <v>53724</v>
      </c>
      <c r="C338" s="112">
        <f t="shared" si="5"/>
        <v>27.356164383561644</v>
      </c>
      <c r="D338" s="77">
        <f>_xll.qlYieldTSForwardRate($C$2,B338,B338,"Act/365 (Fixed)","Continuous")</f>
        <v>4.3000000001040574E-2</v>
      </c>
      <c r="E338" s="77">
        <f>_xll.qlYieldTSForwardRate($C$4,B338,B338,"Act/365 (Fixed)","Continuous")</f>
        <v>3.0000000002816584E-3</v>
      </c>
      <c r="F338" s="77">
        <f>_xll.qlYieldTSForwardRate($C$5,B338,B338,"Act/365 (Fixed)","Continuous")</f>
        <v>4.5999999999863671E-2</v>
      </c>
    </row>
    <row r="339" spans="2:6">
      <c r="B339" s="111">
        <f>_xll.qlCalendarAdvance("Null",B338,"1m")</f>
        <v>53752</v>
      </c>
      <c r="C339" s="112">
        <f t="shared" si="5"/>
        <v>27.432876712328767</v>
      </c>
      <c r="D339" s="77">
        <f>_xll.qlYieldTSForwardRate($C$2,B339,B339,"Act/365 (Fixed)","Continuous")</f>
        <v>4.2999999998820135E-2</v>
      </c>
      <c r="E339" s="77">
        <f>_xll.qlYieldTSForwardRate($C$4,B339,B339,"Act/365 (Fixed)","Continuous")</f>
        <v>3.0000000002816584E-3</v>
      </c>
      <c r="F339" s="77">
        <f>_xll.qlYieldTSForwardRate($C$5,B339,B339,"Act/365 (Fixed)","Continuous")</f>
        <v>4.5999999999863671E-2</v>
      </c>
    </row>
    <row r="340" spans="2:6">
      <c r="B340" s="111">
        <f>_xll.qlCalendarAdvance("Null",B339,"1m")</f>
        <v>53783</v>
      </c>
      <c r="C340" s="112">
        <f t="shared" si="5"/>
        <v>27.517808219178082</v>
      </c>
      <c r="D340" s="77">
        <f>_xll.qlYieldTSForwardRate($C$2,B340,B340,"Act/365 (Fixed)","Continuous")</f>
        <v>4.2999999998820135E-2</v>
      </c>
      <c r="E340" s="77">
        <f>_xll.qlYieldTSForwardRate($C$4,B340,B340,"Act/365 (Fixed)","Continuous")</f>
        <v>3.0000000002816584E-3</v>
      </c>
      <c r="F340" s="77">
        <f>_xll.qlYieldTSForwardRate($C$5,B340,B340,"Act/365 (Fixed)","Continuous")</f>
        <v>4.5999999997643232E-2</v>
      </c>
    </row>
    <row r="341" spans="2:6">
      <c r="B341" s="111">
        <f>_xll.qlCalendarAdvance("Null",B340,"1m")</f>
        <v>53813</v>
      </c>
      <c r="C341" s="112">
        <f t="shared" si="5"/>
        <v>27.6</v>
      </c>
      <c r="D341" s="77">
        <f>_xll.qlYieldTSForwardRate($C$2,B341,B341,"Act/365 (Fixed)","Continuous")</f>
        <v>4.3000000001040574E-2</v>
      </c>
      <c r="E341" s="77">
        <f>_xll.qlYieldTSForwardRate($C$4,B341,B341,"Act/365 (Fixed)","Continuous")</f>
        <v>3.0000000002816584E-3</v>
      </c>
      <c r="F341" s="77">
        <f>_xll.qlYieldTSForwardRate($C$5,B341,B341,"Act/365 (Fixed)","Continuous")</f>
        <v>4.6000000004304535E-2</v>
      </c>
    </row>
    <row r="342" spans="2:6">
      <c r="B342" s="111">
        <f>_xll.qlCalendarAdvance("Null",B341,"1m")</f>
        <v>53844</v>
      </c>
      <c r="C342" s="112">
        <f t="shared" si="5"/>
        <v>27.684931506849313</v>
      </c>
      <c r="D342" s="77">
        <f>_xll.qlYieldTSForwardRate($C$2,B342,B342,"Act/365 (Fixed)","Continuous")</f>
        <v>4.3000000001040574E-2</v>
      </c>
      <c r="E342" s="77">
        <f>_xll.qlYieldTSForwardRate($C$4,B342,B342,"Act/365 (Fixed)","Continuous")</f>
        <v>3.0000000002816584E-3</v>
      </c>
      <c r="F342" s="77">
        <f>_xll.qlYieldTSForwardRate($C$5,B342,B342,"Act/365 (Fixed)","Continuous")</f>
        <v>4.6000000002084096E-2</v>
      </c>
    </row>
    <row r="343" spans="2:6">
      <c r="B343" s="111">
        <f>_xll.qlCalendarAdvance("Null",B342,"1m")</f>
        <v>53874</v>
      </c>
      <c r="C343" s="112">
        <f t="shared" si="5"/>
        <v>27.767123287671232</v>
      </c>
      <c r="D343" s="77">
        <f>_xll.qlYieldTSForwardRate($C$2,B343,B343,"Act/365 (Fixed)","Continuous")</f>
        <v>4.2999999998820135E-2</v>
      </c>
      <c r="E343" s="77">
        <f>_xll.qlYieldTSForwardRate($C$4,B343,B343,"Act/365 (Fixed)","Continuous")</f>
        <v>3.0000000025021036E-3</v>
      </c>
      <c r="F343" s="77">
        <f>_xll.qlYieldTSForwardRate($C$5,B343,B343,"Act/365 (Fixed)","Continuous")</f>
        <v>4.6000000002084096E-2</v>
      </c>
    </row>
    <row r="344" spans="2:6">
      <c r="B344" s="111">
        <f>_xll.qlCalendarAdvance("Null",B343,"1m")</f>
        <v>53905</v>
      </c>
      <c r="C344" s="112">
        <f t="shared" si="5"/>
        <v>27.852054794520548</v>
      </c>
      <c r="D344" s="77">
        <f>_xll.qlYieldTSForwardRate($C$2,B344,B344,"Act/365 (Fixed)","Continuous")</f>
        <v>4.2999999998820135E-2</v>
      </c>
      <c r="E344" s="77">
        <f>_xll.qlYieldTSForwardRate($C$4,B344,B344,"Act/365 (Fixed)","Continuous")</f>
        <v>3.0000000002816584E-3</v>
      </c>
      <c r="F344" s="77">
        <f>_xll.qlYieldTSForwardRate($C$5,B344,B344,"Act/365 (Fixed)","Continuous")</f>
        <v>4.5999999997643232E-2</v>
      </c>
    </row>
    <row r="345" spans="2:6">
      <c r="B345" s="111">
        <f>_xll.qlCalendarAdvance("Null",B344,"1m")</f>
        <v>53936</v>
      </c>
      <c r="C345" s="112">
        <f t="shared" si="5"/>
        <v>27.936986301369863</v>
      </c>
      <c r="D345" s="77">
        <f>_xll.qlYieldTSForwardRate($C$2,B345,B345,"Act/365 (Fixed)","Continuous")</f>
        <v>4.3000000001040574E-2</v>
      </c>
      <c r="E345" s="77">
        <f>_xll.qlYieldTSForwardRate($C$4,B345,B345,"Act/365 (Fixed)","Continuous")</f>
        <v>3.0000000002816584E-3</v>
      </c>
      <c r="F345" s="77">
        <f>_xll.qlYieldTSForwardRate($C$5,B345,B345,"Act/365 (Fixed)","Continuous")</f>
        <v>4.5999999999863671E-2</v>
      </c>
    </row>
    <row r="346" spans="2:6">
      <c r="B346" s="111">
        <f>_xll.qlCalendarAdvance("Null",B345,"1m")</f>
        <v>53966</v>
      </c>
      <c r="C346" s="112">
        <f t="shared" si="5"/>
        <v>28.019178082191782</v>
      </c>
      <c r="D346" s="77">
        <f>_xll.qlYieldTSForwardRate($C$2,B346,B346,"Act/365 (Fixed)","Continuous")</f>
        <v>4.2999999998820135E-2</v>
      </c>
      <c r="E346" s="77">
        <f>_xll.qlYieldTSForwardRate($C$4,B346,B346,"Act/365 (Fixed)","Continuous")</f>
        <v>3.0000000002816584E-3</v>
      </c>
      <c r="F346" s="77">
        <f>_xll.qlYieldTSForwardRate($C$5,B346,B346,"Act/365 (Fixed)","Continuous")</f>
        <v>4.5999999999863671E-2</v>
      </c>
    </row>
    <row r="347" spans="2:6">
      <c r="B347" s="111">
        <f>_xll.qlCalendarAdvance("Null",B346,"1m")</f>
        <v>53997</v>
      </c>
      <c r="C347" s="112">
        <f t="shared" si="5"/>
        <v>28.104109589041094</v>
      </c>
      <c r="D347" s="77">
        <f>_xll.qlYieldTSForwardRate($C$2,B347,B347,"Act/365 (Fixed)","Continuous")</f>
        <v>4.2999999998820135E-2</v>
      </c>
      <c r="E347" s="77">
        <f>_xll.qlYieldTSForwardRate($C$4,B347,B347,"Act/365 (Fixed)","Continuous")</f>
        <v>2.9999999980612128E-3</v>
      </c>
      <c r="F347" s="77">
        <f>_xll.qlYieldTSForwardRate($C$5,B347,B347,"Act/365 (Fixed)","Continuous")</f>
        <v>4.5999999997643232E-2</v>
      </c>
    </row>
    <row r="348" spans="2:6">
      <c r="B348" s="111">
        <f>_xll.qlCalendarAdvance("Null",B347,"1m")</f>
        <v>54027</v>
      </c>
      <c r="C348" s="112">
        <f t="shared" si="5"/>
        <v>28.186301369863013</v>
      </c>
      <c r="D348" s="77">
        <f>_xll.qlYieldTSForwardRate($C$2,B348,B348,"Act/365 (Fixed)","Continuous")</f>
        <v>4.2999999998820135E-2</v>
      </c>
      <c r="E348" s="77">
        <f>_xll.qlYieldTSForwardRate($C$4,B348,B348,"Act/365 (Fixed)","Continuous")</f>
        <v>3.0000000002816584E-3</v>
      </c>
      <c r="F348" s="77">
        <f>_xll.qlYieldTSForwardRate($C$5,B348,B348,"Act/365 (Fixed)","Continuous")</f>
        <v>4.5999999999863671E-2</v>
      </c>
    </row>
    <row r="349" spans="2:6">
      <c r="B349" s="111">
        <f>_xll.qlCalendarAdvance("Null",B348,"1m")</f>
        <v>54058</v>
      </c>
      <c r="C349" s="112">
        <f t="shared" si="5"/>
        <v>28.271232876712329</v>
      </c>
      <c r="D349" s="77">
        <f>_xll.qlYieldTSForwardRate($C$2,B349,B349,"Act/365 (Fixed)","Continuous")</f>
        <v>4.3000000001040574E-2</v>
      </c>
      <c r="E349" s="77">
        <f>_xll.qlYieldTSForwardRate($C$4,B349,B349,"Act/365 (Fixed)","Continuous")</f>
        <v>3.0000000002816584E-3</v>
      </c>
      <c r="F349" s="77">
        <f>_xll.qlYieldTSForwardRate($C$5,B349,B349,"Act/365 (Fixed)","Continuous")</f>
        <v>4.6000000002084096E-2</v>
      </c>
    </row>
    <row r="350" spans="2:6">
      <c r="B350" s="111">
        <f>_xll.qlCalendarAdvance("Null",B349,"1m")</f>
        <v>54089</v>
      </c>
      <c r="C350" s="112">
        <f t="shared" si="5"/>
        <v>28.356164383561644</v>
      </c>
      <c r="D350" s="77">
        <f>_xll.qlYieldTSForwardRate($C$2,B350,B350,"Act/365 (Fixed)","Continuous")</f>
        <v>4.3000000001040574E-2</v>
      </c>
      <c r="E350" s="77">
        <f>_xll.qlYieldTSForwardRate($C$4,B350,B350,"Act/365 (Fixed)","Continuous")</f>
        <v>3.0000000002816584E-3</v>
      </c>
      <c r="F350" s="77">
        <f>_xll.qlYieldTSForwardRate($C$5,B350,B350,"Act/365 (Fixed)","Continuous")</f>
        <v>4.5999999999863671E-2</v>
      </c>
    </row>
    <row r="351" spans="2:6">
      <c r="B351" s="111">
        <f>_xll.qlCalendarAdvance("Null",B350,"1m")</f>
        <v>54118</v>
      </c>
      <c r="C351" s="112">
        <f t="shared" si="5"/>
        <v>28.435616438356163</v>
      </c>
      <c r="D351" s="77">
        <f>_xll.qlYieldTSForwardRate($C$2,B351,B351,"Act/365 (Fixed)","Continuous")</f>
        <v>4.3000000001040574E-2</v>
      </c>
      <c r="E351" s="77">
        <f>_xll.qlYieldTSForwardRate($C$4,B351,B351,"Act/365 (Fixed)","Continuous")</f>
        <v>3.0000000002816584E-3</v>
      </c>
      <c r="F351" s="77">
        <f>_xll.qlYieldTSForwardRate($C$5,B351,B351,"Act/365 (Fixed)","Continuous")</f>
        <v>4.5999999999863671E-2</v>
      </c>
    </row>
    <row r="352" spans="2:6">
      <c r="B352" s="111">
        <f>_xll.qlCalendarAdvance("Null",B351,"1m")</f>
        <v>54149</v>
      </c>
      <c r="C352" s="112">
        <f t="shared" si="5"/>
        <v>28.520547945205479</v>
      </c>
      <c r="D352" s="77">
        <f>_xll.qlYieldTSForwardRate($C$2,B352,B352,"Act/365 (Fixed)","Continuous")</f>
        <v>4.3000000001040574E-2</v>
      </c>
      <c r="E352" s="77">
        <f>_xll.qlYieldTSForwardRate($C$4,B352,B352,"Act/365 (Fixed)","Continuous")</f>
        <v>3.0000000002816584E-3</v>
      </c>
      <c r="F352" s="77">
        <f>_xll.qlYieldTSForwardRate($C$5,B352,B352,"Act/365 (Fixed)","Continuous")</f>
        <v>4.5999999999863671E-2</v>
      </c>
    </row>
    <row r="353" spans="2:6">
      <c r="B353" s="111">
        <f>_xll.qlCalendarAdvance("Null",B352,"1m")</f>
        <v>54179</v>
      </c>
      <c r="C353" s="112">
        <f t="shared" si="5"/>
        <v>28.602739726027398</v>
      </c>
      <c r="D353" s="77">
        <f>_xll.qlYieldTSForwardRate($C$2,B353,B353,"Act/365 (Fixed)","Continuous")</f>
        <v>4.3000000001040574E-2</v>
      </c>
      <c r="E353" s="77">
        <f>_xll.qlYieldTSForwardRate($C$4,B353,B353,"Act/365 (Fixed)","Continuous")</f>
        <v>3.0000000002816584E-3</v>
      </c>
      <c r="F353" s="77">
        <f>_xll.qlYieldTSForwardRate($C$5,B353,B353,"Act/365 (Fixed)","Continuous")</f>
        <v>4.5999999999863671E-2</v>
      </c>
    </row>
    <row r="354" spans="2:6">
      <c r="B354" s="111">
        <f>_xll.qlCalendarAdvance("Null",B353,"1m")</f>
        <v>54210</v>
      </c>
      <c r="C354" s="112">
        <f t="shared" si="5"/>
        <v>28.687671232876713</v>
      </c>
      <c r="D354" s="77">
        <f>_xll.qlYieldTSForwardRate($C$2,B354,B354,"Act/365 (Fixed)","Continuous")</f>
        <v>4.3000000001040574E-2</v>
      </c>
      <c r="E354" s="77">
        <f>_xll.qlYieldTSForwardRate($C$4,B354,B354,"Act/365 (Fixed)","Continuous")</f>
        <v>3.0000000002816584E-3</v>
      </c>
      <c r="F354" s="77">
        <f>_xll.qlYieldTSForwardRate($C$5,B354,B354,"Act/365 (Fixed)","Continuous")</f>
        <v>4.5999999999863671E-2</v>
      </c>
    </row>
    <row r="355" spans="2:6">
      <c r="B355" s="111">
        <f>_xll.qlCalendarAdvance("Null",B354,"1m")</f>
        <v>54240</v>
      </c>
      <c r="C355" s="112">
        <f t="shared" si="5"/>
        <v>28.769863013698629</v>
      </c>
      <c r="D355" s="77">
        <f>_xll.qlYieldTSForwardRate($C$2,B355,B355,"Act/365 (Fixed)","Continuous")</f>
        <v>4.2999999998820135E-2</v>
      </c>
      <c r="E355" s="77">
        <f>_xll.qlYieldTSForwardRate($C$4,B355,B355,"Act/365 (Fixed)","Continuous")</f>
        <v>2.9999999980612128E-3</v>
      </c>
      <c r="F355" s="77">
        <f>_xll.qlYieldTSForwardRate($C$5,B355,B355,"Act/365 (Fixed)","Continuous")</f>
        <v>4.5999999997643232E-2</v>
      </c>
    </row>
    <row r="356" spans="2:6">
      <c r="B356" s="111">
        <f>_xll.qlCalendarAdvance("Null",B355,"1m")</f>
        <v>54271</v>
      </c>
      <c r="C356" s="112">
        <f t="shared" si="5"/>
        <v>28.854794520547944</v>
      </c>
      <c r="D356" s="77">
        <f>_xll.qlYieldTSForwardRate($C$2,B356,B356,"Act/365 (Fixed)","Continuous")</f>
        <v>4.3000000001040574E-2</v>
      </c>
      <c r="E356" s="77">
        <f>_xll.qlYieldTSForwardRate($C$4,B356,B356,"Act/365 (Fixed)","Continuous")</f>
        <v>3.0000000002816584E-3</v>
      </c>
      <c r="F356" s="77">
        <f>_xll.qlYieldTSForwardRate($C$5,B356,B356,"Act/365 (Fixed)","Continuous")</f>
        <v>4.6000000002084096E-2</v>
      </c>
    </row>
    <row r="357" spans="2:6">
      <c r="B357" s="111">
        <f>_xll.qlCalendarAdvance("Null",B356,"1m")</f>
        <v>54302</v>
      </c>
      <c r="C357" s="112">
        <f t="shared" si="5"/>
        <v>28.93972602739726</v>
      </c>
      <c r="D357" s="77">
        <f>_xll.qlYieldTSForwardRate($C$2,B357,B357,"Act/365 (Fixed)","Continuous")</f>
        <v>4.2999999998820135E-2</v>
      </c>
      <c r="E357" s="77">
        <f>_xll.qlYieldTSForwardRate($C$4,B357,B357,"Act/365 (Fixed)","Continuous")</f>
        <v>3.0000000002816584E-3</v>
      </c>
      <c r="F357" s="77">
        <f>_xll.qlYieldTSForwardRate($C$5,B357,B357,"Act/365 (Fixed)","Continuous")</f>
        <v>4.5999999999863671E-2</v>
      </c>
    </row>
    <row r="358" spans="2:6">
      <c r="B358" s="111">
        <f>_xll.qlCalendarAdvance("Null",B357,"1m")</f>
        <v>54332</v>
      </c>
      <c r="C358" s="112">
        <f t="shared" si="5"/>
        <v>29.021917808219179</v>
      </c>
      <c r="D358" s="77">
        <f>_xll.qlYieldTSForwardRate($C$2,B358,B358,"Act/365 (Fixed)","Continuous")</f>
        <v>4.2999999998820135E-2</v>
      </c>
      <c r="E358" s="77">
        <f>_xll.qlYieldTSForwardRate($C$4,B358,B358,"Act/365 (Fixed)","Continuous")</f>
        <v>3.0000000002816584E-3</v>
      </c>
      <c r="F358" s="77">
        <f>_xll.qlYieldTSForwardRate($C$5,B358,B358,"Act/365 (Fixed)","Continuous")</f>
        <v>4.5999999997643232E-2</v>
      </c>
    </row>
    <row r="359" spans="2:6">
      <c r="B359" s="111">
        <f>_xll.qlCalendarAdvance("Null",B358,"1m")</f>
        <v>54363</v>
      </c>
      <c r="C359" s="112">
        <f t="shared" si="5"/>
        <v>29.106849315068494</v>
      </c>
      <c r="D359" s="77">
        <f>_xll.qlYieldTSForwardRate($C$2,B359,B359,"Act/365 (Fixed)","Continuous")</f>
        <v>4.3000000001040574E-2</v>
      </c>
      <c r="E359" s="77">
        <f>_xll.qlYieldTSForwardRate($C$4,B359,B359,"Act/365 (Fixed)","Continuous")</f>
        <v>3.0000000002816584E-3</v>
      </c>
      <c r="F359" s="77">
        <f>_xll.qlYieldTSForwardRate($C$5,B359,B359,"Act/365 (Fixed)","Continuous")</f>
        <v>4.6000000002084096E-2</v>
      </c>
    </row>
    <row r="360" spans="2:6">
      <c r="B360" s="111">
        <f>_xll.qlCalendarAdvance("Null",B359,"1m")</f>
        <v>54393</v>
      </c>
      <c r="C360" s="112">
        <f t="shared" si="5"/>
        <v>29.18904109589041</v>
      </c>
      <c r="D360" s="77">
        <f>_xll.qlYieldTSForwardRate($C$2,B360,B360,"Act/365 (Fixed)","Continuous")</f>
        <v>4.3000000001040574E-2</v>
      </c>
      <c r="E360" s="77">
        <f>_xll.qlYieldTSForwardRate($C$4,B360,B360,"Act/365 (Fixed)","Continuous")</f>
        <v>3.0000000002816584E-3</v>
      </c>
      <c r="F360" s="77">
        <f>_xll.qlYieldTSForwardRate($C$5,B360,B360,"Act/365 (Fixed)","Continuous")</f>
        <v>4.5999999999863671E-2</v>
      </c>
    </row>
    <row r="361" spans="2:6">
      <c r="B361" s="111">
        <f>_xll.qlCalendarAdvance("Null",B360,"1m")</f>
        <v>54424</v>
      </c>
      <c r="C361" s="112">
        <f t="shared" si="5"/>
        <v>29.273972602739725</v>
      </c>
      <c r="D361" s="77">
        <f>_xll.qlYieldTSForwardRate($C$2,B361,B361,"Act/365 (Fixed)","Continuous")</f>
        <v>4.2999999998820135E-2</v>
      </c>
      <c r="E361" s="77">
        <f>_xll.qlYieldTSForwardRate($C$4,B361,B361,"Act/365 (Fixed)","Continuous")</f>
        <v>3.0000000002816584E-3</v>
      </c>
      <c r="F361" s="77">
        <f>_xll.qlYieldTSForwardRate($C$5,B361,B361,"Act/365 (Fixed)","Continuous")</f>
        <v>4.5999999999863671E-2</v>
      </c>
    </row>
    <row r="362" spans="2:6">
      <c r="B362" s="111">
        <f>_xll.qlCalendarAdvance("Null",B361,"1m")</f>
        <v>54455</v>
      </c>
      <c r="C362" s="112">
        <f t="shared" si="5"/>
        <v>29.358904109589041</v>
      </c>
      <c r="D362" s="77">
        <f>_xll.qlYieldTSForwardRate($C$2,B362,B362,"Act/365 (Fixed)","Continuous")</f>
        <v>4.3000000001040574E-2</v>
      </c>
      <c r="E362" s="77">
        <f>_xll.qlYieldTSForwardRate($C$4,B362,B362,"Act/365 (Fixed)","Continuous")</f>
        <v>2.9999999980612128E-3</v>
      </c>
      <c r="F362" s="77">
        <f>_xll.qlYieldTSForwardRate($C$5,B362,B362,"Act/365 (Fixed)","Continuous")</f>
        <v>4.5999999999863671E-2</v>
      </c>
    </row>
    <row r="363" spans="2:6">
      <c r="B363" s="111">
        <f>_xll.qlCalendarAdvance("Null",B362,"1m")</f>
        <v>54483</v>
      </c>
      <c r="C363" s="112">
        <f t="shared" si="5"/>
        <v>29.435616438356163</v>
      </c>
      <c r="D363" s="77">
        <f>_xll.qlYieldTSForwardRate($C$2,B363,B363,"Act/365 (Fixed)","Continuous")</f>
        <v>4.2999999998820135E-2</v>
      </c>
      <c r="E363" s="77">
        <f>_xll.qlYieldTSForwardRate($C$4,B363,B363,"Act/365 (Fixed)","Continuous")</f>
        <v>2.9999999980612128E-3</v>
      </c>
      <c r="F363" s="77">
        <f>_xll.qlYieldTSForwardRate($C$5,B363,B363,"Act/365 (Fixed)","Continuous")</f>
        <v>4.5999999997643232E-2</v>
      </c>
    </row>
    <row r="364" spans="2:6">
      <c r="B364" s="111">
        <f>_xll.qlCalendarAdvance("Null",B363,"1m")</f>
        <v>54514</v>
      </c>
      <c r="C364" s="112">
        <f t="shared" si="5"/>
        <v>29.520547945205479</v>
      </c>
      <c r="D364" s="77">
        <f>_xll.qlYieldTSForwardRate($C$2,B364,B364,"Act/365 (Fixed)","Continuous")</f>
        <v>4.2999999998820135E-2</v>
      </c>
      <c r="E364" s="77">
        <f>_xll.qlYieldTSForwardRate($C$4,B364,B364,"Act/365 (Fixed)","Continuous")</f>
        <v>3.0000000025021036E-3</v>
      </c>
      <c r="F364" s="77">
        <f>_xll.qlYieldTSForwardRate($C$5,B364,B364,"Act/365 (Fixed)","Continuous")</f>
        <v>4.5999999999863671E-2</v>
      </c>
    </row>
    <row r="365" spans="2:6">
      <c r="B365" s="111">
        <f>_xll.qlCalendarAdvance("Null",B364,"1m")</f>
        <v>54544</v>
      </c>
      <c r="C365" s="112">
        <f t="shared" si="5"/>
        <v>29.602739726027398</v>
      </c>
      <c r="D365" s="77">
        <f>_xll.qlYieldTSForwardRate($C$2,B365,B365,"Act/365 (Fixed)","Continuous")</f>
        <v>4.2999999998820135E-2</v>
      </c>
      <c r="E365" s="77">
        <f>_xll.qlYieldTSForwardRate($C$4,B365,B365,"Act/365 (Fixed)","Continuous")</f>
        <v>3.0000000002816584E-3</v>
      </c>
      <c r="F365" s="77">
        <f>_xll.qlYieldTSForwardRate($C$5,B365,B365,"Act/365 (Fixed)","Continuous")</f>
        <v>4.5999999997643232E-2</v>
      </c>
    </row>
    <row r="366" spans="2:6">
      <c r="B366" s="111">
        <f>_xll.qlCalendarAdvance("Null",B365,"1m")</f>
        <v>54575</v>
      </c>
      <c r="C366" s="112">
        <f t="shared" si="5"/>
        <v>29.687671232876713</v>
      </c>
      <c r="D366" s="77">
        <f>_xll.qlYieldTSForwardRate($C$2,B366,B366,"Act/365 (Fixed)","Continuous")</f>
        <v>4.2999999998820135E-2</v>
      </c>
      <c r="E366" s="77">
        <f>_xll.qlYieldTSForwardRate($C$4,B366,B366,"Act/365 (Fixed)","Continuous")</f>
        <v>3.0000000002816584E-3</v>
      </c>
      <c r="F366" s="77">
        <f>_xll.qlYieldTSForwardRate($C$5,B366,B366,"Act/365 (Fixed)","Continuous")</f>
        <v>4.5999999999863671E-2</v>
      </c>
    </row>
    <row r="367" spans="2:6">
      <c r="B367" s="111">
        <f>_xll.qlCalendarAdvance("Null",B366,"1m")</f>
        <v>54605</v>
      </c>
      <c r="C367" s="112">
        <f t="shared" si="5"/>
        <v>29.769863013698629</v>
      </c>
      <c r="D367" s="77">
        <f>_xll.qlYieldTSForwardRate($C$2,B367,B367,"Act/365 (Fixed)","Continuous")</f>
        <v>4.3000000001040574E-2</v>
      </c>
      <c r="E367" s="77">
        <f>_xll.qlYieldTSForwardRate($C$4,B367,B367,"Act/365 (Fixed)","Continuous")</f>
        <v>3.0000000002816584E-3</v>
      </c>
      <c r="F367" s="77">
        <f>_xll.qlYieldTSForwardRate($C$5,B367,B367,"Act/365 (Fixed)","Continuous")</f>
        <v>4.6000000002084096E-2</v>
      </c>
    </row>
    <row r="368" spans="2:6">
      <c r="B368" s="111">
        <f>_xll.qlCalendarAdvance("Null",B367,"1m")</f>
        <v>54636</v>
      </c>
      <c r="C368" s="112">
        <f t="shared" si="5"/>
        <v>29.854794520547944</v>
      </c>
      <c r="D368" s="77">
        <f>_xll.qlYieldTSForwardRate($C$2,B368,B368,"Act/365 (Fixed)","Continuous")</f>
        <v>4.3000000001040574E-2</v>
      </c>
      <c r="E368" s="77">
        <f>_xll.qlYieldTSForwardRate($C$4,B368,B368,"Act/365 (Fixed)","Continuous")</f>
        <v>3.0000000002816584E-3</v>
      </c>
      <c r="F368" s="77">
        <f>_xll.qlYieldTSForwardRate($C$5,B368,B368,"Act/365 (Fixed)","Continuous")</f>
        <v>4.6000000002084096E-2</v>
      </c>
    </row>
    <row r="369" spans="2:6">
      <c r="B369" s="111">
        <f>_xll.qlCalendarAdvance("Null",B368,"1m")</f>
        <v>54667</v>
      </c>
      <c r="C369" s="112">
        <f t="shared" si="5"/>
        <v>29.93972602739726</v>
      </c>
      <c r="D369" s="77">
        <f>_xll.qlYieldTSForwardRate($C$2,B369,B369,"Act/365 (Fixed)","Continuous")</f>
        <v>4.2999999998820135E-2</v>
      </c>
      <c r="E369" s="77">
        <f>_xll.qlYieldTSForwardRate($C$4,B369,B369,"Act/365 (Fixed)","Continuous")</f>
        <v>3.0000000002816584E-3</v>
      </c>
      <c r="F369" s="77">
        <f>_xll.qlYieldTSForwardRate($C$5,B369,B369,"Act/365 (Fixed)","Continuous")</f>
        <v>4.5999999999863671E-2</v>
      </c>
    </row>
    <row r="370" spans="2:6">
      <c r="B370" s="114">
        <f>_xll.qlCalendarAdvance("Null",B369,"1m")</f>
        <v>54697</v>
      </c>
      <c r="C370" s="115">
        <f t="shared" si="5"/>
        <v>30.021917808219179</v>
      </c>
      <c r="D370" s="78">
        <f>_xll.qlYieldTSForwardRate($C$2,B370,B370,"Act/365 (Fixed)","Continuous")</f>
        <v>4.2999999996599696E-2</v>
      </c>
      <c r="E370" s="78">
        <f>_xll.qlYieldTSForwardRate($C$4,B370,B370,"Act/365 (Fixed)","Continuous")</f>
        <v>2.9999999980612128E-3</v>
      </c>
      <c r="F370" s="78" t="e">
        <f>_xll.qlYieldTSForwardRate($C$5,B370,B370,"Act/365 (Fixed)","Continuous")</f>
        <v>#NUM!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45"/>
  <sheetViews>
    <sheetView showGridLines="0" zoomScale="85" zoomScaleNormal="85" workbookViewId="0"/>
  </sheetViews>
  <sheetFormatPr defaultRowHeight="12.5"/>
  <cols>
    <col min="1" max="1" width="6.08984375" customWidth="1"/>
    <col min="2" max="2" width="10.453125" customWidth="1"/>
    <col min="3" max="3" width="15.453125" bestFit="1" customWidth="1"/>
    <col min="4" max="4" width="7.08984375" customWidth="1"/>
    <col min="5" max="5" width="13.1796875" bestFit="1" customWidth="1"/>
    <col min="6" max="6" width="9.08984375" bestFit="1" customWidth="1"/>
    <col min="7" max="7" width="11.08984375" bestFit="1" customWidth="1"/>
    <col min="8" max="8" width="17.1796875" bestFit="1" customWidth="1"/>
    <col min="9" max="9" width="16.1796875" bestFit="1" customWidth="1"/>
    <col min="10" max="10" width="12.453125" bestFit="1" customWidth="1"/>
    <col min="11" max="11" width="18.81640625" bestFit="1" customWidth="1"/>
    <col min="12" max="12" width="11.08984375" bestFit="1" customWidth="1"/>
    <col min="13" max="13" width="11.81640625" bestFit="1" customWidth="1"/>
    <col min="14" max="14" width="12" bestFit="1" customWidth="1"/>
    <col min="15" max="15" width="13.90625" bestFit="1" customWidth="1"/>
    <col min="16" max="16" width="13.08984375" bestFit="1" customWidth="1"/>
    <col min="17" max="17" width="5.54296875" bestFit="1" customWidth="1"/>
    <col min="18" max="18" width="7.90625" bestFit="1" customWidth="1"/>
    <col min="19" max="19" width="12" bestFit="1" customWidth="1"/>
  </cols>
  <sheetData>
    <row r="2" spans="2:19" ht="13">
      <c r="B2" s="67" t="s">
        <v>81</v>
      </c>
      <c r="C2" s="117">
        <v>43769</v>
      </c>
      <c r="E2" s="150" t="str">
        <f t="array" ref="E2:S43">_xll.qlLegFlowAnalysis(C15)</f>
        <v>Payment Date</v>
      </c>
      <c r="F2" s="150" t="str">
        <v>Amount</v>
      </c>
      <c r="G2" s="150" t="str">
        <v>Nominal</v>
      </c>
      <c r="H2" s="150" t="str">
        <v>Accrual Start Date</v>
      </c>
      <c r="I2" s="150" t="str">
        <v>Accrual End Date</v>
      </c>
      <c r="J2" s="150" t="str">
        <v>Accrual Days</v>
      </c>
      <c r="K2" s="150" t="str">
        <v>Index</v>
      </c>
      <c r="L2" s="150" t="str">
        <v>Fixing Days</v>
      </c>
      <c r="M2" s="150" t="str">
        <v>Fixing Dates</v>
      </c>
      <c r="N2" s="150" t="str">
        <v>Day Counter</v>
      </c>
      <c r="O2" s="150" t="str">
        <v>Accrual Period</v>
      </c>
      <c r="P2" s="150" t="str">
        <v>Effective Rate</v>
      </c>
      <c r="Q2" s="150" t="str">
        <v>Floor</v>
      </c>
      <c r="R2" s="150" t="str">
        <v>Gearing</v>
      </c>
      <c r="S2" s="150" t="str">
        <v>Index Fixing</v>
      </c>
    </row>
    <row r="3" spans="2:19" ht="13">
      <c r="B3" s="68" t="s">
        <v>82</v>
      </c>
      <c r="C3" s="118">
        <v>51074</v>
      </c>
      <c r="E3" s="107">
        <v>43951</v>
      </c>
      <c r="F3" s="151">
        <v>1507134.849764724</v>
      </c>
      <c r="G3" s="151">
        <v>100000000</v>
      </c>
      <c r="H3" s="107">
        <v>43769</v>
      </c>
      <c r="I3" s="107">
        <v>43951</v>
      </c>
      <c r="J3" s="152">
        <v>182</v>
      </c>
      <c r="K3" s="152" t="str">
        <v>Euribor6M Actual/360</v>
      </c>
      <c r="L3" s="152">
        <v>2</v>
      </c>
      <c r="M3" s="107">
        <v>43767</v>
      </c>
      <c r="N3" s="152" t="str">
        <v>Actual/360</v>
      </c>
      <c r="O3" s="153">
        <v>0.50555555555555554</v>
      </c>
      <c r="P3" s="76">
        <v>2.9811458566774765E-2</v>
      </c>
      <c r="Q3" s="152" t="str">
        <v>#N/A</v>
      </c>
      <c r="R3" s="152">
        <v>1</v>
      </c>
      <c r="S3" s="154">
        <v>2.9811458566774765E-2</v>
      </c>
    </row>
    <row r="4" spans="2:19" ht="13">
      <c r="B4" s="68" t="s">
        <v>91</v>
      </c>
      <c r="C4" s="139" t="s">
        <v>92</v>
      </c>
      <c r="E4" s="111">
        <v>44134</v>
      </c>
      <c r="F4" s="155">
        <v>1515638.4523333788</v>
      </c>
      <c r="G4" s="155">
        <v>100000000</v>
      </c>
      <c r="H4" s="111">
        <v>43951</v>
      </c>
      <c r="I4" s="111">
        <v>44134</v>
      </c>
      <c r="J4" s="119">
        <v>183</v>
      </c>
      <c r="K4" s="119" t="str">
        <v>Euribor6M Actual/360</v>
      </c>
      <c r="L4" s="119">
        <v>2</v>
      </c>
      <c r="M4" s="111">
        <v>43949</v>
      </c>
      <c r="N4" s="119" t="str">
        <v>Actual/360</v>
      </c>
      <c r="O4" s="156">
        <v>0.5083333333333333</v>
      </c>
      <c r="P4" s="77">
        <v>2.9815838406558274E-2</v>
      </c>
      <c r="Q4" s="119" t="str">
        <v>#N/A</v>
      </c>
      <c r="R4" s="119">
        <v>1</v>
      </c>
      <c r="S4" s="157">
        <v>2.9815838406558274E-2</v>
      </c>
    </row>
    <row r="5" spans="2:19" ht="13">
      <c r="B5" s="68" t="s">
        <v>93</v>
      </c>
      <c r="C5" s="139" t="s">
        <v>94</v>
      </c>
      <c r="E5" s="111">
        <v>44316</v>
      </c>
      <c r="F5" s="155">
        <v>1515455.3852652963</v>
      </c>
      <c r="G5" s="155">
        <v>100000000</v>
      </c>
      <c r="H5" s="111">
        <v>44134</v>
      </c>
      <c r="I5" s="111">
        <v>44316</v>
      </c>
      <c r="J5" s="119">
        <v>182</v>
      </c>
      <c r="K5" s="119" t="str">
        <v>Euribor6M Actual/360</v>
      </c>
      <c r="L5" s="119">
        <v>2</v>
      </c>
      <c r="M5" s="111">
        <v>44132</v>
      </c>
      <c r="N5" s="119" t="str">
        <v>Actual/360</v>
      </c>
      <c r="O5" s="156">
        <v>0.50555555555555554</v>
      </c>
      <c r="P5" s="77">
        <v>2.9976040587665204E-2</v>
      </c>
      <c r="Q5" s="119" t="str">
        <v>#N/A</v>
      </c>
      <c r="R5" s="119">
        <v>1</v>
      </c>
      <c r="S5" s="157">
        <v>2.9976040587665204E-2</v>
      </c>
    </row>
    <row r="6" spans="2:19" ht="13">
      <c r="B6" s="68" t="s">
        <v>95</v>
      </c>
      <c r="C6" s="139" t="s">
        <v>25</v>
      </c>
      <c r="E6" s="111">
        <v>44498</v>
      </c>
      <c r="F6" s="155">
        <v>1528076.1657689989</v>
      </c>
      <c r="G6" s="155">
        <v>100000000</v>
      </c>
      <c r="H6" s="111">
        <v>44316</v>
      </c>
      <c r="I6" s="111">
        <v>44498</v>
      </c>
      <c r="J6" s="119">
        <v>182</v>
      </c>
      <c r="K6" s="119" t="str">
        <v>Euribor6M Actual/360</v>
      </c>
      <c r="L6" s="119">
        <v>2</v>
      </c>
      <c r="M6" s="111">
        <v>44314</v>
      </c>
      <c r="N6" s="119" t="str">
        <v>Actual/360</v>
      </c>
      <c r="O6" s="156">
        <v>0.50555555555555554</v>
      </c>
      <c r="P6" s="77">
        <v>3.0225682399826353E-2</v>
      </c>
      <c r="Q6" s="119" t="str">
        <v>#N/A</v>
      </c>
      <c r="R6" s="119">
        <v>1</v>
      </c>
      <c r="S6" s="157">
        <v>3.0225682399826353E-2</v>
      </c>
    </row>
    <row r="7" spans="2:19" ht="13">
      <c r="B7" s="141" t="s">
        <v>96</v>
      </c>
      <c r="C7" s="142" t="str">
        <f>_xll.qlSchedule(,C2,C3,C4,C5,C6,C6)</f>
        <v>obj_00011#0009</v>
      </c>
      <c r="E7" s="111">
        <v>44680</v>
      </c>
      <c r="F7" s="155">
        <v>1540698.5153352926</v>
      </c>
      <c r="G7" s="155">
        <v>100000000</v>
      </c>
      <c r="H7" s="111">
        <v>44498</v>
      </c>
      <c r="I7" s="111">
        <v>44680</v>
      </c>
      <c r="J7" s="119">
        <v>182</v>
      </c>
      <c r="K7" s="119" t="str">
        <v>Euribor6M Actual/360</v>
      </c>
      <c r="L7" s="119">
        <v>2</v>
      </c>
      <c r="M7" s="111">
        <v>44496</v>
      </c>
      <c r="N7" s="119" t="str">
        <v>Actual/360</v>
      </c>
      <c r="O7" s="156">
        <v>0.50555555555555554</v>
      </c>
      <c r="P7" s="77">
        <v>3.0475355248390405E-2</v>
      </c>
      <c r="Q7" s="119" t="str">
        <v>#N/A</v>
      </c>
      <c r="R7" s="119">
        <v>1</v>
      </c>
      <c r="S7" s="157">
        <v>3.0475355248390405E-2</v>
      </c>
    </row>
    <row r="8" spans="2:19">
      <c r="E8" s="111">
        <v>44865</v>
      </c>
      <c r="F8" s="155">
        <v>1579751.7451336952</v>
      </c>
      <c r="G8" s="155">
        <v>100000000</v>
      </c>
      <c r="H8" s="111">
        <v>44680</v>
      </c>
      <c r="I8" s="111">
        <v>44865</v>
      </c>
      <c r="J8" s="119">
        <v>185</v>
      </c>
      <c r="K8" s="119" t="str">
        <v>Euribor6M Actual/360</v>
      </c>
      <c r="L8" s="119">
        <v>2</v>
      </c>
      <c r="M8" s="111">
        <v>44678</v>
      </c>
      <c r="N8" s="119" t="str">
        <v>Actual/360</v>
      </c>
      <c r="O8" s="156">
        <v>0.51388888888888884</v>
      </c>
      <c r="P8" s="77">
        <v>3.0741115040439474E-2</v>
      </c>
      <c r="Q8" s="119" t="str">
        <v>#N/A</v>
      </c>
      <c r="R8" s="119">
        <v>1</v>
      </c>
      <c r="S8" s="157">
        <v>3.0741115040439474E-2</v>
      </c>
    </row>
    <row r="9" spans="2:19" ht="13">
      <c r="B9" s="143" t="s">
        <v>98</v>
      </c>
      <c r="C9" s="144" t="str">
        <f>'Projection Curve'!C5</f>
        <v>obj_00058#0013</v>
      </c>
      <c r="E9" s="111">
        <v>45044</v>
      </c>
      <c r="F9" s="155">
        <v>1564665.4267133409</v>
      </c>
      <c r="G9" s="155">
        <v>100000000</v>
      </c>
      <c r="H9" s="111">
        <v>44865</v>
      </c>
      <c r="I9" s="111">
        <v>45044</v>
      </c>
      <c r="J9" s="119">
        <v>179</v>
      </c>
      <c r="K9" s="119" t="str">
        <v>Euribor6M Actual/360</v>
      </c>
      <c r="L9" s="119">
        <v>2</v>
      </c>
      <c r="M9" s="111">
        <v>44861</v>
      </c>
      <c r="N9" s="119" t="str">
        <v>Actual/360</v>
      </c>
      <c r="O9" s="156">
        <v>0.49722222222222223</v>
      </c>
      <c r="P9" s="77">
        <v>3.1468131486972216E-2</v>
      </c>
      <c r="Q9" s="119" t="str">
        <v>#N/A</v>
      </c>
      <c r="R9" s="119">
        <v>1</v>
      </c>
      <c r="S9" s="157">
        <v>3.1468131486972216E-2</v>
      </c>
    </row>
    <row r="10" spans="2:19" ht="13">
      <c r="B10" s="145" t="s">
        <v>97</v>
      </c>
      <c r="C10" s="140" t="str">
        <f>_xll.qlEuribor(,C4,C9)</f>
        <v>obj_00059#0013</v>
      </c>
      <c r="E10" s="111">
        <v>45230</v>
      </c>
      <c r="F10" s="155">
        <v>1678940.5729017437</v>
      </c>
      <c r="G10" s="155">
        <v>100000000</v>
      </c>
      <c r="H10" s="111">
        <v>45044</v>
      </c>
      <c r="I10" s="111">
        <v>45230</v>
      </c>
      <c r="J10" s="119">
        <v>186</v>
      </c>
      <c r="K10" s="119" t="str">
        <v>Euribor6M Actual/360</v>
      </c>
      <c r="L10" s="119">
        <v>2</v>
      </c>
      <c r="M10" s="111">
        <v>45042</v>
      </c>
      <c r="N10" s="119" t="str">
        <v>Actual/360</v>
      </c>
      <c r="O10" s="156">
        <v>0.51666666666666672</v>
      </c>
      <c r="P10" s="77">
        <v>3.2495623991646648E-2</v>
      </c>
      <c r="Q10" s="119" t="str">
        <v>#N/A</v>
      </c>
      <c r="R10" s="119">
        <v>1</v>
      </c>
      <c r="S10" s="157">
        <v>3.2495623991646648E-2</v>
      </c>
    </row>
    <row r="11" spans="2:19" ht="13">
      <c r="B11" s="143" t="s">
        <v>102</v>
      </c>
      <c r="C11" s="148">
        <v>2</v>
      </c>
      <c r="E11" s="111">
        <v>45412</v>
      </c>
      <c r="F11" s="155">
        <v>1719107.5452579029</v>
      </c>
      <c r="G11" s="155">
        <v>100000000</v>
      </c>
      <c r="H11" s="111">
        <v>45230</v>
      </c>
      <c r="I11" s="111">
        <v>45412</v>
      </c>
      <c r="J11" s="119">
        <v>182</v>
      </c>
      <c r="K11" s="119" t="str">
        <v>Euribor6M Actual/360</v>
      </c>
      <c r="L11" s="119">
        <v>2</v>
      </c>
      <c r="M11" s="111">
        <v>45226</v>
      </c>
      <c r="N11" s="119" t="str">
        <v>Actual/360</v>
      </c>
      <c r="O11" s="156">
        <v>0.50555555555555554</v>
      </c>
      <c r="P11" s="77">
        <v>3.4004325071035443E-2</v>
      </c>
      <c r="Q11" s="119" t="str">
        <v>#N/A</v>
      </c>
      <c r="R11" s="119">
        <v>1</v>
      </c>
      <c r="S11" s="157">
        <v>3.4004325071035443E-2</v>
      </c>
    </row>
    <row r="12" spans="2:19" ht="13">
      <c r="B12" s="149" t="s">
        <v>99</v>
      </c>
      <c r="C12" s="139" t="s">
        <v>100</v>
      </c>
      <c r="E12" s="111">
        <v>45596</v>
      </c>
      <c r="F12" s="155">
        <v>1829098.171065513</v>
      </c>
      <c r="G12" s="155">
        <v>100000000</v>
      </c>
      <c r="H12" s="111">
        <v>45412</v>
      </c>
      <c r="I12" s="111">
        <v>45596</v>
      </c>
      <c r="J12" s="119">
        <v>184</v>
      </c>
      <c r="K12" s="119" t="str">
        <v>Euribor6M Actual/360</v>
      </c>
      <c r="L12" s="119">
        <v>2</v>
      </c>
      <c r="M12" s="111">
        <v>45408</v>
      </c>
      <c r="N12" s="119" t="str">
        <v>Actual/360</v>
      </c>
      <c r="O12" s="156">
        <v>0.51111111111111107</v>
      </c>
      <c r="P12" s="77">
        <v>3.578670334693395E-2</v>
      </c>
      <c r="Q12" s="119" t="str">
        <v>#N/A</v>
      </c>
      <c r="R12" s="119">
        <v>1</v>
      </c>
      <c r="S12" s="157">
        <v>3.578670334693395E-2</v>
      </c>
    </row>
    <row r="13" spans="2:19" ht="13">
      <c r="B13" s="149" t="s">
        <v>101</v>
      </c>
      <c r="C13" s="139" t="s">
        <v>25</v>
      </c>
      <c r="E13" s="111">
        <v>45777</v>
      </c>
      <c r="F13" s="155">
        <v>1882834.4718797351</v>
      </c>
      <c r="G13" s="155">
        <v>100000000</v>
      </c>
      <c r="H13" s="111">
        <v>45596</v>
      </c>
      <c r="I13" s="111">
        <v>45777</v>
      </c>
      <c r="J13" s="119">
        <v>181</v>
      </c>
      <c r="K13" s="119" t="str">
        <v>Euribor6M Actual/360</v>
      </c>
      <c r="L13" s="119">
        <v>2</v>
      </c>
      <c r="M13" s="111">
        <v>45594</v>
      </c>
      <c r="N13" s="119" t="str">
        <v>Actual/360</v>
      </c>
      <c r="O13" s="156">
        <v>0.50277777777777777</v>
      </c>
      <c r="P13" s="77">
        <v>3.7448641429652194E-2</v>
      </c>
      <c r="Q13" s="119" t="str">
        <v>#N/A</v>
      </c>
      <c r="R13" s="119">
        <v>1</v>
      </c>
      <c r="S13" s="157">
        <v>3.7448641429652194E-2</v>
      </c>
    </row>
    <row r="14" spans="2:19" ht="13">
      <c r="B14" s="149" t="s">
        <v>32</v>
      </c>
      <c r="C14" s="120">
        <v>100000000</v>
      </c>
      <c r="E14" s="111">
        <v>45961</v>
      </c>
      <c r="F14" s="155">
        <v>1996477.6665148954</v>
      </c>
      <c r="G14" s="155">
        <v>100000000</v>
      </c>
      <c r="H14" s="111">
        <v>45777</v>
      </c>
      <c r="I14" s="111">
        <v>45961</v>
      </c>
      <c r="J14" s="119">
        <v>184</v>
      </c>
      <c r="K14" s="119" t="str">
        <v>Euribor6M Actual/360</v>
      </c>
      <c r="L14" s="119">
        <v>2</v>
      </c>
      <c r="M14" s="111">
        <v>45775</v>
      </c>
      <c r="N14" s="119" t="str">
        <v>Actual/360</v>
      </c>
      <c r="O14" s="156">
        <v>0.51111111111111107</v>
      </c>
      <c r="P14" s="77">
        <v>3.9061519562247952E-2</v>
      </c>
      <c r="Q14" s="119" t="str">
        <v>#N/A</v>
      </c>
      <c r="R14" s="119">
        <v>1</v>
      </c>
      <c r="S14" s="157">
        <v>3.9061519562247952E-2</v>
      </c>
    </row>
    <row r="15" spans="2:19" ht="13">
      <c r="B15" s="145" t="s">
        <v>103</v>
      </c>
      <c r="C15" s="140" t="str">
        <f>_xll.qlIborLeg(,C13,C14,C7,C11,,C12,,,C10)</f>
        <v>obj_0005b#0015</v>
      </c>
      <c r="E15" s="111">
        <v>46142</v>
      </c>
      <c r="F15" s="155">
        <v>2040327.5687383537</v>
      </c>
      <c r="G15" s="155">
        <v>100000000</v>
      </c>
      <c r="H15" s="111">
        <v>45961</v>
      </c>
      <c r="I15" s="111">
        <v>46142</v>
      </c>
      <c r="J15" s="119">
        <v>181</v>
      </c>
      <c r="K15" s="119" t="str">
        <v>Euribor6M Actual/360</v>
      </c>
      <c r="L15" s="119">
        <v>2</v>
      </c>
      <c r="M15" s="111">
        <v>45959</v>
      </c>
      <c r="N15" s="119" t="str">
        <v>Actual/360</v>
      </c>
      <c r="O15" s="156">
        <v>0.50277777777777777</v>
      </c>
      <c r="P15" s="77">
        <v>4.0581100814685488E-2</v>
      </c>
      <c r="Q15" s="119" t="str">
        <v>#N/A</v>
      </c>
      <c r="R15" s="119">
        <v>1</v>
      </c>
      <c r="S15" s="157">
        <v>4.0581100814685488E-2</v>
      </c>
    </row>
    <row r="16" spans="2:19">
      <c r="E16" s="111">
        <v>46325</v>
      </c>
      <c r="F16" s="155">
        <v>2138149.8145633284</v>
      </c>
      <c r="G16" s="155">
        <v>100000000</v>
      </c>
      <c r="H16" s="111">
        <v>46142</v>
      </c>
      <c r="I16" s="111">
        <v>46325</v>
      </c>
      <c r="J16" s="119">
        <v>183</v>
      </c>
      <c r="K16" s="119" t="str">
        <v>Euribor6M Actual/360</v>
      </c>
      <c r="L16" s="119">
        <v>2</v>
      </c>
      <c r="M16" s="111">
        <v>46140</v>
      </c>
      <c r="N16" s="119" t="str">
        <v>Actual/360</v>
      </c>
      <c r="O16" s="156">
        <v>0.5083333333333333</v>
      </c>
      <c r="P16" s="77">
        <v>4.206196356518023E-2</v>
      </c>
      <c r="Q16" s="119" t="str">
        <v>#N/A</v>
      </c>
      <c r="R16" s="119">
        <v>1</v>
      </c>
      <c r="S16" s="157">
        <v>4.206196356518023E-2</v>
      </c>
    </row>
    <row r="17" spans="2:19" ht="13">
      <c r="B17" s="143" t="s">
        <v>105</v>
      </c>
      <c r="C17" s="144" t="str">
        <f>YieldCurve!$C$3</f>
        <v>obj_00041#0013</v>
      </c>
      <c r="E17" s="111">
        <v>46507</v>
      </c>
      <c r="F17" s="155">
        <v>2197950.6440140908</v>
      </c>
      <c r="G17" s="155">
        <v>100000000</v>
      </c>
      <c r="H17" s="111">
        <v>46325</v>
      </c>
      <c r="I17" s="111">
        <v>46507</v>
      </c>
      <c r="J17" s="119">
        <v>182</v>
      </c>
      <c r="K17" s="119" t="str">
        <v>Euribor6M Actual/360</v>
      </c>
      <c r="L17" s="119">
        <v>2</v>
      </c>
      <c r="M17" s="111">
        <v>46323</v>
      </c>
      <c r="N17" s="119" t="str">
        <v>Actual/360</v>
      </c>
      <c r="O17" s="156">
        <v>0.50555555555555554</v>
      </c>
      <c r="P17" s="77">
        <v>4.3475946804674322E-2</v>
      </c>
      <c r="Q17" s="119" t="str">
        <v>#N/A</v>
      </c>
      <c r="R17" s="119">
        <v>1</v>
      </c>
      <c r="S17" s="157">
        <v>4.3475946804674322E-2</v>
      </c>
    </row>
    <row r="18" spans="2:19" ht="13">
      <c r="B18" s="145" t="s">
        <v>104</v>
      </c>
      <c r="C18" s="161">
        <f>_xll.qlLegNPV(C15,C17)</f>
        <v>59961668.883932106</v>
      </c>
      <c r="E18" s="111">
        <v>46689</v>
      </c>
      <c r="F18" s="155">
        <v>2267524.7647033101</v>
      </c>
      <c r="G18" s="155">
        <v>100000000</v>
      </c>
      <c r="H18" s="111">
        <v>46507</v>
      </c>
      <c r="I18" s="111">
        <v>46689</v>
      </c>
      <c r="J18" s="119">
        <v>182</v>
      </c>
      <c r="K18" s="119" t="str">
        <v>Euribor6M Actual/360</v>
      </c>
      <c r="L18" s="119">
        <v>2</v>
      </c>
      <c r="M18" s="111">
        <v>46505</v>
      </c>
      <c r="N18" s="119" t="str">
        <v>Actual/360</v>
      </c>
      <c r="O18" s="156">
        <v>0.50555555555555554</v>
      </c>
      <c r="P18" s="77">
        <v>4.4852138202922623E-2</v>
      </c>
      <c r="Q18" s="119" t="str">
        <v>#N/A</v>
      </c>
      <c r="R18" s="119">
        <v>1</v>
      </c>
      <c r="S18" s="157">
        <v>4.4852138202922623E-2</v>
      </c>
    </row>
    <row r="19" spans="2:19">
      <c r="E19" s="111">
        <v>46871</v>
      </c>
      <c r="F19" s="155">
        <v>2334475.3770415448</v>
      </c>
      <c r="G19" s="155">
        <v>100000000</v>
      </c>
      <c r="H19" s="111">
        <v>46689</v>
      </c>
      <c r="I19" s="111">
        <v>46871</v>
      </c>
      <c r="J19" s="119">
        <v>182</v>
      </c>
      <c r="K19" s="119" t="str">
        <v>Euribor6M Actual/360</v>
      </c>
      <c r="L19" s="119">
        <v>2</v>
      </c>
      <c r="M19" s="111">
        <v>46687</v>
      </c>
      <c r="N19" s="119" t="str">
        <v>Actual/360</v>
      </c>
      <c r="O19" s="156">
        <v>0.50555555555555554</v>
      </c>
      <c r="P19" s="77">
        <v>4.6176436029393197E-2</v>
      </c>
      <c r="Q19" s="119" t="str">
        <v>#N/A</v>
      </c>
      <c r="R19" s="119">
        <v>1</v>
      </c>
      <c r="S19" s="157">
        <v>4.6176436029393197E-2</v>
      </c>
    </row>
    <row r="20" spans="2:19">
      <c r="E20" s="111">
        <v>47057</v>
      </c>
      <c r="F20" s="155">
        <v>2454027.3355872612</v>
      </c>
      <c r="G20" s="155">
        <v>100000000</v>
      </c>
      <c r="H20" s="111">
        <v>46871</v>
      </c>
      <c r="I20" s="111">
        <v>47057</v>
      </c>
      <c r="J20" s="119">
        <v>186</v>
      </c>
      <c r="K20" s="119" t="str">
        <v>Euribor6M Actual/360</v>
      </c>
      <c r="L20" s="119">
        <v>2</v>
      </c>
      <c r="M20" s="111">
        <v>46869</v>
      </c>
      <c r="N20" s="119" t="str">
        <v>Actual/360</v>
      </c>
      <c r="O20" s="156">
        <v>0.51666666666666672</v>
      </c>
      <c r="P20" s="77">
        <v>4.7497303269430857E-2</v>
      </c>
      <c r="Q20" s="119" t="str">
        <v>#N/A</v>
      </c>
      <c r="R20" s="119">
        <v>1</v>
      </c>
      <c r="S20" s="157">
        <v>4.7497303269430857E-2</v>
      </c>
    </row>
    <row r="21" spans="2:19" ht="13">
      <c r="B21" s="83" t="s">
        <v>113</v>
      </c>
      <c r="E21" s="111">
        <v>47238</v>
      </c>
      <c r="F21" s="155">
        <v>2450672.8070563311</v>
      </c>
      <c r="G21" s="155">
        <v>100000000</v>
      </c>
      <c r="H21" s="111">
        <v>47057</v>
      </c>
      <c r="I21" s="111">
        <v>47238</v>
      </c>
      <c r="J21" s="119">
        <v>181</v>
      </c>
      <c r="K21" s="119" t="str">
        <v>Euribor6M Actual/360</v>
      </c>
      <c r="L21" s="119">
        <v>2</v>
      </c>
      <c r="M21" s="111">
        <v>47053</v>
      </c>
      <c r="N21" s="119" t="str">
        <v>Actual/360</v>
      </c>
      <c r="O21" s="156">
        <v>0.50277777777777777</v>
      </c>
      <c r="P21" s="77">
        <v>4.8742663565761284E-2</v>
      </c>
      <c r="Q21" s="119" t="str">
        <v>#N/A</v>
      </c>
      <c r="R21" s="119">
        <v>1</v>
      </c>
      <c r="S21" s="157">
        <v>4.8742663565761284E-2</v>
      </c>
    </row>
    <row r="22" spans="2:19">
      <c r="E22" s="111">
        <v>47422</v>
      </c>
      <c r="F22" s="155">
        <v>2553834.0084926281</v>
      </c>
      <c r="G22" s="155">
        <v>100000000</v>
      </c>
      <c r="H22" s="111">
        <v>47238</v>
      </c>
      <c r="I22" s="111">
        <v>47422</v>
      </c>
      <c r="J22" s="119">
        <v>184</v>
      </c>
      <c r="K22" s="119" t="str">
        <v>Euribor6M Actual/360</v>
      </c>
      <c r="L22" s="119">
        <v>2</v>
      </c>
      <c r="M22" s="111">
        <v>47234</v>
      </c>
      <c r="N22" s="119" t="str">
        <v>Actual/360</v>
      </c>
      <c r="O22" s="156">
        <v>0.51111111111111107</v>
      </c>
      <c r="P22" s="77">
        <v>4.9966317557464467E-2</v>
      </c>
      <c r="Q22" s="119" t="str">
        <v>#N/A</v>
      </c>
      <c r="R22" s="119">
        <v>1</v>
      </c>
      <c r="S22" s="157">
        <v>4.9966317557464467E-2</v>
      </c>
    </row>
    <row r="23" spans="2:19" ht="13">
      <c r="B23" s="67" t="s">
        <v>81</v>
      </c>
      <c r="C23" s="117">
        <v>43403</v>
      </c>
      <c r="E23" s="111">
        <v>47603</v>
      </c>
      <c r="F23" s="155">
        <v>2533898.7135170354</v>
      </c>
      <c r="G23" s="155">
        <v>100000000</v>
      </c>
      <c r="H23" s="111">
        <v>47422</v>
      </c>
      <c r="I23" s="111">
        <v>47603</v>
      </c>
      <c r="J23" s="119">
        <v>181</v>
      </c>
      <c r="K23" s="119" t="str">
        <v>Euribor6M Actual/360</v>
      </c>
      <c r="L23" s="119">
        <v>2</v>
      </c>
      <c r="M23" s="111">
        <v>47420</v>
      </c>
      <c r="N23" s="119" t="str">
        <v>Actual/360</v>
      </c>
      <c r="O23" s="156">
        <v>0.50277777777777777</v>
      </c>
      <c r="P23" s="77">
        <v>5.0397985462217278E-2</v>
      </c>
      <c r="Q23" s="119" t="str">
        <v>#N/A</v>
      </c>
      <c r="R23" s="119">
        <v>1</v>
      </c>
      <c r="S23" s="157">
        <v>5.0397985462217278E-2</v>
      </c>
    </row>
    <row r="24" spans="2:19" ht="13">
      <c r="B24" s="68" t="s">
        <v>82</v>
      </c>
      <c r="C24" s="118">
        <v>50708</v>
      </c>
      <c r="E24" s="111">
        <v>47787</v>
      </c>
      <c r="F24" s="155">
        <v>2577032.6459403802</v>
      </c>
      <c r="G24" s="155">
        <v>100000000</v>
      </c>
      <c r="H24" s="111">
        <v>47603</v>
      </c>
      <c r="I24" s="111">
        <v>47787</v>
      </c>
      <c r="J24" s="119">
        <v>184</v>
      </c>
      <c r="K24" s="119" t="str">
        <v>Euribor6M Actual/360</v>
      </c>
      <c r="L24" s="119">
        <v>2</v>
      </c>
      <c r="M24" s="111">
        <v>47599</v>
      </c>
      <c r="N24" s="119" t="str">
        <v>Actual/360</v>
      </c>
      <c r="O24" s="156">
        <v>0.51111111111111107</v>
      </c>
      <c r="P24" s="77">
        <v>5.0420203942311795E-2</v>
      </c>
      <c r="Q24" s="119" t="str">
        <v>#N/A</v>
      </c>
      <c r="R24" s="119">
        <v>1</v>
      </c>
      <c r="S24" s="157">
        <v>5.0420203942311795E-2</v>
      </c>
    </row>
    <row r="25" spans="2:19" ht="13">
      <c r="B25" s="68" t="s">
        <v>91</v>
      </c>
      <c r="C25" s="139" t="s">
        <v>2</v>
      </c>
      <c r="E25" s="111">
        <v>47968</v>
      </c>
      <c r="F25" s="155">
        <v>2535076.9549040697</v>
      </c>
      <c r="G25" s="155">
        <v>100000000</v>
      </c>
      <c r="H25" s="111">
        <v>47787</v>
      </c>
      <c r="I25" s="111">
        <v>47968</v>
      </c>
      <c r="J25" s="119">
        <v>181</v>
      </c>
      <c r="K25" s="119" t="str">
        <v>Euribor6M Actual/360</v>
      </c>
      <c r="L25" s="119">
        <v>2</v>
      </c>
      <c r="M25" s="111">
        <v>47785</v>
      </c>
      <c r="N25" s="119" t="str">
        <v>Actual/360</v>
      </c>
      <c r="O25" s="156">
        <v>0.50277777777777777</v>
      </c>
      <c r="P25" s="77">
        <v>5.0421420097539506E-2</v>
      </c>
      <c r="Q25" s="119" t="str">
        <v>#N/A</v>
      </c>
      <c r="R25" s="119">
        <v>1</v>
      </c>
      <c r="S25" s="157">
        <v>5.0421420097539506E-2</v>
      </c>
    </row>
    <row r="26" spans="2:19" ht="13">
      <c r="B26" s="68" t="s">
        <v>93</v>
      </c>
      <c r="C26" s="139" t="s">
        <v>94</v>
      </c>
      <c r="E26" s="111">
        <v>48152</v>
      </c>
      <c r="F26" s="155">
        <v>2578165.1967336172</v>
      </c>
      <c r="G26" s="155">
        <v>100000000</v>
      </c>
      <c r="H26" s="111">
        <v>47968</v>
      </c>
      <c r="I26" s="111">
        <v>48152</v>
      </c>
      <c r="J26" s="119">
        <v>184</v>
      </c>
      <c r="K26" s="119" t="str">
        <v>Euribor6M Actual/360</v>
      </c>
      <c r="L26" s="119">
        <v>2</v>
      </c>
      <c r="M26" s="111">
        <v>47966</v>
      </c>
      <c r="N26" s="119" t="str">
        <v>Actual/360</v>
      </c>
      <c r="O26" s="156">
        <v>0.51111111111111107</v>
      </c>
      <c r="P26" s="77">
        <v>5.0442362544788164E-2</v>
      </c>
      <c r="Q26" s="119" t="str">
        <v>#N/A</v>
      </c>
      <c r="R26" s="119">
        <v>1</v>
      </c>
      <c r="S26" s="157">
        <v>5.0442362544788164E-2</v>
      </c>
    </row>
    <row r="27" spans="2:19" ht="13">
      <c r="B27" s="68" t="s">
        <v>95</v>
      </c>
      <c r="C27" s="139" t="s">
        <v>25</v>
      </c>
      <c r="E27" s="111">
        <v>48334</v>
      </c>
      <c r="F27" s="155">
        <v>2547231.0479133674</v>
      </c>
      <c r="G27" s="155">
        <v>100000000</v>
      </c>
      <c r="H27" s="111">
        <v>48152</v>
      </c>
      <c r="I27" s="111">
        <v>48334</v>
      </c>
      <c r="J27" s="119">
        <v>182</v>
      </c>
      <c r="K27" s="119" t="str">
        <v>Euribor6M Actual/360</v>
      </c>
      <c r="L27" s="119">
        <v>2</v>
      </c>
      <c r="M27" s="111">
        <v>48150</v>
      </c>
      <c r="N27" s="119" t="str">
        <v>Actual/360</v>
      </c>
      <c r="O27" s="156">
        <v>0.50555555555555554</v>
      </c>
      <c r="P27" s="77">
        <v>5.0384789958725952E-2</v>
      </c>
      <c r="Q27" s="119" t="str">
        <v>#N/A</v>
      </c>
      <c r="R27" s="119">
        <v>1</v>
      </c>
      <c r="S27" s="157">
        <v>5.0384789958725952E-2</v>
      </c>
    </row>
    <row r="28" spans="2:19" ht="13">
      <c r="B28" s="141" t="s">
        <v>96</v>
      </c>
      <c r="C28" s="142" t="str">
        <f>_xll.qlSchedule(,C23,C24,C25,C26,C27,C27)</f>
        <v>obj_00031#0007</v>
      </c>
      <c r="E28" s="111">
        <v>48516</v>
      </c>
      <c r="F28" s="155">
        <v>2542985.5922495024</v>
      </c>
      <c r="G28" s="155">
        <v>100000000</v>
      </c>
      <c r="H28" s="111">
        <v>48334</v>
      </c>
      <c r="I28" s="111">
        <v>48516</v>
      </c>
      <c r="J28" s="119">
        <v>182</v>
      </c>
      <c r="K28" s="119" t="str">
        <v>Euribor6M Actual/360</v>
      </c>
      <c r="L28" s="119">
        <v>2</v>
      </c>
      <c r="M28" s="111">
        <v>48332</v>
      </c>
      <c r="N28" s="119" t="str">
        <v>Actual/360</v>
      </c>
      <c r="O28" s="156">
        <v>0.50555555555555554</v>
      </c>
      <c r="P28" s="77">
        <v>5.0300813912627529E-2</v>
      </c>
      <c r="Q28" s="119" t="str">
        <v>#N/A</v>
      </c>
      <c r="R28" s="119">
        <v>1</v>
      </c>
      <c r="S28" s="157">
        <v>5.0300813912627529E-2</v>
      </c>
    </row>
    <row r="29" spans="2:19">
      <c r="E29" s="111">
        <v>48698</v>
      </c>
      <c r="F29" s="155">
        <v>2538740.312347576</v>
      </c>
      <c r="G29" s="155">
        <v>100000000</v>
      </c>
      <c r="H29" s="111">
        <v>48516</v>
      </c>
      <c r="I29" s="111">
        <v>48698</v>
      </c>
      <c r="J29" s="119">
        <v>182</v>
      </c>
      <c r="K29" s="119" t="str">
        <v>Euribor6M Actual/360</v>
      </c>
      <c r="L29" s="119">
        <v>2</v>
      </c>
      <c r="M29" s="111">
        <v>48514</v>
      </c>
      <c r="N29" s="119" t="str">
        <v>Actual/360</v>
      </c>
      <c r="O29" s="156">
        <v>0.50555555555555554</v>
      </c>
      <c r="P29" s="77">
        <v>5.021684134313887E-2</v>
      </c>
      <c r="Q29" s="119" t="str">
        <v>#N/A</v>
      </c>
      <c r="R29" s="119">
        <v>1</v>
      </c>
      <c r="S29" s="157">
        <v>5.021684134313887E-2</v>
      </c>
    </row>
    <row r="30" spans="2:19" ht="13">
      <c r="B30" s="143" t="s">
        <v>106</v>
      </c>
      <c r="C30" s="79">
        <v>0.03</v>
      </c>
      <c r="E30" s="111">
        <v>48883</v>
      </c>
      <c r="F30" s="155">
        <v>2576770.7575919284</v>
      </c>
      <c r="G30" s="155">
        <v>100000000</v>
      </c>
      <c r="H30" s="111">
        <v>48698</v>
      </c>
      <c r="I30" s="111">
        <v>48883</v>
      </c>
      <c r="J30" s="119">
        <v>185</v>
      </c>
      <c r="K30" s="119" t="str">
        <v>Euribor6M Actual/360</v>
      </c>
      <c r="L30" s="119">
        <v>2</v>
      </c>
      <c r="M30" s="111">
        <v>48696</v>
      </c>
      <c r="N30" s="119" t="str">
        <v>Actual/360</v>
      </c>
      <c r="O30" s="156">
        <v>0.51388888888888884</v>
      </c>
      <c r="P30" s="77">
        <v>5.0142566093680778E-2</v>
      </c>
      <c r="Q30" s="119" t="str">
        <v>#N/A</v>
      </c>
      <c r="R30" s="119">
        <v>1</v>
      </c>
      <c r="S30" s="157">
        <v>5.0142566093680778E-2</v>
      </c>
    </row>
    <row r="31" spans="2:19" ht="13">
      <c r="B31" s="149" t="s">
        <v>99</v>
      </c>
      <c r="C31" s="162" t="s">
        <v>108</v>
      </c>
      <c r="E31" s="111">
        <v>49062</v>
      </c>
      <c r="F31" s="155">
        <v>2487993.903158281</v>
      </c>
      <c r="G31" s="155">
        <v>100000000</v>
      </c>
      <c r="H31" s="111">
        <v>48883</v>
      </c>
      <c r="I31" s="111">
        <v>49062</v>
      </c>
      <c r="J31" s="119">
        <v>179</v>
      </c>
      <c r="K31" s="119" t="str">
        <v>Euribor6M Actual/360</v>
      </c>
      <c r="L31" s="119">
        <v>2</v>
      </c>
      <c r="M31" s="111">
        <v>48879</v>
      </c>
      <c r="N31" s="119" t="str">
        <v>Actual/360</v>
      </c>
      <c r="O31" s="156">
        <v>0.49722222222222223</v>
      </c>
      <c r="P31" s="77">
        <v>5.0037866208769897E-2</v>
      </c>
      <c r="Q31" s="119" t="str">
        <v>#N/A</v>
      </c>
      <c r="R31" s="119">
        <v>1</v>
      </c>
      <c r="S31" s="157">
        <v>5.0037866208769897E-2</v>
      </c>
    </row>
    <row r="32" spans="2:19" ht="13">
      <c r="B32" s="149" t="s">
        <v>101</v>
      </c>
      <c r="C32" s="139" t="s">
        <v>25</v>
      </c>
      <c r="E32" s="111">
        <v>49248</v>
      </c>
      <c r="F32" s="155">
        <v>2582104.3685356095</v>
      </c>
      <c r="G32" s="155">
        <v>100000000</v>
      </c>
      <c r="H32" s="111">
        <v>49062</v>
      </c>
      <c r="I32" s="111">
        <v>49248</v>
      </c>
      <c r="J32" s="119">
        <v>186</v>
      </c>
      <c r="K32" s="119" t="str">
        <v>Euribor6M Actual/360</v>
      </c>
      <c r="L32" s="119">
        <v>2</v>
      </c>
      <c r="M32" s="111">
        <v>49060</v>
      </c>
      <c r="N32" s="119" t="str">
        <v>Actual/360</v>
      </c>
      <c r="O32" s="156">
        <v>0.51666666666666672</v>
      </c>
      <c r="P32" s="77">
        <v>4.9976213584560177E-2</v>
      </c>
      <c r="Q32" s="119" t="str">
        <v>#N/A</v>
      </c>
      <c r="R32" s="119">
        <v>1</v>
      </c>
      <c r="S32" s="157">
        <v>4.9976213584560177E-2</v>
      </c>
    </row>
    <row r="33" spans="2:19" ht="13">
      <c r="B33" s="149" t="s">
        <v>32</v>
      </c>
      <c r="C33" s="120">
        <v>100000000</v>
      </c>
      <c r="E33" s="111">
        <v>49429</v>
      </c>
      <c r="F33" s="155">
        <v>2503737.1272728536</v>
      </c>
      <c r="G33" s="155">
        <v>100000000</v>
      </c>
      <c r="H33" s="111">
        <v>49248</v>
      </c>
      <c r="I33" s="111">
        <v>49429</v>
      </c>
      <c r="J33" s="119">
        <v>181</v>
      </c>
      <c r="K33" s="119" t="str">
        <v>Euribor6M Actual/360</v>
      </c>
      <c r="L33" s="119">
        <v>2</v>
      </c>
      <c r="M33" s="111">
        <v>49244</v>
      </c>
      <c r="N33" s="119" t="str">
        <v>Actual/360</v>
      </c>
      <c r="O33" s="156">
        <v>0.50277777777777777</v>
      </c>
      <c r="P33" s="77">
        <v>4.9798086509294327E-2</v>
      </c>
      <c r="Q33" s="119" t="str">
        <v>#N/A</v>
      </c>
      <c r="R33" s="119">
        <v>1</v>
      </c>
      <c r="S33" s="157">
        <v>4.9798086509294327E-2</v>
      </c>
    </row>
    <row r="34" spans="2:19" ht="13">
      <c r="B34" s="145" t="s">
        <v>107</v>
      </c>
      <c r="C34" s="140" t="str">
        <f>_xll.qlFixedRateLeg(,C32,C33,C28,C30,C31)</f>
        <v>obj_0003f#0007</v>
      </c>
      <c r="E34" s="111">
        <v>49613</v>
      </c>
      <c r="F34" s="155">
        <v>2535426.6898137694</v>
      </c>
      <c r="G34" s="155">
        <v>100000000</v>
      </c>
      <c r="H34" s="111">
        <v>49429</v>
      </c>
      <c r="I34" s="111">
        <v>49613</v>
      </c>
      <c r="J34" s="119">
        <v>184</v>
      </c>
      <c r="K34" s="119" t="str">
        <v>Euribor6M Actual/360</v>
      </c>
      <c r="L34" s="119">
        <v>2</v>
      </c>
      <c r="M34" s="111">
        <v>49425</v>
      </c>
      <c r="N34" s="119" t="str">
        <v>Actual/360</v>
      </c>
      <c r="O34" s="156">
        <v>0.51111111111111107</v>
      </c>
      <c r="P34" s="77">
        <v>4.9606174365921574E-2</v>
      </c>
      <c r="Q34" s="119" t="str">
        <v>#N/A</v>
      </c>
      <c r="R34" s="119">
        <v>1</v>
      </c>
      <c r="S34" s="157">
        <v>4.9606174365921574E-2</v>
      </c>
    </row>
    <row r="35" spans="2:19">
      <c r="E35" s="111">
        <v>49795</v>
      </c>
      <c r="F35" s="155">
        <v>2497280.4979759734</v>
      </c>
      <c r="G35" s="155">
        <v>100000000</v>
      </c>
      <c r="H35" s="111">
        <v>49613</v>
      </c>
      <c r="I35" s="111">
        <v>49795</v>
      </c>
      <c r="J35" s="119">
        <v>182</v>
      </c>
      <c r="K35" s="119" t="str">
        <v>Euribor6M Actual/360</v>
      </c>
      <c r="L35" s="119">
        <v>2</v>
      </c>
      <c r="M35" s="111">
        <v>49611</v>
      </c>
      <c r="N35" s="119" t="str">
        <v>Actual/360</v>
      </c>
      <c r="O35" s="156">
        <v>0.50555555555555554</v>
      </c>
      <c r="P35" s="77">
        <v>4.9396757102821452E-2</v>
      </c>
      <c r="Q35" s="119" t="str">
        <v>#N/A</v>
      </c>
      <c r="R35" s="119">
        <v>1</v>
      </c>
      <c r="S35" s="157">
        <v>4.9396757102821452E-2</v>
      </c>
    </row>
    <row r="36" spans="2:19" ht="13">
      <c r="B36" s="143" t="s">
        <v>105</v>
      </c>
      <c r="C36" s="144" t="str">
        <f>YieldCurve!$C$3</f>
        <v>obj_00041#0013</v>
      </c>
      <c r="E36" s="111">
        <v>49979</v>
      </c>
      <c r="F36" s="155">
        <v>2514707.85500183</v>
      </c>
      <c r="G36" s="155">
        <v>100000000</v>
      </c>
      <c r="H36" s="111">
        <v>49795</v>
      </c>
      <c r="I36" s="111">
        <v>49979</v>
      </c>
      <c r="J36" s="119">
        <v>184</v>
      </c>
      <c r="K36" s="119" t="str">
        <v>Euribor6M Actual/360</v>
      </c>
      <c r="L36" s="119">
        <v>2</v>
      </c>
      <c r="M36" s="111">
        <v>49793</v>
      </c>
      <c r="N36" s="119" t="str">
        <v>Actual/360</v>
      </c>
      <c r="O36" s="156">
        <v>0.51111111111111107</v>
      </c>
      <c r="P36" s="77">
        <v>4.9200805858731454E-2</v>
      </c>
      <c r="Q36" s="119" t="str">
        <v>#N/A</v>
      </c>
      <c r="R36" s="119">
        <v>1</v>
      </c>
      <c r="S36" s="157">
        <v>4.9200805858731454E-2</v>
      </c>
    </row>
    <row r="37" spans="2:19" ht="13">
      <c r="B37" s="145" t="s">
        <v>104</v>
      </c>
      <c r="C37" s="161">
        <f>_xll.qlLegNPV(C34,C36)</f>
        <v>43446085.640691444</v>
      </c>
      <c r="E37" s="111">
        <v>50160</v>
      </c>
      <c r="F37" s="155">
        <v>2463047.3046817649</v>
      </c>
      <c r="G37" s="155">
        <v>100000000</v>
      </c>
      <c r="H37" s="111">
        <v>49979</v>
      </c>
      <c r="I37" s="111">
        <v>50160</v>
      </c>
      <c r="J37" s="119">
        <v>181</v>
      </c>
      <c r="K37" s="119" t="str">
        <v>Euribor6M Actual/360</v>
      </c>
      <c r="L37" s="119">
        <v>2</v>
      </c>
      <c r="M37" s="111">
        <v>49977</v>
      </c>
      <c r="N37" s="119" t="str">
        <v>Actual/360</v>
      </c>
      <c r="O37" s="156">
        <v>0.50277777777777777</v>
      </c>
      <c r="P37" s="77">
        <v>4.8988786170466037E-2</v>
      </c>
      <c r="Q37" s="119" t="str">
        <v>#N/A</v>
      </c>
      <c r="R37" s="119">
        <v>1</v>
      </c>
      <c r="S37" s="157">
        <v>4.8988786170466037E-2</v>
      </c>
    </row>
    <row r="38" spans="2:19">
      <c r="E38" s="111">
        <v>50343</v>
      </c>
      <c r="F38" s="155">
        <v>2480356.5953260609</v>
      </c>
      <c r="G38" s="155">
        <v>100000000</v>
      </c>
      <c r="H38" s="111">
        <v>50160</v>
      </c>
      <c r="I38" s="111">
        <v>50343</v>
      </c>
      <c r="J38" s="119">
        <v>183</v>
      </c>
      <c r="K38" s="119" t="str">
        <v>Euribor6M Actual/360</v>
      </c>
      <c r="L38" s="119">
        <v>2</v>
      </c>
      <c r="M38" s="111">
        <v>50158</v>
      </c>
      <c r="N38" s="119" t="str">
        <v>Actual/360</v>
      </c>
      <c r="O38" s="156">
        <v>0.5083333333333333</v>
      </c>
      <c r="P38" s="77">
        <v>4.8793900235922512E-2</v>
      </c>
      <c r="Q38" s="119" t="str">
        <v>#N/A</v>
      </c>
      <c r="R38" s="119">
        <v>1</v>
      </c>
      <c r="S38" s="157">
        <v>4.8793900235922512E-2</v>
      </c>
    </row>
    <row r="39" spans="2:19" ht="13">
      <c r="B39" s="143" t="s">
        <v>109</v>
      </c>
      <c r="C39" s="163" t="str">
        <f>_xll.qlVanillaSwap(,"Payer",C33,C28,C30,C31,C7,C10,0,C12,C13)</f>
        <v>obj_0005c#0015</v>
      </c>
      <c r="E39" s="111">
        <v>50525</v>
      </c>
      <c r="F39" s="155">
        <v>2456424.4478050503</v>
      </c>
      <c r="G39" s="155">
        <v>100000000</v>
      </c>
      <c r="H39" s="111">
        <v>50343</v>
      </c>
      <c r="I39" s="111">
        <v>50525</v>
      </c>
      <c r="J39" s="119">
        <v>182</v>
      </c>
      <c r="K39" s="119" t="str">
        <v>Euribor6M Actual/360</v>
      </c>
      <c r="L39" s="119">
        <v>2</v>
      </c>
      <c r="M39" s="111">
        <v>50341</v>
      </c>
      <c r="N39" s="119" t="str">
        <v>Actual/360</v>
      </c>
      <c r="O39" s="156">
        <v>0.50555555555555554</v>
      </c>
      <c r="P39" s="77">
        <v>4.8588615451088904E-2</v>
      </c>
      <c r="Q39" s="119" t="str">
        <v>#N/A</v>
      </c>
      <c r="R39" s="119">
        <v>1</v>
      </c>
      <c r="S39" s="157">
        <v>4.8588615451088904E-2</v>
      </c>
    </row>
    <row r="40" spans="2:19" ht="13">
      <c r="B40" s="149" t="s">
        <v>110</v>
      </c>
      <c r="C40" s="119" t="b">
        <f>_xll.qlInstrumentSetPricingEngine(C39,_xll.qlDiscountingSwapEngine(,C36))</f>
        <v>1</v>
      </c>
      <c r="E40" s="111">
        <v>50707</v>
      </c>
      <c r="F40" s="155">
        <v>2446240.9553547283</v>
      </c>
      <c r="G40" s="155">
        <v>100000000</v>
      </c>
      <c r="H40" s="111">
        <v>50525</v>
      </c>
      <c r="I40" s="111">
        <v>50707</v>
      </c>
      <c r="J40" s="119">
        <v>182</v>
      </c>
      <c r="K40" s="119" t="str">
        <v>Euribor6M Actual/360</v>
      </c>
      <c r="L40" s="119">
        <v>2</v>
      </c>
      <c r="M40" s="111">
        <v>50523</v>
      </c>
      <c r="N40" s="119" t="str">
        <v>Actual/360</v>
      </c>
      <c r="O40" s="156">
        <v>0.50555555555555554</v>
      </c>
      <c r="P40" s="77">
        <v>4.8387183732291332E-2</v>
      </c>
      <c r="Q40" s="119" t="str">
        <v>#N/A</v>
      </c>
      <c r="R40" s="119">
        <v>1</v>
      </c>
      <c r="S40" s="157">
        <v>4.8387183732291332E-2</v>
      </c>
    </row>
    <row r="41" spans="2:19" ht="13">
      <c r="B41" s="149" t="s">
        <v>111</v>
      </c>
      <c r="C41" s="155">
        <f>_xll.qlInstrumentNPV(C39,C40)</f>
        <v>16515583.243240662</v>
      </c>
      <c r="E41" s="111">
        <v>50889</v>
      </c>
      <c r="F41" s="155">
        <v>2436058.4750763527</v>
      </c>
      <c r="G41" s="155">
        <v>100000000</v>
      </c>
      <c r="H41" s="111">
        <v>50707</v>
      </c>
      <c r="I41" s="111">
        <v>50889</v>
      </c>
      <c r="J41" s="119">
        <v>182</v>
      </c>
      <c r="K41" s="119" t="str">
        <v>Euribor6M Actual/360</v>
      </c>
      <c r="L41" s="119">
        <v>2</v>
      </c>
      <c r="M41" s="111">
        <v>50705</v>
      </c>
      <c r="N41" s="119" t="str">
        <v>Actual/360</v>
      </c>
      <c r="O41" s="156">
        <v>0.50555555555555554</v>
      </c>
      <c r="P41" s="77">
        <v>4.8185772034477305E-2</v>
      </c>
      <c r="Q41" s="119" t="str">
        <v>#N/A</v>
      </c>
      <c r="R41" s="119">
        <v>1</v>
      </c>
      <c r="S41" s="157">
        <v>4.8185772034477305E-2</v>
      </c>
    </row>
    <row r="42" spans="2:19" ht="13">
      <c r="B42" s="145" t="s">
        <v>112</v>
      </c>
      <c r="C42" s="78">
        <f>_xll.qlVanillaSwapFairRate(C39,C40)</f>
        <v>4.1404191884968494E-2</v>
      </c>
      <c r="E42" s="111">
        <v>51074</v>
      </c>
      <c r="F42" s="155">
        <v>2466267.8783171852</v>
      </c>
      <c r="G42" s="155">
        <v>100000000</v>
      </c>
      <c r="H42" s="111">
        <v>50889</v>
      </c>
      <c r="I42" s="111">
        <v>51074</v>
      </c>
      <c r="J42" s="119">
        <v>185</v>
      </c>
      <c r="K42" s="119" t="str">
        <v>Euribor6M Actual/360</v>
      </c>
      <c r="L42" s="119">
        <v>2</v>
      </c>
      <c r="M42" s="111">
        <v>50887</v>
      </c>
      <c r="N42" s="119" t="str">
        <v>Actual/360</v>
      </c>
      <c r="O42" s="156">
        <v>0.51388888888888884</v>
      </c>
      <c r="P42" s="77">
        <v>4.799223979428037E-2</v>
      </c>
      <c r="Q42" s="119" t="str">
        <v>#N/A</v>
      </c>
      <c r="R42" s="119">
        <v>1</v>
      </c>
      <c r="S42" s="157">
        <v>4.799223979428037E-2</v>
      </c>
    </row>
    <row r="43" spans="2:19">
      <c r="E43" s="114" t="e">
        <v>#N/A</v>
      </c>
      <c r="F43" s="158" t="e">
        <v>#N/A</v>
      </c>
      <c r="G43" s="158" t="e">
        <v>#N/A</v>
      </c>
      <c r="H43" s="114" t="e">
        <v>#N/A</v>
      </c>
      <c r="I43" s="114" t="e">
        <v>#N/A</v>
      </c>
      <c r="J43" s="146" t="e">
        <v>#N/A</v>
      </c>
      <c r="K43" s="146" t="e">
        <v>#N/A</v>
      </c>
      <c r="L43" s="146" t="e">
        <v>#N/A</v>
      </c>
      <c r="M43" s="114" t="e">
        <v>#N/A</v>
      </c>
      <c r="N43" s="146" t="e">
        <v>#N/A</v>
      </c>
      <c r="O43" s="159" t="e">
        <v>#N/A</v>
      </c>
      <c r="P43" s="78" t="e">
        <v>#N/A</v>
      </c>
      <c r="Q43" s="146" t="e">
        <v>#N/A</v>
      </c>
      <c r="R43" s="146" t="e">
        <v>#N/A</v>
      </c>
      <c r="S43" s="160" t="e">
        <v>#N/A</v>
      </c>
    </row>
    <row r="44" spans="2:19">
      <c r="C44" s="147"/>
    </row>
    <row r="45" spans="2:19">
      <c r="C45" s="14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Y638"/>
  <sheetViews>
    <sheetView showGridLines="0" zoomScale="70" zoomScaleNormal="70" workbookViewId="0">
      <selection activeCell="C24" sqref="C24"/>
    </sheetView>
  </sheetViews>
  <sheetFormatPr defaultRowHeight="14"/>
  <cols>
    <col min="1" max="1" width="8.90625" style="18"/>
    <col min="2" max="2" width="19.6328125" style="18" bestFit="1" customWidth="1"/>
    <col min="3" max="3" width="12.54296875" style="18" customWidth="1"/>
    <col min="4" max="15" width="8.90625" style="18"/>
    <col min="16" max="16" width="9.81640625" style="18" customWidth="1"/>
    <col min="17" max="17" width="10.08984375" style="18" customWidth="1"/>
    <col min="18" max="18" width="9.54296875" style="18" customWidth="1"/>
    <col min="19" max="261" width="8.90625" style="18"/>
    <col min="262" max="262" width="19.6328125" style="18" bestFit="1" customWidth="1"/>
    <col min="263" max="263" width="12.54296875" style="18" customWidth="1"/>
    <col min="264" max="517" width="8.90625" style="18"/>
    <col min="518" max="518" width="19.6328125" style="18" bestFit="1" customWidth="1"/>
    <col min="519" max="519" width="12.54296875" style="18" customWidth="1"/>
    <col min="520" max="773" width="8.90625" style="18"/>
    <col min="774" max="774" width="19.6328125" style="18" bestFit="1" customWidth="1"/>
    <col min="775" max="775" width="12.54296875" style="18" customWidth="1"/>
    <col min="776" max="1029" width="8.90625" style="18"/>
    <col min="1030" max="1030" width="19.6328125" style="18" bestFit="1" customWidth="1"/>
    <col min="1031" max="1031" width="12.54296875" style="18" customWidth="1"/>
    <col min="1032" max="1285" width="8.90625" style="18"/>
    <col min="1286" max="1286" width="19.6328125" style="18" bestFit="1" customWidth="1"/>
    <col min="1287" max="1287" width="12.54296875" style="18" customWidth="1"/>
    <col min="1288" max="1541" width="8.90625" style="18"/>
    <col min="1542" max="1542" width="19.6328125" style="18" bestFit="1" customWidth="1"/>
    <col min="1543" max="1543" width="12.54296875" style="18" customWidth="1"/>
    <col min="1544" max="1797" width="8.90625" style="18"/>
    <col min="1798" max="1798" width="19.6328125" style="18" bestFit="1" customWidth="1"/>
    <col min="1799" max="1799" width="12.54296875" style="18" customWidth="1"/>
    <col min="1800" max="2053" width="8.90625" style="18"/>
    <col min="2054" max="2054" width="19.6328125" style="18" bestFit="1" customWidth="1"/>
    <col min="2055" max="2055" width="12.54296875" style="18" customWidth="1"/>
    <col min="2056" max="2309" width="8.90625" style="18"/>
    <col min="2310" max="2310" width="19.6328125" style="18" bestFit="1" customWidth="1"/>
    <col min="2311" max="2311" width="12.54296875" style="18" customWidth="1"/>
    <col min="2312" max="2565" width="8.90625" style="18"/>
    <col min="2566" max="2566" width="19.6328125" style="18" bestFit="1" customWidth="1"/>
    <col min="2567" max="2567" width="12.54296875" style="18" customWidth="1"/>
    <col min="2568" max="2821" width="8.90625" style="18"/>
    <col min="2822" max="2822" width="19.6328125" style="18" bestFit="1" customWidth="1"/>
    <col min="2823" max="2823" width="12.54296875" style="18" customWidth="1"/>
    <col min="2824" max="3077" width="8.90625" style="18"/>
    <col min="3078" max="3078" width="19.6328125" style="18" bestFit="1" customWidth="1"/>
    <col min="3079" max="3079" width="12.54296875" style="18" customWidth="1"/>
    <col min="3080" max="3333" width="8.90625" style="18"/>
    <col min="3334" max="3334" width="19.6328125" style="18" bestFit="1" customWidth="1"/>
    <col min="3335" max="3335" width="12.54296875" style="18" customWidth="1"/>
    <col min="3336" max="3589" width="8.90625" style="18"/>
    <col min="3590" max="3590" width="19.6328125" style="18" bestFit="1" customWidth="1"/>
    <col min="3591" max="3591" width="12.54296875" style="18" customWidth="1"/>
    <col min="3592" max="3845" width="8.90625" style="18"/>
    <col min="3846" max="3846" width="19.6328125" style="18" bestFit="1" customWidth="1"/>
    <col min="3847" max="3847" width="12.54296875" style="18" customWidth="1"/>
    <col min="3848" max="4101" width="8.90625" style="18"/>
    <col min="4102" max="4102" width="19.6328125" style="18" bestFit="1" customWidth="1"/>
    <col min="4103" max="4103" width="12.54296875" style="18" customWidth="1"/>
    <col min="4104" max="4357" width="8.90625" style="18"/>
    <col min="4358" max="4358" width="19.6328125" style="18" bestFit="1" customWidth="1"/>
    <col min="4359" max="4359" width="12.54296875" style="18" customWidth="1"/>
    <col min="4360" max="4613" width="8.90625" style="18"/>
    <col min="4614" max="4614" width="19.6328125" style="18" bestFit="1" customWidth="1"/>
    <col min="4615" max="4615" width="12.54296875" style="18" customWidth="1"/>
    <col min="4616" max="4869" width="8.90625" style="18"/>
    <col min="4870" max="4870" width="19.6328125" style="18" bestFit="1" customWidth="1"/>
    <col min="4871" max="4871" width="12.54296875" style="18" customWidth="1"/>
    <col min="4872" max="5125" width="8.90625" style="18"/>
    <col min="5126" max="5126" width="19.6328125" style="18" bestFit="1" customWidth="1"/>
    <col min="5127" max="5127" width="12.54296875" style="18" customWidth="1"/>
    <col min="5128" max="5381" width="8.90625" style="18"/>
    <col min="5382" max="5382" width="19.6328125" style="18" bestFit="1" customWidth="1"/>
    <col min="5383" max="5383" width="12.54296875" style="18" customWidth="1"/>
    <col min="5384" max="5637" width="8.90625" style="18"/>
    <col min="5638" max="5638" width="19.6328125" style="18" bestFit="1" customWidth="1"/>
    <col min="5639" max="5639" width="12.54296875" style="18" customWidth="1"/>
    <col min="5640" max="5893" width="8.90625" style="18"/>
    <col min="5894" max="5894" width="19.6328125" style="18" bestFit="1" customWidth="1"/>
    <col min="5895" max="5895" width="12.54296875" style="18" customWidth="1"/>
    <col min="5896" max="6149" width="8.90625" style="18"/>
    <col min="6150" max="6150" width="19.6328125" style="18" bestFit="1" customWidth="1"/>
    <col min="6151" max="6151" width="12.54296875" style="18" customWidth="1"/>
    <col min="6152" max="6405" width="8.90625" style="18"/>
    <col min="6406" max="6406" width="19.6328125" style="18" bestFit="1" customWidth="1"/>
    <col min="6407" max="6407" width="12.54296875" style="18" customWidth="1"/>
    <col min="6408" max="6661" width="8.90625" style="18"/>
    <col min="6662" max="6662" width="19.6328125" style="18" bestFit="1" customWidth="1"/>
    <col min="6663" max="6663" width="12.54296875" style="18" customWidth="1"/>
    <col min="6664" max="6917" width="8.90625" style="18"/>
    <col min="6918" max="6918" width="19.6328125" style="18" bestFit="1" customWidth="1"/>
    <col min="6919" max="6919" width="12.54296875" style="18" customWidth="1"/>
    <col min="6920" max="7173" width="8.90625" style="18"/>
    <col min="7174" max="7174" width="19.6328125" style="18" bestFit="1" customWidth="1"/>
    <col min="7175" max="7175" width="12.54296875" style="18" customWidth="1"/>
    <col min="7176" max="7429" width="8.90625" style="18"/>
    <col min="7430" max="7430" width="19.6328125" style="18" bestFit="1" customWidth="1"/>
    <col min="7431" max="7431" width="12.54296875" style="18" customWidth="1"/>
    <col min="7432" max="7685" width="8.90625" style="18"/>
    <col min="7686" max="7686" width="19.6328125" style="18" bestFit="1" customWidth="1"/>
    <col min="7687" max="7687" width="12.54296875" style="18" customWidth="1"/>
    <col min="7688" max="7941" width="8.90625" style="18"/>
    <col min="7942" max="7942" width="19.6328125" style="18" bestFit="1" customWidth="1"/>
    <col min="7943" max="7943" width="12.54296875" style="18" customWidth="1"/>
    <col min="7944" max="8197" width="8.90625" style="18"/>
    <col min="8198" max="8198" width="19.6328125" style="18" bestFit="1" customWidth="1"/>
    <col min="8199" max="8199" width="12.54296875" style="18" customWidth="1"/>
    <col min="8200" max="8453" width="8.90625" style="18"/>
    <col min="8454" max="8454" width="19.6328125" style="18" bestFit="1" customWidth="1"/>
    <col min="8455" max="8455" width="12.54296875" style="18" customWidth="1"/>
    <col min="8456" max="8709" width="8.90625" style="18"/>
    <col min="8710" max="8710" width="19.6328125" style="18" bestFit="1" customWidth="1"/>
    <col min="8711" max="8711" width="12.54296875" style="18" customWidth="1"/>
    <col min="8712" max="8965" width="8.90625" style="18"/>
    <col min="8966" max="8966" width="19.6328125" style="18" bestFit="1" customWidth="1"/>
    <col min="8967" max="8967" width="12.54296875" style="18" customWidth="1"/>
    <col min="8968" max="9221" width="8.90625" style="18"/>
    <col min="9222" max="9222" width="19.6328125" style="18" bestFit="1" customWidth="1"/>
    <col min="9223" max="9223" width="12.54296875" style="18" customWidth="1"/>
    <col min="9224" max="9477" width="8.90625" style="18"/>
    <col min="9478" max="9478" width="19.6328125" style="18" bestFit="1" customWidth="1"/>
    <col min="9479" max="9479" width="12.54296875" style="18" customWidth="1"/>
    <col min="9480" max="9733" width="8.90625" style="18"/>
    <col min="9734" max="9734" width="19.6328125" style="18" bestFit="1" customWidth="1"/>
    <col min="9735" max="9735" width="12.54296875" style="18" customWidth="1"/>
    <col min="9736" max="9989" width="8.90625" style="18"/>
    <col min="9990" max="9990" width="19.6328125" style="18" bestFit="1" customWidth="1"/>
    <col min="9991" max="9991" width="12.54296875" style="18" customWidth="1"/>
    <col min="9992" max="10245" width="8.90625" style="18"/>
    <col min="10246" max="10246" width="19.6328125" style="18" bestFit="1" customWidth="1"/>
    <col min="10247" max="10247" width="12.54296875" style="18" customWidth="1"/>
    <col min="10248" max="10501" width="8.90625" style="18"/>
    <col min="10502" max="10502" width="19.6328125" style="18" bestFit="1" customWidth="1"/>
    <col min="10503" max="10503" width="12.54296875" style="18" customWidth="1"/>
    <col min="10504" max="10757" width="8.90625" style="18"/>
    <col min="10758" max="10758" width="19.6328125" style="18" bestFit="1" customWidth="1"/>
    <col min="10759" max="10759" width="12.54296875" style="18" customWidth="1"/>
    <col min="10760" max="11013" width="8.90625" style="18"/>
    <col min="11014" max="11014" width="19.6328125" style="18" bestFit="1" customWidth="1"/>
    <col min="11015" max="11015" width="12.54296875" style="18" customWidth="1"/>
    <col min="11016" max="11269" width="8.90625" style="18"/>
    <col min="11270" max="11270" width="19.6328125" style="18" bestFit="1" customWidth="1"/>
    <col min="11271" max="11271" width="12.54296875" style="18" customWidth="1"/>
    <col min="11272" max="11525" width="8.90625" style="18"/>
    <col min="11526" max="11526" width="19.6328125" style="18" bestFit="1" customWidth="1"/>
    <col min="11527" max="11527" width="12.54296875" style="18" customWidth="1"/>
    <col min="11528" max="11781" width="8.90625" style="18"/>
    <col min="11782" max="11782" width="19.6328125" style="18" bestFit="1" customWidth="1"/>
    <col min="11783" max="11783" width="12.54296875" style="18" customWidth="1"/>
    <col min="11784" max="12037" width="8.90625" style="18"/>
    <col min="12038" max="12038" width="19.6328125" style="18" bestFit="1" customWidth="1"/>
    <col min="12039" max="12039" width="12.54296875" style="18" customWidth="1"/>
    <col min="12040" max="12293" width="8.90625" style="18"/>
    <col min="12294" max="12294" width="19.6328125" style="18" bestFit="1" customWidth="1"/>
    <col min="12295" max="12295" width="12.54296875" style="18" customWidth="1"/>
    <col min="12296" max="12549" width="8.90625" style="18"/>
    <col min="12550" max="12550" width="19.6328125" style="18" bestFit="1" customWidth="1"/>
    <col min="12551" max="12551" width="12.54296875" style="18" customWidth="1"/>
    <col min="12552" max="12805" width="8.90625" style="18"/>
    <col min="12806" max="12806" width="19.6328125" style="18" bestFit="1" customWidth="1"/>
    <col min="12807" max="12807" width="12.54296875" style="18" customWidth="1"/>
    <col min="12808" max="13061" width="8.90625" style="18"/>
    <col min="13062" max="13062" width="19.6328125" style="18" bestFit="1" customWidth="1"/>
    <col min="13063" max="13063" width="12.54296875" style="18" customWidth="1"/>
    <col min="13064" max="13317" width="8.90625" style="18"/>
    <col min="13318" max="13318" width="19.6328125" style="18" bestFit="1" customWidth="1"/>
    <col min="13319" max="13319" width="12.54296875" style="18" customWidth="1"/>
    <col min="13320" max="13573" width="8.90625" style="18"/>
    <col min="13574" max="13574" width="19.6328125" style="18" bestFit="1" customWidth="1"/>
    <col min="13575" max="13575" width="12.54296875" style="18" customWidth="1"/>
    <col min="13576" max="13829" width="8.90625" style="18"/>
    <col min="13830" max="13830" width="19.6328125" style="18" bestFit="1" customWidth="1"/>
    <col min="13831" max="13831" width="12.54296875" style="18" customWidth="1"/>
    <col min="13832" max="14085" width="8.90625" style="18"/>
    <col min="14086" max="14086" width="19.6328125" style="18" bestFit="1" customWidth="1"/>
    <col min="14087" max="14087" width="12.54296875" style="18" customWidth="1"/>
    <col min="14088" max="14341" width="8.90625" style="18"/>
    <col min="14342" max="14342" width="19.6328125" style="18" bestFit="1" customWidth="1"/>
    <col min="14343" max="14343" width="12.54296875" style="18" customWidth="1"/>
    <col min="14344" max="14597" width="8.90625" style="18"/>
    <col min="14598" max="14598" width="19.6328125" style="18" bestFit="1" customWidth="1"/>
    <col min="14599" max="14599" width="12.54296875" style="18" customWidth="1"/>
    <col min="14600" max="14853" width="8.90625" style="18"/>
    <col min="14854" max="14854" width="19.6328125" style="18" bestFit="1" customWidth="1"/>
    <col min="14855" max="14855" width="12.54296875" style="18" customWidth="1"/>
    <col min="14856" max="15109" width="8.90625" style="18"/>
    <col min="15110" max="15110" width="19.6328125" style="18" bestFit="1" customWidth="1"/>
    <col min="15111" max="15111" width="12.54296875" style="18" customWidth="1"/>
    <col min="15112" max="15365" width="8.90625" style="18"/>
    <col min="15366" max="15366" width="19.6328125" style="18" bestFit="1" customWidth="1"/>
    <col min="15367" max="15367" width="12.54296875" style="18" customWidth="1"/>
    <col min="15368" max="15621" width="8.90625" style="18"/>
    <col min="15622" max="15622" width="19.6328125" style="18" bestFit="1" customWidth="1"/>
    <col min="15623" max="15623" width="12.54296875" style="18" customWidth="1"/>
    <col min="15624" max="15877" width="8.90625" style="18"/>
    <col min="15878" max="15878" width="19.6328125" style="18" bestFit="1" customWidth="1"/>
    <col min="15879" max="15879" width="12.54296875" style="18" customWidth="1"/>
    <col min="15880" max="16133" width="8.90625" style="18"/>
    <col min="16134" max="16134" width="19.6328125" style="18" bestFit="1" customWidth="1"/>
    <col min="16135" max="16135" width="12.54296875" style="18" customWidth="1"/>
    <col min="16136" max="16384" width="8.90625" style="18"/>
  </cols>
  <sheetData>
    <row r="3" spans="2:25">
      <c r="B3" s="16" t="s">
        <v>38</v>
      </c>
      <c r="C3" s="17">
        <v>2.5000000000000001E-3</v>
      </c>
      <c r="O3" s="19" t="s">
        <v>39</v>
      </c>
      <c r="P3" s="20" t="s">
        <v>40</v>
      </c>
      <c r="Q3" s="21" t="s">
        <v>40</v>
      </c>
      <c r="R3" s="22" t="s">
        <v>40</v>
      </c>
      <c r="S3" s="20" t="s">
        <v>41</v>
      </c>
      <c r="T3" s="21" t="s">
        <v>41</v>
      </c>
      <c r="U3" s="22" t="s">
        <v>41</v>
      </c>
      <c r="V3" s="20" t="s">
        <v>57</v>
      </c>
      <c r="W3" s="21" t="s">
        <v>57</v>
      </c>
      <c r="X3" s="22" t="s">
        <v>57</v>
      </c>
      <c r="Y3" s="60"/>
    </row>
    <row r="4" spans="2:25">
      <c r="B4" s="23" t="s">
        <v>42</v>
      </c>
      <c r="C4" s="24">
        <v>5.0000000000000001E-3</v>
      </c>
      <c r="O4" s="25" t="s">
        <v>43</v>
      </c>
      <c r="P4" s="26" t="s">
        <v>44</v>
      </c>
      <c r="Q4" s="27" t="s">
        <v>45</v>
      </c>
      <c r="R4" s="28" t="s">
        <v>46</v>
      </c>
      <c r="S4" s="26" t="s">
        <v>56</v>
      </c>
      <c r="T4" s="27" t="s">
        <v>55</v>
      </c>
      <c r="U4" s="28" t="s">
        <v>54</v>
      </c>
      <c r="V4" s="26" t="s">
        <v>56</v>
      </c>
      <c r="W4" s="27" t="s">
        <v>55</v>
      </c>
      <c r="X4" s="28" t="s">
        <v>54</v>
      </c>
      <c r="Y4" s="60"/>
    </row>
    <row r="5" spans="2:25">
      <c r="O5" s="29">
        <v>-0.01</v>
      </c>
      <c r="P5" s="30" t="str">
        <f>IFERROR(_xll.qlBlackFormula(IF(O5&lt;$C$4,"Put","Call"),O5,$C$4,$C$9*SQRT($C$7)),"")</f>
        <v/>
      </c>
      <c r="Q5" s="31" t="str">
        <f>IFERROR(_xll.qlBlackFormula(IF(O5&lt;$C$4,"Put","Call"),O5,$C$4,$C$10*SQRT($C$7),,$C$11),"")</f>
        <v/>
      </c>
      <c r="R5" s="32">
        <f>IFERROR(_xll.qlBachelierBlackFormula(IF(O5&lt;$C$4,"Put","Call"),O5,$C$4,$C$12*SQRT($C$7)),"")</f>
        <v>5.1297850135165526E-10</v>
      </c>
      <c r="S5" s="33" t="str">
        <f>IFERROR((_xll.qlBlackFormula(IF(O5&lt;$C$4,"Put","Call"),O5+$C$14,$C$4,$C$9*SQRT($C$7))-
2*_xll.qlBlackFormula(IF(O5&lt;$C$4,"Put","Call"),O5,$C$4,$C$9*SQRT($C$7))+
_xll.qlBlackFormula(IF(O5&lt;$C$4,"Put","Call"),O5-$C$14,$C$4,$C$9*SQRT($C$7)))/$C$14^2,"")</f>
        <v/>
      </c>
      <c r="T5" s="34" t="str">
        <f>IFERROR((_xll.qlBlackFormula(IF(O5&lt;$C$4,"Put","Call"),O5+$C$14,$C$4,$C$10*SQRT($C$7),,$C$11)-
2*_xll.qlBlackFormula(IF(O5&lt;$C$4,"Put","Call"),O5,$C$4,$C$10*SQRT($C$7),,$C$11)+
_xll.qlBlackFormula(IF(O5&lt;$C$4,"Put","Call"),O5-$C$14,$C$4,$C$10*SQRT($C$7),,$C$11))/$C$14^2,"")</f>
        <v/>
      </c>
      <c r="U5" s="35">
        <f>IFERROR((_xll.qlBachelierBlackFormula(IF(O5&lt;$C$4,"Put","Call"),O5+$C$14,$C$4,$C$12*SQRT($C$7))-
2*_xll.qlBachelierBlackFormula(IF(O5&lt;$C$4,"Put","Call"),O5,$C$4,$C$12*SQRT($C$7))+
_xll.qlBachelierBlackFormula(IF(O5&lt;$C$4,"Put","Call"),O5-$C$14,$C$4,$C$12*SQRT($C$7)))/$C$14^2,"")</f>
        <v>1.3440176921011954E-3</v>
      </c>
      <c r="V5" s="61" t="str">
        <f>IFERROR(_xll.qlBachelierBlackFormulaImpliedVol(IF(O5&lt;$C$4,"Put","Call"),O5,$C$4,$C$7,P5),"")</f>
        <v/>
      </c>
      <c r="W5" s="61" t="str">
        <f>IFERROR(_xll.qlBachelierBlackFormulaImpliedVol(IF(O5&lt;$C$4,"Put","Call"),O5,$C$4,$C$7,Q5),"")</f>
        <v/>
      </c>
      <c r="X5" s="61">
        <f>IFERROR(_xll.qlBachelierBlackFormulaImpliedVol(IF(O5&lt;$C$4,"Put","Call"),O5,$C$4,$C$7,R5),"")</f>
        <v>3.133285339745326E-3</v>
      </c>
      <c r="Y5" s="42"/>
    </row>
    <row r="6" spans="2:25">
      <c r="B6" s="16" t="s">
        <v>47</v>
      </c>
      <c r="C6" s="36">
        <f>C4</f>
        <v>5.0000000000000001E-3</v>
      </c>
      <c r="O6" s="37">
        <f>O5+0.01%</f>
        <v>-9.9000000000000008E-3</v>
      </c>
      <c r="P6" s="38" t="str">
        <f>IFERROR(_xll.qlBlackFormula(IF(O6&lt;$C$4,"Put","Call"),O6,$C$4,$C$9*SQRT($C$7)),"")</f>
        <v/>
      </c>
      <c r="Q6" s="39" t="str">
        <f>IFERROR(_xll.qlBlackFormula(IF(O6&lt;$C$4,"Put","Call"),O6,$C$4,$C$10*SQRT($C$7),,$C$11),"")</f>
        <v/>
      </c>
      <c r="R6" s="40">
        <f>IFERROR(_xll.qlBachelierBlackFormula(IF(O6&lt;$C$4,"Put","Call"),O6,$C$4,$C$12*SQRT($C$7)),"")</f>
        <v>6.0456829559859759E-10</v>
      </c>
      <c r="S6" s="41" t="str">
        <f>IFERROR((_xll.qlBlackFormula(IF(O6&lt;$C$4,"Put","Call"),O6+$C$14,$C$4,$C$9*SQRT($C$7))-
2*_xll.qlBlackFormula(IF(O6&lt;$C$4,"Put","Call"),O6,$C$4,$C$9*SQRT($C$7))+
_xll.qlBlackFormula(IF(O6&lt;$C$4,"Put","Call"),O6-$C$14,$C$4,$C$9*SQRT($C$7)))/$C$14^2,"")</f>
        <v/>
      </c>
      <c r="T6" s="42" t="str">
        <f>IFERROR((_xll.qlBlackFormula(IF(O6&lt;$C$4,"Put","Call"),O6+$C$14,$C$4,$C$10*SQRT($C$7),,$C$11)-
2*_xll.qlBlackFormula(IF(O6&lt;$C$4,"Put","Call"),O6,$C$4,$C$10*SQRT($C$7),,$C$11)+
_xll.qlBlackFormula(IF(O6&lt;$C$4,"Put","Call"),O6-$C$14,$C$4,$C$10*SQRT($C$7),,$C$11))/$C$14^2,"")</f>
        <v/>
      </c>
      <c r="U6" s="43">
        <f>IFERROR((_xll.qlBachelierBlackFormula(IF(O6&lt;$C$4,"Put","Call"),O6+$C$14,$C$4,$C$12*SQRT($C$7))-
2*_xll.qlBachelierBlackFormula(IF(O6&lt;$C$4,"Put","Call"),O6,$C$4,$C$12*SQRT($C$7))+
_xll.qlBachelierBlackFormula(IF(O6&lt;$C$4,"Put","Call"),O6-$C$14,$C$4,$C$12*SQRT($C$7)))/$C$14^2,"")</f>
        <v>1.5647458241920976E-3</v>
      </c>
      <c r="V6" s="61" t="str">
        <f>IFERROR(_xll.qlBachelierBlackFormulaImpliedVol(IF(O6&lt;$C$4,"Put","Call"),O6,$C$4,$C$7,P6),"")</f>
        <v/>
      </c>
      <c r="W6" s="61" t="str">
        <f>IFERROR(_xll.qlBachelierBlackFormulaImpliedVol(IF(O6&lt;$C$4,"Put","Call"),O6,$C$4,$C$7,Q6),"")</f>
        <v/>
      </c>
      <c r="X6" s="61">
        <f>IFERROR(_xll.qlBachelierBlackFormulaImpliedVol(IF(O6&lt;$C$4,"Put","Call"),O6,$C$4,$C$7,R6),"")</f>
        <v>3.133285339908122E-3</v>
      </c>
      <c r="Y6" s="42"/>
    </row>
    <row r="7" spans="2:25">
      <c r="B7" s="23" t="s">
        <v>48</v>
      </c>
      <c r="C7" s="44">
        <v>1</v>
      </c>
      <c r="O7" s="37">
        <f t="shared" ref="O7:O70" si="0">O6+0.01%</f>
        <v>-9.8000000000000014E-3</v>
      </c>
      <c r="P7" s="38" t="str">
        <f>IFERROR(_xll.qlBlackFormula(IF(O7&lt;$C$4,"Put","Call"),O7,$C$4,$C$9*SQRT($C$7)),"")</f>
        <v/>
      </c>
      <c r="Q7" s="39" t="str">
        <f>IFERROR(_xll.qlBlackFormula(IF(O7&lt;$C$4,"Put","Call"),O7,$C$4,$C$10*SQRT($C$7),,$C$11),"")</f>
        <v/>
      </c>
      <c r="R7" s="40">
        <f>IFERROR(_xll.qlBachelierBlackFormula(IF(O7&lt;$C$4,"Put","Call"),O7,$C$4,$C$12*SQRT($C$7)),"")</f>
        <v>7.1183255024017561E-10</v>
      </c>
      <c r="S7" s="41" t="str">
        <f>IFERROR((_xll.qlBlackFormula(IF(O7&lt;$C$4,"Put","Call"),O7+$C$14,$C$4,$C$9*SQRT($C$7))-
2*_xll.qlBlackFormula(IF(O7&lt;$C$4,"Put","Call"),O7,$C$4,$C$9*SQRT($C$7))+
_xll.qlBlackFormula(IF(O7&lt;$C$4,"Put","Call"),O7-$C$14,$C$4,$C$9*SQRT($C$7)))/$C$14^2,"")</f>
        <v/>
      </c>
      <c r="T7" s="42" t="str">
        <f>IFERROR((_xll.qlBlackFormula(IF(O7&lt;$C$4,"Put","Call"),O7+$C$14,$C$4,$C$10*SQRT($C$7),,$C$11)-
2*_xll.qlBlackFormula(IF(O7&lt;$C$4,"Put","Call"),O7,$C$4,$C$10*SQRT($C$7),,$C$11)+
_xll.qlBlackFormula(IF(O7&lt;$C$4,"Put","Call"),O7-$C$14,$C$4,$C$10*SQRT($C$7),,$C$11))/$C$14^2,"")</f>
        <v/>
      </c>
      <c r="U7" s="43">
        <f>IFERROR((_xll.qlBachelierBlackFormula(IF(O7&lt;$C$4,"Put","Call"),O7+$C$14,$C$4,$C$12*SQRT($C$7))-
2*_xll.qlBachelierBlackFormula(IF(O7&lt;$C$4,"Put","Call"),O7,$C$4,$C$12*SQRT($C$7))+
_xll.qlBachelierBlackFormula(IF(O7&lt;$C$4,"Put","Call"),O7-$C$14,$C$4,$C$12*SQRT($C$7)))/$C$14^2,"")</f>
        <v>1.8197364836671892E-3</v>
      </c>
      <c r="V7" s="61" t="str">
        <f>IFERROR(_xll.qlBachelierBlackFormulaImpliedVol(IF(O7&lt;$C$4,"Put","Call"),O7,$C$4,$C$7,P7),"")</f>
        <v/>
      </c>
      <c r="W7" s="61" t="str">
        <f>IFERROR(_xll.qlBachelierBlackFormulaImpliedVol(IF(O7&lt;$C$4,"Put","Call"),O7,$C$4,$C$7,Q7),"")</f>
        <v/>
      </c>
      <c r="X7" s="61">
        <f>IFERROR(_xll.qlBachelierBlackFormulaImpliedVol(IF(O7&lt;$C$4,"Put","Call"),O7,$C$4,$C$7,R7),"")</f>
        <v>3.1332853403434578E-3</v>
      </c>
      <c r="Y7" s="42"/>
    </row>
    <row r="8" spans="2:25">
      <c r="O8" s="37">
        <f t="shared" si="0"/>
        <v>-9.700000000000002E-3</v>
      </c>
      <c r="P8" s="38" t="str">
        <f>IFERROR(_xll.qlBlackFormula(IF(O8&lt;$C$4,"Put","Call"),O8,$C$4,$C$9*SQRT($C$7)),"")</f>
        <v/>
      </c>
      <c r="Q8" s="39" t="str">
        <f>IFERROR(_xll.qlBlackFormula(IF(O8&lt;$C$4,"Put","Call"),O8,$C$4,$C$10*SQRT($C$7),,$C$11),"")</f>
        <v/>
      </c>
      <c r="R8" s="40">
        <f>IFERROR(_xll.qlBachelierBlackFormula(IF(O8&lt;$C$4,"Put","Call"),O8,$C$4,$C$12*SQRT($C$7)),"")</f>
        <v>8.3733043641540779E-10</v>
      </c>
      <c r="S8" s="41" t="str">
        <f>IFERROR((_xll.qlBlackFormula(IF(O8&lt;$C$4,"Put","Call"),O8+$C$14,$C$4,$C$9*SQRT($C$7))-
2*_xll.qlBlackFormula(IF(O8&lt;$C$4,"Put","Call"),O8,$C$4,$C$9*SQRT($C$7))+
_xll.qlBlackFormula(IF(O8&lt;$C$4,"Put","Call"),O8-$C$14,$C$4,$C$9*SQRT($C$7)))/$C$14^2,"")</f>
        <v/>
      </c>
      <c r="T8" s="42" t="str">
        <f>IFERROR((_xll.qlBlackFormula(IF(O8&lt;$C$4,"Put","Call"),O8+$C$14,$C$4,$C$10*SQRT($C$7),,$C$11)-
2*_xll.qlBlackFormula(IF(O8&lt;$C$4,"Put","Call"),O8,$C$4,$C$10*SQRT($C$7),,$C$11)+
_xll.qlBlackFormula(IF(O8&lt;$C$4,"Put","Call"),O8-$C$14,$C$4,$C$10*SQRT($C$7),,$C$11))/$C$14^2,"")</f>
        <v/>
      </c>
      <c r="U8" s="43">
        <f>IFERROR((_xll.qlBachelierBlackFormula(IF(O8&lt;$C$4,"Put","Call"),O8+$C$14,$C$4,$C$12*SQRT($C$7))-
2*_xll.qlBachelierBlackFormula(IF(O8&lt;$C$4,"Put","Call"),O8,$C$4,$C$12*SQRT($C$7))+
_xll.qlBachelierBlackFormula(IF(O8&lt;$C$4,"Put","Call"),O8-$C$14,$C$4,$C$12*SQRT($C$7)))/$C$14^2,"")</f>
        <v>2.1155182911183575E-3</v>
      </c>
      <c r="V8" s="61" t="str">
        <f>IFERROR(_xll.qlBachelierBlackFormulaImpliedVol(IF(O8&lt;$C$4,"Put","Call"),O8,$C$4,$C$7,P8),"")</f>
        <v/>
      </c>
      <c r="W8" s="61" t="str">
        <f>IFERROR(_xll.qlBachelierBlackFormulaImpliedVol(IF(O8&lt;$C$4,"Put","Call"),O8,$C$4,$C$7,Q8),"")</f>
        <v/>
      </c>
      <c r="X8" s="61">
        <f>IFERROR(_xll.qlBachelierBlackFormulaImpliedVol(IF(O8&lt;$C$4,"Put","Call"),O8,$C$4,$C$7,R8),"")</f>
        <v>3.1332853406280869E-3</v>
      </c>
      <c r="Y8" s="42"/>
    </row>
    <row r="9" spans="2:25">
      <c r="B9" s="45" t="s">
        <v>49</v>
      </c>
      <c r="C9" s="46">
        <f>_xll.qlBlackFormulaImpliedStdDev("Call",C6,C4,C3/2)/SQRT(C7)</f>
        <v>0.63727872792875018</v>
      </c>
      <c r="O9" s="37">
        <f t="shared" si="0"/>
        <v>-9.6000000000000026E-3</v>
      </c>
      <c r="P9" s="38" t="str">
        <f>IFERROR(_xll.qlBlackFormula(IF(O9&lt;$C$4,"Put","Call"),O9,$C$4,$C$9*SQRT($C$7)),"")</f>
        <v/>
      </c>
      <c r="Q9" s="39" t="str">
        <f>IFERROR(_xll.qlBlackFormula(IF(O9&lt;$C$4,"Put","Call"),O9,$C$4,$C$10*SQRT($C$7),,$C$11),"")</f>
        <v/>
      </c>
      <c r="R9" s="40">
        <f>IFERROR(_xll.qlBachelierBlackFormula(IF(O9&lt;$C$4,"Put","Call"),O9,$C$4,$C$12*SQRT($C$7)),"")</f>
        <v>9.8401737419225903E-10</v>
      </c>
      <c r="S9" s="41" t="str">
        <f>IFERROR((_xll.qlBlackFormula(IF(O9&lt;$C$4,"Put","Call"),O9+$C$14,$C$4,$C$9*SQRT($C$7))-
2*_xll.qlBlackFormula(IF(O9&lt;$C$4,"Put","Call"),O9,$C$4,$C$9*SQRT($C$7))+
_xll.qlBlackFormula(IF(O9&lt;$C$4,"Put","Call"),O9-$C$14,$C$4,$C$9*SQRT($C$7)))/$C$14^2,"")</f>
        <v/>
      </c>
      <c r="T9" s="42" t="str">
        <f>IFERROR((_xll.qlBlackFormula(IF(O9&lt;$C$4,"Put","Call"),O9+$C$14,$C$4,$C$10*SQRT($C$7),,$C$11)-
2*_xll.qlBlackFormula(IF(O9&lt;$C$4,"Put","Call"),O9,$C$4,$C$10*SQRT($C$7),,$C$11)+
_xll.qlBlackFormula(IF(O9&lt;$C$4,"Put","Call"),O9-$C$14,$C$4,$C$10*SQRT($C$7),,$C$11))/$C$14^2,"")</f>
        <v/>
      </c>
      <c r="U9" s="43">
        <f>IFERROR((_xll.qlBachelierBlackFormula(IF(O9&lt;$C$4,"Put","Call"),O9+$C$14,$C$4,$C$12*SQRT($C$7))-
2*_xll.qlBachelierBlackFormula(IF(O9&lt;$C$4,"Put","Call"),O9,$C$4,$C$12*SQRT($C$7))+
_xll.qlBachelierBlackFormula(IF(O9&lt;$C$4,"Put","Call"),O9-$C$14,$C$4,$C$12*SQRT($C$7)))/$C$14^2,"")</f>
        <v>2.4551253946632837E-3</v>
      </c>
      <c r="V9" s="61" t="str">
        <f>IFERROR(_xll.qlBachelierBlackFormulaImpliedVol(IF(O9&lt;$C$4,"Put","Call"),O9,$C$4,$C$7,P9),"")</f>
        <v/>
      </c>
      <c r="W9" s="61" t="str">
        <f>IFERROR(_xll.qlBachelierBlackFormulaImpliedVol(IF(O9&lt;$C$4,"Put","Call"),O9,$C$4,$C$7,Q9),"")</f>
        <v/>
      </c>
      <c r="X9" s="61">
        <f>IFERROR(_xll.qlBachelierBlackFormulaImpliedVol(IF(O9&lt;$C$4,"Put","Call"),O9,$C$4,$C$7,R9),"")</f>
        <v>3.1332853409781159E-3</v>
      </c>
      <c r="Y9" s="42"/>
    </row>
    <row r="10" spans="2:25">
      <c r="B10" s="16" t="s">
        <v>50</v>
      </c>
      <c r="C10" s="47">
        <f>_xll.qlBlackFormulaImpliedStdDev("Call",C6,C4,C3/2,,C11)/SQRT(C7)</f>
        <v>0.31462136922034145</v>
      </c>
      <c r="O10" s="37">
        <f t="shared" si="0"/>
        <v>-9.5000000000000032E-3</v>
      </c>
      <c r="P10" s="38" t="str">
        <f>IFERROR(_xll.qlBlackFormula(IF(O10&lt;$C$4,"Put","Call"),O10,$C$4,$C$9*SQRT($C$7)),"")</f>
        <v/>
      </c>
      <c r="Q10" s="39" t="str">
        <f>IFERROR(_xll.qlBlackFormula(IF(O10&lt;$C$4,"Put","Call"),O10,$C$4,$C$10*SQRT($C$7),,$C$11),"")</f>
        <v/>
      </c>
      <c r="R10" s="40">
        <f>IFERROR(_xll.qlBachelierBlackFormula(IF(O10&lt;$C$4,"Put","Call"),O10,$C$4,$C$12*SQRT($C$7)),"")</f>
        <v>1.1553027499361375E-9</v>
      </c>
      <c r="S10" s="41" t="str">
        <f>IFERROR((_xll.qlBlackFormula(IF(O10&lt;$C$4,"Put","Call"),O10+$C$14,$C$4,$C$9*SQRT($C$7))-
2*_xll.qlBlackFormula(IF(O10&lt;$C$4,"Put","Call"),O10,$C$4,$C$9*SQRT($C$7))+
_xll.qlBlackFormula(IF(O10&lt;$C$4,"Put","Call"),O10-$C$14,$C$4,$C$9*SQRT($C$7)))/$C$14^2,"")</f>
        <v/>
      </c>
      <c r="T10" s="42" t="str">
        <f>IFERROR((_xll.qlBlackFormula(IF(O10&lt;$C$4,"Put","Call"),O10+$C$14,$C$4,$C$10*SQRT($C$7),,$C$11)-
2*_xll.qlBlackFormula(IF(O10&lt;$C$4,"Put","Call"),O10,$C$4,$C$10*SQRT($C$7),,$C$11)+
_xll.qlBlackFormula(IF(O10&lt;$C$4,"Put","Call"),O10-$C$14,$C$4,$C$10*SQRT($C$7),,$C$11))/$C$14^2,"")</f>
        <v/>
      </c>
      <c r="U10" s="43">
        <f>IFERROR((_xll.qlBachelierBlackFormula(IF(O10&lt;$C$4,"Put","Call"),O10+$C$14,$C$4,$C$12*SQRT($C$7))-
2*_xll.qlBachelierBlackFormula(IF(O10&lt;$C$4,"Put","Call"),O10,$C$4,$C$12*SQRT($C$7))+
_xll.qlBachelierBlackFormula(IF(O10&lt;$C$4,"Put","Call"),O10-$C$14,$C$4,$C$12*SQRT($C$7)))/$C$14^2,"")</f>
        <v>2.8477308037787069E-3</v>
      </c>
      <c r="V10" s="61" t="str">
        <f>IFERROR(_xll.qlBachelierBlackFormulaImpliedVol(IF(O10&lt;$C$4,"Put","Call"),O10,$C$4,$C$7,P10),"")</f>
        <v/>
      </c>
      <c r="W10" s="61" t="str">
        <f>IFERROR(_xll.qlBachelierBlackFormulaImpliedVol(IF(O10&lt;$C$4,"Put","Call"),O10,$C$4,$C$7,Q10),"")</f>
        <v/>
      </c>
      <c r="X10" s="61">
        <f>IFERROR(_xll.qlBachelierBlackFormulaImpliedVol(IF(O10&lt;$C$4,"Put","Call"),O10,$C$4,$C$7,R10),"")</f>
        <v>3.1332853413900469E-3</v>
      </c>
      <c r="Y10" s="42"/>
    </row>
    <row r="11" spans="2:25">
      <c r="B11" s="23" t="s">
        <v>51</v>
      </c>
      <c r="C11" s="48">
        <v>5.0000000000000001E-3</v>
      </c>
      <c r="O11" s="37">
        <f t="shared" si="0"/>
        <v>-9.4000000000000038E-3</v>
      </c>
      <c r="P11" s="38" t="str">
        <f>IFERROR(_xll.qlBlackFormula(IF(O11&lt;$C$4,"Put","Call"),O11,$C$4,$C$9*SQRT($C$7)),"")</f>
        <v/>
      </c>
      <c r="Q11" s="39" t="str">
        <f>IFERROR(_xll.qlBlackFormula(IF(O11&lt;$C$4,"Put","Call"),O11,$C$4,$C$10*SQRT($C$7),,$C$11),"")</f>
        <v/>
      </c>
      <c r="R11" s="40">
        <f>IFERROR(_xll.qlBachelierBlackFormula(IF(O11&lt;$C$4,"Put","Call"),O11,$C$4,$C$12*SQRT($C$7)),"")</f>
        <v>1.355115463320651E-9</v>
      </c>
      <c r="S11" s="41" t="str">
        <f>IFERROR((_xll.qlBlackFormula(IF(O11&lt;$C$4,"Put","Call"),O11+$C$14,$C$4,$C$9*SQRT($C$7))-
2*_xll.qlBlackFormula(IF(O11&lt;$C$4,"Put","Call"),O11,$C$4,$C$9*SQRT($C$7))+
_xll.qlBlackFormula(IF(O11&lt;$C$4,"Put","Call"),O11-$C$14,$C$4,$C$9*SQRT($C$7)))/$C$14^2,"")</f>
        <v/>
      </c>
      <c r="T11" s="42" t="str">
        <f>IFERROR((_xll.qlBlackFormula(IF(O11&lt;$C$4,"Put","Call"),O11+$C$14,$C$4,$C$10*SQRT($C$7),,$C$11)-
2*_xll.qlBlackFormula(IF(O11&lt;$C$4,"Put","Call"),O11,$C$4,$C$10*SQRT($C$7),,$C$11)+
_xll.qlBlackFormula(IF(O11&lt;$C$4,"Put","Call"),O11-$C$14,$C$4,$C$10*SQRT($C$7),,$C$11))/$C$14^2,"")</f>
        <v/>
      </c>
      <c r="U11" s="43">
        <f>IFERROR((_xll.qlBachelierBlackFormula(IF(O11&lt;$C$4,"Put","Call"),O11+$C$14,$C$4,$C$12*SQRT($C$7))-
2*_xll.qlBachelierBlackFormula(IF(O11&lt;$C$4,"Put","Call"),O11,$C$4,$C$12*SQRT($C$7))+
_xll.qlBachelierBlackFormula(IF(O11&lt;$C$4,"Put","Call"),O11-$C$14,$C$4,$C$12*SQRT($C$7)))/$C$14^2,"")</f>
        <v>3.2996453672166481E-3</v>
      </c>
      <c r="V11" s="61" t="str">
        <f>IFERROR(_xll.qlBachelierBlackFormulaImpliedVol(IF(O11&lt;$C$4,"Put","Call"),O11,$C$4,$C$7,P11),"")</f>
        <v/>
      </c>
      <c r="W11" s="61" t="str">
        <f>IFERROR(_xll.qlBachelierBlackFormulaImpliedVol(IF(O11&lt;$C$4,"Put","Call"),O11,$C$4,$C$7,Q11),"")</f>
        <v/>
      </c>
      <c r="X11" s="61">
        <f>IFERROR(_xll.qlBachelierBlackFormulaImpliedVol(IF(O11&lt;$C$4,"Put","Call"),O11,$C$4,$C$7,R11),"")</f>
        <v>3.1332853416530838E-3</v>
      </c>
      <c r="Y11" s="42"/>
    </row>
    <row r="12" spans="2:25">
      <c r="B12" s="45" t="s">
        <v>52</v>
      </c>
      <c r="C12" s="49">
        <f>_xll.qlBachelierBlackFormulaImpliedVol("Call",C6,C4,C7,C3/2)</f>
        <v>3.1332853432887472E-3</v>
      </c>
      <c r="O12" s="37">
        <f t="shared" si="0"/>
        <v>-9.3000000000000044E-3</v>
      </c>
      <c r="P12" s="38" t="str">
        <f>IFERROR(_xll.qlBlackFormula(IF(O12&lt;$C$4,"Put","Call"),O12,$C$4,$C$9*SQRT($C$7)),"")</f>
        <v/>
      </c>
      <c r="Q12" s="39" t="str">
        <f>IFERROR(_xll.qlBlackFormula(IF(O12&lt;$C$4,"Put","Call"),O12,$C$4,$C$10*SQRT($C$7),,$C$11),"")</f>
        <v/>
      </c>
      <c r="R12" s="40">
        <f>IFERROR(_xll.qlBachelierBlackFormula(IF(O12&lt;$C$4,"Put","Call"),O12,$C$4,$C$12*SQRT($C$7)),"")</f>
        <v>1.5879782708983157E-9</v>
      </c>
      <c r="S12" s="41" t="str">
        <f>IFERROR((_xll.qlBlackFormula(IF(O12&lt;$C$4,"Put","Call"),O12+$C$14,$C$4,$C$9*SQRT($C$7))-
2*_xll.qlBlackFormula(IF(O12&lt;$C$4,"Put","Call"),O12,$C$4,$C$9*SQRT($C$7))+
_xll.qlBlackFormula(IF(O12&lt;$C$4,"Put","Call"),O12-$C$14,$C$4,$C$9*SQRT($C$7)))/$C$14^2,"")</f>
        <v/>
      </c>
      <c r="T12" s="42" t="str">
        <f>IFERROR((_xll.qlBlackFormula(IF(O12&lt;$C$4,"Put","Call"),O12+$C$14,$C$4,$C$10*SQRT($C$7),,$C$11)-
2*_xll.qlBlackFormula(IF(O12&lt;$C$4,"Put","Call"),O12,$C$4,$C$10*SQRT($C$7),,$C$11)+
_xll.qlBlackFormula(IF(O12&lt;$C$4,"Put","Call"),O12-$C$14,$C$4,$C$10*SQRT($C$7),,$C$11))/$C$14^2,"")</f>
        <v/>
      </c>
      <c r="U12" s="43">
        <f>IFERROR((_xll.qlBachelierBlackFormula(IF(O12&lt;$C$4,"Put","Call"),O12+$C$14,$C$4,$C$12*SQRT($C$7))-
2*_xll.qlBachelierBlackFormula(IF(O12&lt;$C$4,"Put","Call"),O12,$C$4,$C$12*SQRT($C$7))+
_xll.qlBachelierBlackFormula(IF(O12&lt;$C$4,"Put","Call"),O12-$C$14,$C$4,$C$12*SQRT($C$7)))/$C$14^2,"")</f>
        <v>3.8185374065974973E-3</v>
      </c>
      <c r="V12" s="61" t="str">
        <f>IFERROR(_xll.qlBachelierBlackFormulaImpliedVol(IF(O12&lt;$C$4,"Put","Call"),O12,$C$4,$C$7,P12),"")</f>
        <v/>
      </c>
      <c r="W12" s="61" t="str">
        <f>IFERROR(_xll.qlBachelierBlackFormulaImpliedVol(IF(O12&lt;$C$4,"Put","Call"),O12,$C$4,$C$7,Q12),"")</f>
        <v/>
      </c>
      <c r="X12" s="61">
        <f>IFERROR(_xll.qlBachelierBlackFormulaImpliedVol(IF(O12&lt;$C$4,"Put","Call"),O12,$C$4,$C$7,R12),"")</f>
        <v>3.133285342035122E-3</v>
      </c>
      <c r="Y12" s="42"/>
    </row>
    <row r="13" spans="2:25">
      <c r="O13" s="37">
        <f t="shared" si="0"/>
        <v>-9.200000000000005E-3</v>
      </c>
      <c r="P13" s="38" t="str">
        <f>IFERROR(_xll.qlBlackFormula(IF(O13&lt;$C$4,"Put","Call"),O13,$C$4,$C$9*SQRT($C$7)),"")</f>
        <v/>
      </c>
      <c r="Q13" s="39" t="str">
        <f>IFERROR(_xll.qlBlackFormula(IF(O13&lt;$C$4,"Put","Call"),O13,$C$4,$C$10*SQRT($C$7),,$C$11),"")</f>
        <v/>
      </c>
      <c r="R13" s="40">
        <f>IFERROR(_xll.qlBachelierBlackFormula(IF(O13&lt;$C$4,"Put","Call"),O13,$C$4,$C$12*SQRT($C$7)),"")</f>
        <v>1.8590919933107292E-9</v>
      </c>
      <c r="S13" s="41" t="str">
        <f>IFERROR((_xll.qlBlackFormula(IF(O13&lt;$C$4,"Put","Call"),O13+$C$14,$C$4,$C$9*SQRT($C$7))-
2*_xll.qlBlackFormula(IF(O13&lt;$C$4,"Put","Call"),O13,$C$4,$C$9*SQRT($C$7))+
_xll.qlBlackFormula(IF(O13&lt;$C$4,"Put","Call"),O13-$C$14,$C$4,$C$9*SQRT($C$7)))/$C$14^2,"")</f>
        <v/>
      </c>
      <c r="T13" s="42" t="str">
        <f>IFERROR((_xll.qlBlackFormula(IF(O13&lt;$C$4,"Put","Call"),O13+$C$14,$C$4,$C$10*SQRT($C$7),,$C$11)-
2*_xll.qlBlackFormula(IF(O13&lt;$C$4,"Put","Call"),O13,$C$4,$C$10*SQRT($C$7),,$C$11)+
_xll.qlBlackFormula(IF(O13&lt;$C$4,"Put","Call"),O13-$C$14,$C$4,$C$10*SQRT($C$7),,$C$11))/$C$14^2,"")</f>
        <v/>
      </c>
      <c r="U13" s="43">
        <f>IFERROR((_xll.qlBachelierBlackFormula(IF(O13&lt;$C$4,"Put","Call"),O13+$C$14,$C$4,$C$12*SQRT($C$7))-
2*_xll.qlBachelierBlackFormula(IF(O13&lt;$C$4,"Put","Call"),O13,$C$4,$C$12*SQRT($C$7))+
_xll.qlBachelierBlackFormula(IF(O13&lt;$C$4,"Put","Call"),O13-$C$14,$C$4,$C$12*SQRT($C$7)))/$C$14^2,"")</f>
        <v>4.4160696656324406E-3</v>
      </c>
      <c r="V13" s="61" t="str">
        <f>IFERROR(_xll.qlBachelierBlackFormulaImpliedVol(IF(O13&lt;$C$4,"Put","Call"),O13,$C$4,$C$7,P13),"")</f>
        <v/>
      </c>
      <c r="W13" s="61" t="str">
        <f>IFERROR(_xll.qlBachelierBlackFormulaImpliedVol(IF(O13&lt;$C$4,"Put","Call"),O13,$C$4,$C$7,Q13),"")</f>
        <v/>
      </c>
      <c r="X13" s="61">
        <f>IFERROR(_xll.qlBachelierBlackFormulaImpliedVol(IF(O13&lt;$C$4,"Put","Call"),O13,$C$4,$C$7,R13),"")</f>
        <v>3.1332853424513368E-3</v>
      </c>
      <c r="Y13" s="42"/>
    </row>
    <row r="14" spans="2:25">
      <c r="B14" s="50" t="s">
        <v>53</v>
      </c>
      <c r="C14" s="51">
        <v>9.9999999999999995E-7</v>
      </c>
      <c r="O14" s="37">
        <f t="shared" si="0"/>
        <v>-9.1000000000000057E-3</v>
      </c>
      <c r="P14" s="38" t="str">
        <f>IFERROR(_xll.qlBlackFormula(IF(O14&lt;$C$4,"Put","Call"),O14,$C$4,$C$9*SQRT($C$7)),"")</f>
        <v/>
      </c>
      <c r="Q14" s="39" t="str">
        <f>IFERROR(_xll.qlBlackFormula(IF(O14&lt;$C$4,"Put","Call"),O14,$C$4,$C$10*SQRT($C$7),,$C$11),"")</f>
        <v/>
      </c>
      <c r="R14" s="40">
        <f>IFERROR(_xll.qlBachelierBlackFormula(IF(O14&lt;$C$4,"Put","Call"),O14,$C$4,$C$12*SQRT($C$7)),"")</f>
        <v>2.1744308012217939E-9</v>
      </c>
      <c r="S14" s="41" t="str">
        <f>IFERROR((_xll.qlBlackFormula(IF(O14&lt;$C$4,"Put","Call"),O14+$C$14,$C$4,$C$9*SQRT($C$7))-
2*_xll.qlBlackFormula(IF(O14&lt;$C$4,"Put","Call"),O14,$C$4,$C$9*SQRT($C$7))+
_xll.qlBlackFormula(IF(O14&lt;$C$4,"Put","Call"),O14-$C$14,$C$4,$C$9*SQRT($C$7)))/$C$14^2,"")</f>
        <v/>
      </c>
      <c r="T14" s="42" t="str">
        <f>IFERROR((_xll.qlBlackFormula(IF(O14&lt;$C$4,"Put","Call"),O14+$C$14,$C$4,$C$10*SQRT($C$7),,$C$11)-
2*_xll.qlBlackFormula(IF(O14&lt;$C$4,"Put","Call"),O14,$C$4,$C$10*SQRT($C$7),,$C$11)+
_xll.qlBlackFormula(IF(O14&lt;$C$4,"Put","Call"),O14-$C$14,$C$4,$C$10*SQRT($C$7),,$C$11))/$C$14^2,"")</f>
        <v/>
      </c>
      <c r="U14" s="43">
        <f>IFERROR((_xll.qlBachelierBlackFormula(IF(O14&lt;$C$4,"Put","Call"),O14+$C$14,$C$4,$C$12*SQRT($C$7))-
2*_xll.qlBachelierBlackFormula(IF(O14&lt;$C$4,"Put","Call"),O14,$C$4,$C$12*SQRT($C$7))+
_xll.qlBachelierBlackFormula(IF(O14&lt;$C$4,"Put","Call"),O14-$C$14,$C$4,$C$12*SQRT($C$7)))/$C$14^2,"")</f>
        <v>5.0996373176687149E-3</v>
      </c>
      <c r="V14" s="61" t="str">
        <f>IFERROR(_xll.qlBachelierBlackFormulaImpliedVol(IF(O14&lt;$C$4,"Put","Call"),O14,$C$4,$C$7,P14),"")</f>
        <v/>
      </c>
      <c r="W14" s="61" t="str">
        <f>IFERROR(_xll.qlBachelierBlackFormulaImpliedVol(IF(O14&lt;$C$4,"Put","Call"),O14,$C$4,$C$7,Q14),"")</f>
        <v/>
      </c>
      <c r="X14" s="61">
        <f>IFERROR(_xll.qlBachelierBlackFormulaImpliedVol(IF(O14&lt;$C$4,"Put","Call"),O14,$C$4,$C$7,R14),"")</f>
        <v>3.1332853428761402E-3</v>
      </c>
      <c r="Y14" s="42"/>
    </row>
    <row r="15" spans="2:25">
      <c r="O15" s="37">
        <f t="shared" si="0"/>
        <v>-9.0000000000000063E-3</v>
      </c>
      <c r="P15" s="38" t="str">
        <f>IFERROR(_xll.qlBlackFormula(IF(O15&lt;$C$4,"Put","Call"),O15,$C$4,$C$9*SQRT($C$7)),"")</f>
        <v/>
      </c>
      <c r="Q15" s="39" t="str">
        <f>IFERROR(_xll.qlBlackFormula(IF(O15&lt;$C$4,"Put","Call"),O15,$C$4,$C$10*SQRT($C$7),,$C$11),"")</f>
        <v/>
      </c>
      <c r="R15" s="40">
        <f>IFERROR(_xll.qlBachelierBlackFormula(IF(O15&lt;$C$4,"Put","Call"),O15,$C$4,$C$12*SQRT($C$7)),"")</f>
        <v>2.5408498850008857E-9</v>
      </c>
      <c r="S15" s="41" t="str">
        <f>IFERROR((_xll.qlBlackFormula(IF(O15&lt;$C$4,"Put","Call"),O15+$C$14,$C$4,$C$9*SQRT($C$7))-
2*_xll.qlBlackFormula(IF(O15&lt;$C$4,"Put","Call"),O15,$C$4,$C$9*SQRT($C$7))+
_xll.qlBlackFormula(IF(O15&lt;$C$4,"Put","Call"),O15-$C$14,$C$4,$C$9*SQRT($C$7)))/$C$14^2,"")</f>
        <v/>
      </c>
      <c r="T15" s="42" t="str">
        <f>IFERROR((_xll.qlBlackFormula(IF(O15&lt;$C$4,"Put","Call"),O15+$C$14,$C$4,$C$10*SQRT($C$7),,$C$11)-
2*_xll.qlBlackFormula(IF(O15&lt;$C$4,"Put","Call"),O15,$C$4,$C$10*SQRT($C$7),,$C$11)+
_xll.qlBlackFormula(IF(O15&lt;$C$4,"Put","Call"),O15-$C$14,$C$4,$C$10*SQRT($C$7),,$C$11))/$C$14^2,"")</f>
        <v/>
      </c>
      <c r="U15" s="43">
        <f>IFERROR((_xll.qlBachelierBlackFormula(IF(O15&lt;$C$4,"Put","Call"),O15+$C$14,$C$4,$C$12*SQRT($C$7))-
2*_xll.qlBachelierBlackFormula(IF(O15&lt;$C$4,"Put","Call"),O15,$C$4,$C$12*SQRT($C$7))+
_xll.qlBachelierBlackFormula(IF(O15&lt;$C$4,"Put","Call"),O15-$C$14,$C$4,$C$12*SQRT($C$7)))/$C$14^2,"")</f>
        <v>5.8840718566731823E-3</v>
      </c>
      <c r="V15" s="61" t="str">
        <f>IFERROR(_xll.qlBachelierBlackFormulaImpliedVol(IF(O15&lt;$C$4,"Put","Call"),O15,$C$4,$C$7,P15),"")</f>
        <v/>
      </c>
      <c r="W15" s="61" t="str">
        <f>IFERROR(_xll.qlBachelierBlackFormulaImpliedVol(IF(O15&lt;$C$4,"Put","Call"),O15,$C$4,$C$7,Q15),"")</f>
        <v/>
      </c>
      <c r="X15" s="61">
        <f>IFERROR(_xll.qlBachelierBlackFormulaImpliedVol(IF(O15&lt;$C$4,"Put","Call"),O15,$C$4,$C$7,R15),"")</f>
        <v>3.1332853432330283E-3</v>
      </c>
      <c r="Y15" s="42"/>
    </row>
    <row r="16" spans="2:25">
      <c r="O16" s="37">
        <f t="shared" si="0"/>
        <v>-8.9000000000000069E-3</v>
      </c>
      <c r="P16" s="38" t="str">
        <f>IFERROR(_xll.qlBlackFormula(IF(O16&lt;$C$4,"Put","Call"),O16,$C$4,$C$9*SQRT($C$7)),"")</f>
        <v/>
      </c>
      <c r="Q16" s="39" t="str">
        <f>IFERROR(_xll.qlBlackFormula(IF(O16&lt;$C$4,"Put","Call"),O16,$C$4,$C$10*SQRT($C$7),,$C$11),"")</f>
        <v/>
      </c>
      <c r="R16" s="40">
        <f>IFERROR(_xll.qlBachelierBlackFormula(IF(O16&lt;$C$4,"Put","Call"),O16,$C$4,$C$12*SQRT($C$7)),"")</f>
        <v>2.9662069813971031E-9</v>
      </c>
      <c r="S16" s="41" t="str">
        <f>IFERROR((_xll.qlBlackFormula(IF(O16&lt;$C$4,"Put","Call"),O16+$C$14,$C$4,$C$9*SQRT($C$7))-
2*_xll.qlBlackFormula(IF(O16&lt;$C$4,"Put","Call"),O16,$C$4,$C$9*SQRT($C$7))+
_xll.qlBlackFormula(IF(O16&lt;$C$4,"Put","Call"),O16-$C$14,$C$4,$C$9*SQRT($C$7)))/$C$14^2,"")</f>
        <v/>
      </c>
      <c r="T16" s="42" t="str">
        <f>IFERROR((_xll.qlBlackFormula(IF(O16&lt;$C$4,"Put","Call"),O16+$C$14,$C$4,$C$10*SQRT($C$7),,$C$11)-
2*_xll.qlBlackFormula(IF(O16&lt;$C$4,"Put","Call"),O16,$C$4,$C$10*SQRT($C$7),,$C$11)+
_xll.qlBlackFormula(IF(O16&lt;$C$4,"Put","Call"),O16-$C$14,$C$4,$C$10*SQRT($C$7),,$C$11))/$C$14^2,"")</f>
        <v/>
      </c>
      <c r="U16" s="43">
        <f>IFERROR((_xll.qlBachelierBlackFormula(IF(O16&lt;$C$4,"Put","Call"),O16+$C$14,$C$4,$C$12*SQRT($C$7))-
2*_xll.qlBachelierBlackFormula(IF(O16&lt;$C$4,"Put","Call"),O16,$C$4,$C$12*SQRT($C$7))+
_xll.qlBachelierBlackFormula(IF(O16&lt;$C$4,"Put","Call"),O16-$C$14,$C$4,$C$12*SQRT($C$7)))/$C$14^2,"")</f>
        <v>6.7829805096014601E-3</v>
      </c>
      <c r="V16" s="61" t="str">
        <f>IFERROR(_xll.qlBachelierBlackFormulaImpliedVol(IF(O16&lt;$C$4,"Put","Call"),O16,$C$4,$C$7,P16),"")</f>
        <v/>
      </c>
      <c r="W16" s="61" t="str">
        <f>IFERROR(_xll.qlBachelierBlackFormulaImpliedVol(IF(O16&lt;$C$4,"Put","Call"),O16,$C$4,$C$7,Q16),"")</f>
        <v/>
      </c>
      <c r="X16" s="61">
        <f>IFERROR(_xll.qlBachelierBlackFormulaImpliedVol(IF(O16&lt;$C$4,"Put","Call"),O16,$C$4,$C$7,R16),"")</f>
        <v>3.1332853435926842E-3</v>
      </c>
      <c r="Y16" s="42"/>
    </row>
    <row r="17" spans="15:25">
      <c r="O17" s="37">
        <f t="shared" si="0"/>
        <v>-8.8000000000000075E-3</v>
      </c>
      <c r="P17" s="38" t="str">
        <f>IFERROR(_xll.qlBlackFormula(IF(O17&lt;$C$4,"Put","Call"),O17,$C$4,$C$9*SQRT($C$7)),"")</f>
        <v/>
      </c>
      <c r="Q17" s="39" t="str">
        <f>IFERROR(_xll.qlBlackFormula(IF(O17&lt;$C$4,"Put","Call"),O17,$C$4,$C$10*SQRT($C$7),,$C$11),"")</f>
        <v/>
      </c>
      <c r="R17" s="40">
        <f>IFERROR(_xll.qlBachelierBlackFormula(IF(O17&lt;$C$4,"Put","Call"),O17,$C$4,$C$12*SQRT($C$7)),"")</f>
        <v>3.4594993716198783E-9</v>
      </c>
      <c r="S17" s="41" t="str">
        <f>IFERROR((_xll.qlBlackFormula(IF(O17&lt;$C$4,"Put","Call"),O17+$C$14,$C$4,$C$9*SQRT($C$7))-
2*_xll.qlBlackFormula(IF(O17&lt;$C$4,"Put","Call"),O17,$C$4,$C$9*SQRT($C$7))+
_xll.qlBlackFormula(IF(O17&lt;$C$4,"Put","Call"),O17-$C$14,$C$4,$C$9*SQRT($C$7)))/$C$14^2,"")</f>
        <v/>
      </c>
      <c r="T17" s="42" t="str">
        <f>IFERROR((_xll.qlBlackFormula(IF(O17&lt;$C$4,"Put","Call"),O17+$C$14,$C$4,$C$10*SQRT($C$7),,$C$11)-
2*_xll.qlBlackFormula(IF(O17&lt;$C$4,"Put","Call"),O17,$C$4,$C$10*SQRT($C$7),,$C$11)+
_xll.qlBlackFormula(IF(O17&lt;$C$4,"Put","Call"),O17-$C$14,$C$4,$C$10*SQRT($C$7),,$C$11))/$C$14^2,"")</f>
        <v/>
      </c>
      <c r="U17" s="43">
        <f>IFERROR((_xll.qlBachelierBlackFormula(IF(O17&lt;$C$4,"Put","Call"),O17+$C$14,$C$4,$C$12*SQRT($C$7))-
2*_xll.qlBachelierBlackFormula(IF(O17&lt;$C$4,"Put","Call"),O17,$C$4,$C$12*SQRT($C$7))+
_xll.qlBachelierBlackFormula(IF(O17&lt;$C$4,"Put","Call"),O17-$C$14,$C$4,$C$12*SQRT($C$7)))/$C$14^2,"")</f>
        <v>7.8106191718280817E-3</v>
      </c>
      <c r="V17" s="61" t="str">
        <f>IFERROR(_xll.qlBachelierBlackFormulaImpliedVol(IF(O17&lt;$C$4,"Put","Call"),O17,$C$4,$C$7,P17),"")</f>
        <v/>
      </c>
      <c r="W17" s="61" t="str">
        <f>IFERROR(_xll.qlBachelierBlackFormulaImpliedVol(IF(O17&lt;$C$4,"Put","Call"),O17,$C$4,$C$7,Q17),"")</f>
        <v/>
      </c>
      <c r="X17" s="61">
        <f>IFERROR(_xll.qlBachelierBlackFormulaImpliedVol(IF(O17&lt;$C$4,"Put","Call"),O17,$C$4,$C$7,R17),"")</f>
        <v>3.1332853439599967E-3</v>
      </c>
      <c r="Y17" s="42"/>
    </row>
    <row r="18" spans="15:25">
      <c r="O18" s="37">
        <f t="shared" si="0"/>
        <v>-8.7000000000000081E-3</v>
      </c>
      <c r="P18" s="38" t="str">
        <f>IFERROR(_xll.qlBlackFormula(IF(O18&lt;$C$4,"Put","Call"),O18,$C$4,$C$9*SQRT($C$7)),"")</f>
        <v/>
      </c>
      <c r="Q18" s="39" t="str">
        <f>IFERROR(_xll.qlBlackFormula(IF(O18&lt;$C$4,"Put","Call"),O18,$C$4,$C$10*SQRT($C$7),,$C$11),"")</f>
        <v/>
      </c>
      <c r="R18" s="40">
        <f>IFERROR(_xll.qlBachelierBlackFormula(IF(O18&lt;$C$4,"Put","Call"),O18,$C$4,$C$12*SQRT($C$7)),"")</f>
        <v>4.0310181236097851E-9</v>
      </c>
      <c r="S18" s="41" t="str">
        <f>IFERROR((_xll.qlBlackFormula(IF(O18&lt;$C$4,"Put","Call"),O18+$C$14,$C$4,$C$9*SQRT($C$7))-
2*_xll.qlBlackFormula(IF(O18&lt;$C$4,"Put","Call"),O18,$C$4,$C$9*SQRT($C$7))+
_xll.qlBlackFormula(IF(O18&lt;$C$4,"Put","Call"),O18-$C$14,$C$4,$C$9*SQRT($C$7)))/$C$14^2,"")</f>
        <v/>
      </c>
      <c r="T18" s="42" t="str">
        <f>IFERROR((_xll.qlBlackFormula(IF(O18&lt;$C$4,"Put","Call"),O18+$C$14,$C$4,$C$10*SQRT($C$7),,$C$11)-
2*_xll.qlBlackFormula(IF(O18&lt;$C$4,"Put","Call"),O18,$C$4,$C$10*SQRT($C$7),,$C$11)+
_xll.qlBlackFormula(IF(O18&lt;$C$4,"Put","Call"),O18-$C$14,$C$4,$C$10*SQRT($C$7),,$C$11))/$C$14^2,"")</f>
        <v/>
      </c>
      <c r="U18" s="43">
        <f>IFERROR((_xll.qlBachelierBlackFormula(IF(O18&lt;$C$4,"Put","Call"),O18+$C$14,$C$4,$C$12*SQRT($C$7))-
2*_xll.qlBachelierBlackFormula(IF(O18&lt;$C$4,"Put","Call"),O18,$C$4,$C$12*SQRT($C$7))+
_xll.qlBachelierBlackFormula(IF(O18&lt;$C$4,"Put","Call"),O18-$C$14,$C$4,$C$12*SQRT($C$7)))/$C$14^2,"")</f>
        <v>8.9839043420068022E-3</v>
      </c>
      <c r="V18" s="61" t="str">
        <f>IFERROR(_xll.qlBachelierBlackFormulaImpliedVol(IF(O18&lt;$C$4,"Put","Call"),O18,$C$4,$C$7,P18),"")</f>
        <v/>
      </c>
      <c r="W18" s="61" t="str">
        <f>IFERROR(_xll.qlBachelierBlackFormulaImpliedVol(IF(O18&lt;$C$4,"Put","Call"),O18,$C$4,$C$7,Q18),"")</f>
        <v/>
      </c>
      <c r="X18" s="61">
        <f>IFERROR(_xll.qlBachelierBlackFormulaImpliedVol(IF(O18&lt;$C$4,"Put","Call"),O18,$C$4,$C$7,R18),"")</f>
        <v>3.1332853442561709E-3</v>
      </c>
      <c r="Y18" s="42"/>
    </row>
    <row r="19" spans="15:25">
      <c r="O19" s="37">
        <f t="shared" si="0"/>
        <v>-8.6000000000000087E-3</v>
      </c>
      <c r="P19" s="38" t="str">
        <f>IFERROR(_xll.qlBlackFormula(IF(O19&lt;$C$4,"Put","Call"),O19,$C$4,$C$9*SQRT($C$7)),"")</f>
        <v/>
      </c>
      <c r="Q19" s="39" t="str">
        <f>IFERROR(_xll.qlBlackFormula(IF(O19&lt;$C$4,"Put","Call"),O19,$C$4,$C$10*SQRT($C$7),,$C$11),"")</f>
        <v/>
      </c>
      <c r="R19" s="40">
        <f>IFERROR(_xll.qlBachelierBlackFormula(IF(O19&lt;$C$4,"Put","Call"),O19,$C$4,$C$12*SQRT($C$7)),"")</f>
        <v>4.6925215404820065E-9</v>
      </c>
      <c r="S19" s="41" t="str">
        <f>IFERROR((_xll.qlBlackFormula(IF(O19&lt;$C$4,"Put","Call"),O19+$C$14,$C$4,$C$9*SQRT($C$7))-
2*_xll.qlBlackFormula(IF(O19&lt;$C$4,"Put","Call"),O19,$C$4,$C$9*SQRT($C$7))+
_xll.qlBlackFormula(IF(O19&lt;$C$4,"Put","Call"),O19-$C$14,$C$4,$C$9*SQRT($C$7)))/$C$14^2,"")</f>
        <v/>
      </c>
      <c r="T19" s="42" t="str">
        <f>IFERROR((_xll.qlBlackFormula(IF(O19&lt;$C$4,"Put","Call"),O19+$C$14,$C$4,$C$10*SQRT($C$7),,$C$11)-
2*_xll.qlBlackFormula(IF(O19&lt;$C$4,"Put","Call"),O19,$C$4,$C$10*SQRT($C$7),,$C$11)+
_xll.qlBlackFormula(IF(O19&lt;$C$4,"Put","Call"),O19-$C$14,$C$4,$C$10*SQRT($C$7),,$C$11))/$C$14^2,"")</f>
        <v/>
      </c>
      <c r="U19" s="43">
        <f>IFERROR((_xll.qlBachelierBlackFormula(IF(O19&lt;$C$4,"Put","Call"),O19+$C$14,$C$4,$C$12*SQRT($C$7))-
2*_xll.qlBachelierBlackFormula(IF(O19&lt;$C$4,"Put","Call"),O19,$C$4,$C$12*SQRT($C$7))+
_xll.qlBachelierBlackFormula(IF(O19&lt;$C$4,"Put","Call"),O19-$C$14,$C$4,$C$12*SQRT($C$7)))/$C$14^2,"")</f>
        <v>1.032531976856866E-2</v>
      </c>
      <c r="V19" s="61" t="str">
        <f>IFERROR(_xll.qlBachelierBlackFormulaImpliedVol(IF(O19&lt;$C$4,"Put","Call"),O19,$C$4,$C$7,P19),"")</f>
        <v/>
      </c>
      <c r="W19" s="61" t="str">
        <f>IFERROR(_xll.qlBachelierBlackFormulaImpliedVol(IF(O19&lt;$C$4,"Put","Call"),O19,$C$4,$C$7,Q19),"")</f>
        <v/>
      </c>
      <c r="X19" s="61">
        <f>IFERROR(_xll.qlBachelierBlackFormulaImpliedVol(IF(O19&lt;$C$4,"Put","Call"),O19,$C$4,$C$7,R19),"")</f>
        <v>3.1332853445441328E-3</v>
      </c>
      <c r="Y19" s="42"/>
    </row>
    <row r="20" spans="15:25">
      <c r="O20" s="37">
        <f t="shared" si="0"/>
        <v>-8.5000000000000093E-3</v>
      </c>
      <c r="P20" s="38" t="str">
        <f>IFERROR(_xll.qlBlackFormula(IF(O20&lt;$C$4,"Put","Call"),O20,$C$4,$C$9*SQRT($C$7)),"")</f>
        <v/>
      </c>
      <c r="Q20" s="39" t="str">
        <f>IFERROR(_xll.qlBlackFormula(IF(O20&lt;$C$4,"Put","Call"),O20,$C$4,$C$10*SQRT($C$7),,$C$11),"")</f>
        <v/>
      </c>
      <c r="R20" s="40">
        <f>IFERROR(_xll.qlBachelierBlackFormula(IF(O20&lt;$C$4,"Put","Call"),O20,$C$4,$C$12*SQRT($C$7)),"")</f>
        <v>5.4574299704245396E-9</v>
      </c>
      <c r="S20" s="41" t="str">
        <f>IFERROR((_xll.qlBlackFormula(IF(O20&lt;$C$4,"Put","Call"),O20+$C$14,$C$4,$C$9*SQRT($C$7))-
2*_xll.qlBlackFormula(IF(O20&lt;$C$4,"Put","Call"),O20,$C$4,$C$9*SQRT($C$7))+
_xll.qlBlackFormula(IF(O20&lt;$C$4,"Put","Call"),O20-$C$14,$C$4,$C$9*SQRT($C$7)))/$C$14^2,"")</f>
        <v/>
      </c>
      <c r="T20" s="42" t="str">
        <f>IFERROR((_xll.qlBlackFormula(IF(O20&lt;$C$4,"Put","Call"),O20+$C$14,$C$4,$C$10*SQRT($C$7),,$C$11)-
2*_xll.qlBlackFormula(IF(O20&lt;$C$4,"Put","Call"),O20,$C$4,$C$10*SQRT($C$7),,$C$11)+
_xll.qlBlackFormula(IF(O20&lt;$C$4,"Put","Call"),O20-$C$14,$C$4,$C$10*SQRT($C$7),,$C$11))/$C$14^2,"")</f>
        <v/>
      </c>
      <c r="U20" s="43">
        <f>IFERROR((_xll.qlBachelierBlackFormula(IF(O20&lt;$C$4,"Put","Call"),O20+$C$14,$C$4,$C$12*SQRT($C$7))-
2*_xll.qlBachelierBlackFormula(IF(O20&lt;$C$4,"Put","Call"),O20,$C$4,$C$12*SQRT($C$7))+
_xll.qlBachelierBlackFormula(IF(O20&lt;$C$4,"Put","Call"),O20-$C$14,$C$4,$C$12*SQRT($C$7)))/$C$14^2,"")</f>
        <v>1.1853944286315404E-2</v>
      </c>
      <c r="V20" s="61" t="str">
        <f>IFERROR(_xll.qlBachelierBlackFormulaImpliedVol(IF(O20&lt;$C$4,"Put","Call"),O20,$C$4,$C$7,P20),"")</f>
        <v/>
      </c>
      <c r="W20" s="61" t="str">
        <f>IFERROR(_xll.qlBachelierBlackFormulaImpliedVol(IF(O20&lt;$C$4,"Put","Call"),O20,$C$4,$C$7,Q20),"")</f>
        <v/>
      </c>
      <c r="X20" s="61">
        <f>IFERROR(_xll.qlBachelierBlackFormulaImpliedVol(IF(O20&lt;$C$4,"Put","Call"),O20,$C$4,$C$7,R20),"")</f>
        <v>3.1332853447895328E-3</v>
      </c>
      <c r="Y20" s="42"/>
    </row>
    <row r="21" spans="15:25">
      <c r="O21" s="37">
        <f t="shared" si="0"/>
        <v>-8.4000000000000099E-3</v>
      </c>
      <c r="P21" s="38" t="str">
        <f>IFERROR(_xll.qlBlackFormula(IF(O21&lt;$C$4,"Put","Call"),O21,$C$4,$C$9*SQRT($C$7)),"")</f>
        <v/>
      </c>
      <c r="Q21" s="39" t="str">
        <f>IFERROR(_xll.qlBlackFormula(IF(O21&lt;$C$4,"Put","Call"),O21,$C$4,$C$10*SQRT($C$7),,$C$11),"")</f>
        <v/>
      </c>
      <c r="R21" s="40">
        <f>IFERROR(_xll.qlBachelierBlackFormula(IF(O21&lt;$C$4,"Put","Call"),O21,$C$4,$C$12*SQRT($C$7)),"")</f>
        <v>6.3410443221225712E-9</v>
      </c>
      <c r="S21" s="41" t="str">
        <f>IFERROR((_xll.qlBlackFormula(IF(O21&lt;$C$4,"Put","Call"),O21+$C$14,$C$4,$C$9*SQRT($C$7))-
2*_xll.qlBlackFormula(IF(O21&lt;$C$4,"Put","Call"),O21,$C$4,$C$9*SQRT($C$7))+
_xll.qlBlackFormula(IF(O21&lt;$C$4,"Put","Call"),O21-$C$14,$C$4,$C$9*SQRT($C$7)))/$C$14^2,"")</f>
        <v/>
      </c>
      <c r="T21" s="42" t="str">
        <f>IFERROR((_xll.qlBlackFormula(IF(O21&lt;$C$4,"Put","Call"),O21+$C$14,$C$4,$C$10*SQRT($C$7),,$C$11)-
2*_xll.qlBlackFormula(IF(O21&lt;$C$4,"Put","Call"),O21,$C$4,$C$10*SQRT($C$7),,$C$11)+
_xll.qlBlackFormula(IF(O21&lt;$C$4,"Put","Call"),O21-$C$14,$C$4,$C$10*SQRT($C$7),,$C$11))/$C$14^2,"")</f>
        <v/>
      </c>
      <c r="U21" s="43">
        <f>IFERROR((_xll.qlBachelierBlackFormula(IF(O21&lt;$C$4,"Put","Call"),O21+$C$14,$C$4,$C$12*SQRT($C$7))-
2*_xll.qlBachelierBlackFormula(IF(O21&lt;$C$4,"Put","Call"),O21,$C$4,$C$12*SQRT($C$7))+
_xll.qlBachelierBlackFormula(IF(O21&lt;$C$4,"Put","Call"),O21-$C$14,$C$4,$C$12*SQRT($C$7)))/$C$14^2,"")</f>
        <v>1.3593485619521745E-2</v>
      </c>
      <c r="V21" s="61" t="str">
        <f>IFERROR(_xll.qlBachelierBlackFormulaImpliedVol(IF(O21&lt;$C$4,"Put","Call"),O21,$C$4,$C$7,P21),"")</f>
        <v/>
      </c>
      <c r="W21" s="61" t="str">
        <f>IFERROR(_xll.qlBachelierBlackFormulaImpliedVol(IF(O21&lt;$C$4,"Put","Call"),O21,$C$4,$C$7,Q21),"")</f>
        <v/>
      </c>
      <c r="X21" s="61">
        <f>IFERROR(_xll.qlBachelierBlackFormulaImpliedVol(IF(O21&lt;$C$4,"Put","Call"),O21,$C$4,$C$7,R21),"")</f>
        <v>3.1332853450243303E-3</v>
      </c>
      <c r="Y21" s="42"/>
    </row>
    <row r="22" spans="15:25">
      <c r="O22" s="37">
        <f t="shared" si="0"/>
        <v>-8.3000000000000105E-3</v>
      </c>
      <c r="P22" s="38" t="str">
        <f>IFERROR(_xll.qlBlackFormula(IF(O22&lt;$C$4,"Put","Call"),O22,$C$4,$C$9*SQRT($C$7)),"")</f>
        <v/>
      </c>
      <c r="Q22" s="39" t="str">
        <f>IFERROR(_xll.qlBlackFormula(IF(O22&lt;$C$4,"Put","Call"),O22,$C$4,$C$10*SQRT($C$7),,$C$11),"")</f>
        <v/>
      </c>
      <c r="R22" s="40">
        <f>IFERROR(_xll.qlBachelierBlackFormula(IF(O22&lt;$C$4,"Put","Call"),O22,$C$4,$C$12*SQRT($C$7)),"")</f>
        <v>7.3607908794762826E-9</v>
      </c>
      <c r="S22" s="41" t="str">
        <f>IFERROR((_xll.qlBlackFormula(IF(O22&lt;$C$4,"Put","Call"),O22+$C$14,$C$4,$C$9*SQRT($C$7))-
2*_xll.qlBlackFormula(IF(O22&lt;$C$4,"Put","Call"),O22,$C$4,$C$9*SQRT($C$7))+
_xll.qlBlackFormula(IF(O22&lt;$C$4,"Put","Call"),O22-$C$14,$C$4,$C$9*SQRT($C$7)))/$C$14^2,"")</f>
        <v/>
      </c>
      <c r="T22" s="42" t="str">
        <f>IFERROR((_xll.qlBlackFormula(IF(O22&lt;$C$4,"Put","Call"),O22+$C$14,$C$4,$C$10*SQRT($C$7),,$C$11)-
2*_xll.qlBlackFormula(IF(O22&lt;$C$4,"Put","Call"),O22,$C$4,$C$10*SQRT($C$7),,$C$11)+
_xll.qlBlackFormula(IF(O22&lt;$C$4,"Put","Call"),O22-$C$14,$C$4,$C$10*SQRT($C$7),,$C$11))/$C$14^2,"")</f>
        <v/>
      </c>
      <c r="U22" s="43">
        <f>IFERROR((_xll.qlBachelierBlackFormula(IF(O22&lt;$C$4,"Put","Call"),O22+$C$14,$C$4,$C$12*SQRT($C$7))-
2*_xll.qlBachelierBlackFormula(IF(O22&lt;$C$4,"Put","Call"),O22,$C$4,$C$12*SQRT($C$7))+
_xll.qlBachelierBlackFormula(IF(O22&lt;$C$4,"Put","Call"),O22-$C$14,$C$4,$C$12*SQRT($C$7)))/$C$14^2,"")</f>
        <v>1.5573573523313119E-2</v>
      </c>
      <c r="V22" s="61" t="str">
        <f>IFERROR(_xll.qlBachelierBlackFormulaImpliedVol(IF(O22&lt;$C$4,"Put","Call"),O22,$C$4,$C$7,P22),"")</f>
        <v/>
      </c>
      <c r="W22" s="61" t="str">
        <f>IFERROR(_xll.qlBachelierBlackFormulaImpliedVol(IF(O22&lt;$C$4,"Put","Call"),O22,$C$4,$C$7,Q22),"")</f>
        <v/>
      </c>
      <c r="X22" s="61">
        <f>IFERROR(_xll.qlBachelierBlackFormulaImpliedVol(IF(O22&lt;$C$4,"Put","Call"),O22,$C$4,$C$7,R22),"")</f>
        <v>3.1332853452122342E-3</v>
      </c>
      <c r="Y22" s="42"/>
    </row>
    <row r="23" spans="15:25">
      <c r="O23" s="37">
        <f t="shared" si="0"/>
        <v>-8.2000000000000111E-3</v>
      </c>
      <c r="P23" s="38" t="str">
        <f>IFERROR(_xll.qlBlackFormula(IF(O23&lt;$C$4,"Put","Call"),O23,$C$4,$C$9*SQRT($C$7)),"")</f>
        <v/>
      </c>
      <c r="Q23" s="39" t="str">
        <f>IFERROR(_xll.qlBlackFormula(IF(O23&lt;$C$4,"Put","Call"),O23,$C$4,$C$10*SQRT($C$7),,$C$11),"")</f>
        <v/>
      </c>
      <c r="R23" s="40">
        <f>IFERROR(_xll.qlBachelierBlackFormula(IF(O23&lt;$C$4,"Put","Call"),O23,$C$4,$C$12*SQRT($C$7)),"")</f>
        <v>8.5364952306473231E-9</v>
      </c>
      <c r="S23" s="41" t="str">
        <f>IFERROR((_xll.qlBlackFormula(IF(O23&lt;$C$4,"Put","Call"),O23+$C$14,$C$4,$C$9*SQRT($C$7))-
2*_xll.qlBlackFormula(IF(O23&lt;$C$4,"Put","Call"),O23,$C$4,$C$9*SQRT($C$7))+
_xll.qlBlackFormula(IF(O23&lt;$C$4,"Put","Call"),O23-$C$14,$C$4,$C$9*SQRT($C$7)))/$C$14^2,"")</f>
        <v/>
      </c>
      <c r="T23" s="42" t="str">
        <f>IFERROR((_xll.qlBlackFormula(IF(O23&lt;$C$4,"Put","Call"),O23+$C$14,$C$4,$C$10*SQRT($C$7),,$C$11)-
2*_xll.qlBlackFormula(IF(O23&lt;$C$4,"Put","Call"),O23,$C$4,$C$10*SQRT($C$7),,$C$11)+
_xll.qlBlackFormula(IF(O23&lt;$C$4,"Put","Call"),O23-$C$14,$C$4,$C$10*SQRT($C$7),,$C$11))/$C$14^2,"")</f>
        <v/>
      </c>
      <c r="U23" s="43">
        <f>IFERROR((_xll.qlBachelierBlackFormula(IF(O23&lt;$C$4,"Put","Call"),O23+$C$14,$C$4,$C$12*SQRT($C$7))-
2*_xll.qlBachelierBlackFormula(IF(O23&lt;$C$4,"Put","Call"),O23,$C$4,$C$12*SQRT($C$7))+
_xll.qlBachelierBlackFormula(IF(O23&lt;$C$4,"Put","Call"),O23-$C$14,$C$4,$C$12*SQRT($C$7)))/$C$14^2,"")</f>
        <v>1.7823934764557205E-2</v>
      </c>
      <c r="V23" s="61" t="str">
        <f>IFERROR(_xll.qlBachelierBlackFormulaImpliedVol(IF(O23&lt;$C$4,"Put","Call"),O23,$C$4,$C$7,P23),"")</f>
        <v/>
      </c>
      <c r="W23" s="61" t="str">
        <f>IFERROR(_xll.qlBachelierBlackFormulaImpliedVol(IF(O23&lt;$C$4,"Put","Call"),O23,$C$4,$C$7,Q23),"")</f>
        <v/>
      </c>
      <c r="X23" s="61">
        <f>IFERROR(_xll.qlBachelierBlackFormulaImpliedVol(IF(O23&lt;$C$4,"Put","Call"),O23,$C$4,$C$7,R23),"")</f>
        <v>3.133285345332081E-3</v>
      </c>
      <c r="Y23" s="42"/>
    </row>
    <row r="24" spans="15:25">
      <c r="O24" s="37">
        <f t="shared" si="0"/>
        <v>-8.1000000000000117E-3</v>
      </c>
      <c r="P24" s="38" t="str">
        <f>IFERROR(_xll.qlBlackFormula(IF(O24&lt;$C$4,"Put","Call"),O24,$C$4,$C$9*SQRT($C$7)),"")</f>
        <v/>
      </c>
      <c r="Q24" s="39" t="str">
        <f>IFERROR(_xll.qlBlackFormula(IF(O24&lt;$C$4,"Put","Call"),O24,$C$4,$C$10*SQRT($C$7),,$C$11),"")</f>
        <v/>
      </c>
      <c r="R24" s="40">
        <f>IFERROR(_xll.qlBachelierBlackFormula(IF(O24&lt;$C$4,"Put","Call"),O24,$C$4,$C$12*SQRT($C$7)),"")</f>
        <v>9.8906883926980257E-9</v>
      </c>
      <c r="S24" s="41" t="str">
        <f>IFERROR((_xll.qlBlackFormula(IF(O24&lt;$C$4,"Put","Call"),O24+$C$14,$C$4,$C$9*SQRT($C$7))-
2*_xll.qlBlackFormula(IF(O24&lt;$C$4,"Put","Call"),O24,$C$4,$C$9*SQRT($C$7))+
_xll.qlBlackFormula(IF(O24&lt;$C$4,"Put","Call"),O24-$C$14,$C$4,$C$9*SQRT($C$7)))/$C$14^2,"")</f>
        <v/>
      </c>
      <c r="T24" s="42" t="str">
        <f>IFERROR((_xll.qlBlackFormula(IF(O24&lt;$C$4,"Put","Call"),O24+$C$14,$C$4,$C$10*SQRT($C$7),,$C$11)-
2*_xll.qlBlackFormula(IF(O24&lt;$C$4,"Put","Call"),O24,$C$4,$C$10*SQRT($C$7),,$C$11)+
_xll.qlBlackFormula(IF(O24&lt;$C$4,"Put","Call"),O24-$C$14,$C$4,$C$10*SQRT($C$7),,$C$11))/$C$14^2,"")</f>
        <v/>
      </c>
      <c r="U24" s="43">
        <f>IFERROR((_xll.qlBachelierBlackFormula(IF(O24&lt;$C$4,"Put","Call"),O24+$C$14,$C$4,$C$12*SQRT($C$7))-
2*_xll.qlBachelierBlackFormula(IF(O24&lt;$C$4,"Put","Call"),O24,$C$4,$C$12*SQRT($C$7))+
_xll.qlBachelierBlackFormula(IF(O24&lt;$C$4,"Put","Call"),O24-$C$14,$C$4,$C$12*SQRT($C$7)))/$C$14^2,"")</f>
        <v>2.0377825736117555E-2</v>
      </c>
      <c r="V24" s="61" t="str">
        <f>IFERROR(_xll.qlBachelierBlackFormulaImpliedVol(IF(O24&lt;$C$4,"Put","Call"),O24,$C$4,$C$7,P24),"")</f>
        <v/>
      </c>
      <c r="W24" s="61" t="str">
        <f>IFERROR(_xll.qlBachelierBlackFormulaImpliedVol(IF(O24&lt;$C$4,"Put","Call"),O24,$C$4,$C$7,Q24),"")</f>
        <v/>
      </c>
      <c r="X24" s="61">
        <f>IFERROR(_xll.qlBachelierBlackFormulaImpliedVol(IF(O24&lt;$C$4,"Put","Call"),O24,$C$4,$C$7,R24),"")</f>
        <v>3.1332853454408768E-3</v>
      </c>
      <c r="Y24" s="42"/>
    </row>
    <row r="25" spans="15:25">
      <c r="O25" s="37">
        <f t="shared" si="0"/>
        <v>-8.0000000000000123E-3</v>
      </c>
      <c r="P25" s="38" t="str">
        <f>IFERROR(_xll.qlBlackFormula(IF(O25&lt;$C$4,"Put","Call"),O25,$C$4,$C$9*SQRT($C$7)),"")</f>
        <v/>
      </c>
      <c r="Q25" s="39" t="str">
        <f>IFERROR(_xll.qlBlackFormula(IF(O25&lt;$C$4,"Put","Call"),O25,$C$4,$C$10*SQRT($C$7),,$C$11),"")</f>
        <v/>
      </c>
      <c r="R25" s="40">
        <f>IFERROR(_xll.qlBachelierBlackFormula(IF(O25&lt;$C$4,"Put","Call"),O25,$C$4,$C$12*SQRT($C$7)),"")</f>
        <v>1.1448948474498257E-8</v>
      </c>
      <c r="S25" s="41" t="str">
        <f>IFERROR((_xll.qlBlackFormula(IF(O25&lt;$C$4,"Put","Call"),O25+$C$14,$C$4,$C$9*SQRT($C$7))-
2*_xll.qlBlackFormula(IF(O25&lt;$C$4,"Put","Call"),O25,$C$4,$C$9*SQRT($C$7))+
_xll.qlBlackFormula(IF(O25&lt;$C$4,"Put","Call"),O25-$C$14,$C$4,$C$9*SQRT($C$7)))/$C$14^2,"")</f>
        <v/>
      </c>
      <c r="T25" s="42" t="str">
        <f>IFERROR((_xll.qlBlackFormula(IF(O25&lt;$C$4,"Put","Call"),O25+$C$14,$C$4,$C$10*SQRT($C$7),,$C$11)-
2*_xll.qlBlackFormula(IF(O25&lt;$C$4,"Put","Call"),O25,$C$4,$C$10*SQRT($C$7),,$C$11)+
_xll.qlBlackFormula(IF(O25&lt;$C$4,"Put","Call"),O25-$C$14,$C$4,$C$10*SQRT($C$7),,$C$11))/$C$14^2,"")</f>
        <v/>
      </c>
      <c r="U25" s="43">
        <f>IFERROR((_xll.qlBachelierBlackFormula(IF(O25&lt;$C$4,"Put","Call"),O25+$C$14,$C$4,$C$12*SQRT($C$7))-
2*_xll.qlBachelierBlackFormula(IF(O25&lt;$C$4,"Put","Call"),O25,$C$4,$C$12*SQRT($C$7))+
_xll.qlBachelierBlackFormula(IF(O25&lt;$C$4,"Put","Call"),O25-$C$14,$C$4,$C$12*SQRT($C$7)))/$C$14^2,"")</f>
        <v>2.327487656849736E-2</v>
      </c>
      <c r="V25" s="61" t="str">
        <f>IFERROR(_xll.qlBachelierBlackFormulaImpliedVol(IF(O25&lt;$C$4,"Put","Call"),O25,$C$4,$C$7,P25),"")</f>
        <v/>
      </c>
      <c r="W25" s="61" t="str">
        <f>IFERROR(_xll.qlBachelierBlackFormulaImpliedVol(IF(O25&lt;$C$4,"Put","Call"),O25,$C$4,$C$7,Q25),"")</f>
        <v/>
      </c>
      <c r="X25" s="61">
        <f>IFERROR(_xll.qlBachelierBlackFormulaImpliedVol(IF(O25&lt;$C$4,"Put","Call"),O25,$C$4,$C$7,R25),"")</f>
        <v>3.1332853455022405E-3</v>
      </c>
      <c r="Y25" s="42"/>
    </row>
    <row r="26" spans="15:25">
      <c r="O26" s="37">
        <f t="shared" si="0"/>
        <v>-7.9000000000000129E-3</v>
      </c>
      <c r="P26" s="38" t="str">
        <f>IFERROR(_xll.qlBlackFormula(IF(O26&lt;$C$4,"Put","Call"),O26,$C$4,$C$9*SQRT($C$7)),"")</f>
        <v/>
      </c>
      <c r="Q26" s="39" t="str">
        <f>IFERROR(_xll.qlBlackFormula(IF(O26&lt;$C$4,"Put","Call"),O26,$C$4,$C$10*SQRT($C$7),,$C$11),"")</f>
        <v/>
      </c>
      <c r="R26" s="40">
        <f>IFERROR(_xll.qlBachelierBlackFormula(IF(O26&lt;$C$4,"Put","Call"),O26,$C$4,$C$12*SQRT($C$7)),"")</f>
        <v>1.324028153834904E-8</v>
      </c>
      <c r="S26" s="41" t="str">
        <f>IFERROR((_xll.qlBlackFormula(IF(O26&lt;$C$4,"Put","Call"),O26+$C$14,$C$4,$C$9*SQRT($C$7))-
2*_xll.qlBlackFormula(IF(O26&lt;$C$4,"Put","Call"),O26,$C$4,$C$9*SQRT($C$7))+
_xll.qlBlackFormula(IF(O26&lt;$C$4,"Put","Call"),O26-$C$14,$C$4,$C$9*SQRT($C$7)))/$C$14^2,"")</f>
        <v/>
      </c>
      <c r="T26" s="42" t="str">
        <f>IFERROR((_xll.qlBlackFormula(IF(O26&lt;$C$4,"Put","Call"),O26+$C$14,$C$4,$C$10*SQRT($C$7),,$C$11)-
2*_xll.qlBlackFormula(IF(O26&lt;$C$4,"Put","Call"),O26,$C$4,$C$10*SQRT($C$7),,$C$11)+
_xll.qlBlackFormula(IF(O26&lt;$C$4,"Put","Call"),O26-$C$14,$C$4,$C$10*SQRT($C$7),,$C$11))/$C$14^2,"")</f>
        <v/>
      </c>
      <c r="U26" s="43">
        <f>IFERROR((_xll.qlBachelierBlackFormula(IF(O26&lt;$C$4,"Put","Call"),O26+$C$14,$C$4,$C$12*SQRT($C$7))-
2*_xll.qlBachelierBlackFormula(IF(O26&lt;$C$4,"Put","Call"),O26,$C$4,$C$12*SQRT($C$7))+
_xll.qlBachelierBlackFormula(IF(O26&lt;$C$4,"Put","Call"),O26-$C$14,$C$4,$C$12*SQRT($C$7)))/$C$14^2,"")</f>
        <v>2.6557643388106757E-2</v>
      </c>
      <c r="V26" s="61" t="str">
        <f>IFERROR(_xll.qlBachelierBlackFormulaImpliedVol(IF(O26&lt;$C$4,"Put","Call"),O26,$C$4,$C$7,P26),"")</f>
        <v/>
      </c>
      <c r="W26" s="61" t="str">
        <f>IFERROR(_xll.qlBachelierBlackFormulaImpliedVol(IF(O26&lt;$C$4,"Put","Call"),O26,$C$4,$C$7,Q26),"")</f>
        <v/>
      </c>
      <c r="X26" s="61">
        <f>IFERROR(_xll.qlBachelierBlackFormulaImpliedVol(IF(O26&lt;$C$4,"Put","Call"),O26,$C$4,$C$7,R26),"")</f>
        <v>3.1332853455277093E-3</v>
      </c>
      <c r="Y26" s="42"/>
    </row>
    <row r="27" spans="15:25">
      <c r="O27" s="37">
        <f t="shared" si="0"/>
        <v>-7.8000000000000127E-3</v>
      </c>
      <c r="P27" s="38" t="str">
        <f>IFERROR(_xll.qlBlackFormula(IF(O27&lt;$C$4,"Put","Call"),O27,$C$4,$C$9*SQRT($C$7)),"")</f>
        <v/>
      </c>
      <c r="Q27" s="39" t="str">
        <f>IFERROR(_xll.qlBlackFormula(IF(O27&lt;$C$4,"Put","Call"),O27,$C$4,$C$10*SQRT($C$7),,$C$11),"")</f>
        <v/>
      </c>
      <c r="R27" s="40">
        <f>IFERROR(_xll.qlBachelierBlackFormula(IF(O27&lt;$C$4,"Put","Call"),O27,$C$4,$C$12*SQRT($C$7)),"")</f>
        <v>1.5297545599825667E-8</v>
      </c>
      <c r="S27" s="41" t="str">
        <f>IFERROR((_xll.qlBlackFormula(IF(O27&lt;$C$4,"Put","Call"),O27+$C$14,$C$4,$C$9*SQRT($C$7))-
2*_xll.qlBlackFormula(IF(O27&lt;$C$4,"Put","Call"),O27,$C$4,$C$9*SQRT($C$7))+
_xll.qlBlackFormula(IF(O27&lt;$C$4,"Put","Call"),O27-$C$14,$C$4,$C$9*SQRT($C$7)))/$C$14^2,"")</f>
        <v/>
      </c>
      <c r="T27" s="42" t="str">
        <f>IFERROR((_xll.qlBlackFormula(IF(O27&lt;$C$4,"Put","Call"),O27+$C$14,$C$4,$C$10*SQRT($C$7),,$C$11)-
2*_xll.qlBlackFormula(IF(O27&lt;$C$4,"Put","Call"),O27,$C$4,$C$10*SQRT($C$7),,$C$11)+
_xll.qlBlackFormula(IF(O27&lt;$C$4,"Put","Call"),O27-$C$14,$C$4,$C$10*SQRT($C$7),,$C$11))/$C$14^2,"")</f>
        <v/>
      </c>
      <c r="U27" s="43">
        <f>IFERROR((_xll.qlBachelierBlackFormula(IF(O27&lt;$C$4,"Put","Call"),O27+$C$14,$C$4,$C$12*SQRT($C$7))-
2*_xll.qlBachelierBlackFormula(IF(O27&lt;$C$4,"Put","Call"),O27,$C$4,$C$12*SQRT($C$7))+
_xll.qlBachelierBlackFormula(IF(O27&lt;$C$4,"Put","Call"),O27-$C$14,$C$4,$C$12*SQRT($C$7)))/$C$14^2,"")</f>
        <v>3.0270740479068817E-2</v>
      </c>
      <c r="V27" s="61" t="str">
        <f>IFERROR(_xll.qlBachelierBlackFormulaImpliedVol(IF(O27&lt;$C$4,"Put","Call"),O27,$C$4,$C$7,P27),"")</f>
        <v/>
      </c>
      <c r="W27" s="61" t="str">
        <f>IFERROR(_xll.qlBachelierBlackFormulaImpliedVol(IF(O27&lt;$C$4,"Put","Call"),O27,$C$4,$C$7,Q27),"")</f>
        <v/>
      </c>
      <c r="X27" s="61">
        <f>IFERROR(_xll.qlBachelierBlackFormulaImpliedVol(IF(O27&lt;$C$4,"Put","Call"),O27,$C$4,$C$7,R27),"")</f>
        <v>3.1332853455092189E-3</v>
      </c>
      <c r="Y27" s="42"/>
    </row>
    <row r="28" spans="15:25">
      <c r="O28" s="37">
        <f t="shared" si="0"/>
        <v>-7.7000000000000124E-3</v>
      </c>
      <c r="P28" s="38" t="str">
        <f>IFERROR(_xll.qlBlackFormula(IF(O28&lt;$C$4,"Put","Call"),O28,$C$4,$C$9*SQRT($C$7)),"")</f>
        <v/>
      </c>
      <c r="Q28" s="39" t="str">
        <f>IFERROR(_xll.qlBlackFormula(IF(O28&lt;$C$4,"Put","Call"),O28,$C$4,$C$10*SQRT($C$7),,$C$11),"")</f>
        <v/>
      </c>
      <c r="R28" s="40">
        <f>IFERROR(_xll.qlBachelierBlackFormula(IF(O28&lt;$C$4,"Put","Call"),O28,$C$4,$C$12*SQRT($C$7)),"")</f>
        <v>1.7657922056275645E-8</v>
      </c>
      <c r="S28" s="41" t="str">
        <f>IFERROR((_xll.qlBlackFormula(IF(O28&lt;$C$4,"Put","Call"),O28+$C$14,$C$4,$C$9*SQRT($C$7))-
2*_xll.qlBlackFormula(IF(O28&lt;$C$4,"Put","Call"),O28,$C$4,$C$9*SQRT($C$7))+
_xll.qlBlackFormula(IF(O28&lt;$C$4,"Put","Call"),O28-$C$14,$C$4,$C$9*SQRT($C$7)))/$C$14^2,"")</f>
        <v/>
      </c>
      <c r="T28" s="42" t="str">
        <f>IFERROR((_xll.qlBlackFormula(IF(O28&lt;$C$4,"Put","Call"),O28+$C$14,$C$4,$C$10*SQRT($C$7),,$C$11)-
2*_xll.qlBlackFormula(IF(O28&lt;$C$4,"Put","Call"),O28,$C$4,$C$10*SQRT($C$7),,$C$11)+
_xll.qlBlackFormula(IF(O28&lt;$C$4,"Put","Call"),O28-$C$14,$C$4,$C$10*SQRT($C$7),,$C$11))/$C$14^2,"")</f>
        <v/>
      </c>
      <c r="U28" s="43">
        <f>IFERROR((_xll.qlBachelierBlackFormula(IF(O28&lt;$C$4,"Put","Call"),O28+$C$14,$C$4,$C$12*SQRT($C$7))-
2*_xll.qlBachelierBlackFormula(IF(O28&lt;$C$4,"Put","Call"),O28,$C$4,$C$12*SQRT($C$7))+
_xll.qlBachelierBlackFormula(IF(O28&lt;$C$4,"Put","Call"),O28-$C$14,$C$4,$C$12*SQRT($C$7)))/$C$14^2,"")</f>
        <v>3.4469472104817427E-2</v>
      </c>
      <c r="V28" s="61" t="str">
        <f>IFERROR(_xll.qlBachelierBlackFormulaImpliedVol(IF(O28&lt;$C$4,"Put","Call"),O28,$C$4,$C$7,P28),"")</f>
        <v/>
      </c>
      <c r="W28" s="61" t="str">
        <f>IFERROR(_xll.qlBachelierBlackFormulaImpliedVol(IF(O28&lt;$C$4,"Put","Call"),O28,$C$4,$C$7,Q28),"")</f>
        <v/>
      </c>
      <c r="X28" s="61">
        <f>IFERROR(_xll.qlBachelierBlackFormulaImpliedVol(IF(O28&lt;$C$4,"Put","Call"),O28,$C$4,$C$7,R28),"")</f>
        <v>3.1332853454459492E-3</v>
      </c>
      <c r="Y28" s="42"/>
    </row>
    <row r="29" spans="15:25">
      <c r="O29" s="37">
        <f t="shared" si="0"/>
        <v>-7.6000000000000121E-3</v>
      </c>
      <c r="P29" s="38" t="str">
        <f>IFERROR(_xll.qlBlackFormula(IF(O29&lt;$C$4,"Put","Call"),O29,$C$4,$C$9*SQRT($C$7)),"")</f>
        <v/>
      </c>
      <c r="Q29" s="39" t="str">
        <f>IFERROR(_xll.qlBlackFormula(IF(O29&lt;$C$4,"Put","Call"),O29,$C$4,$C$10*SQRT($C$7),,$C$11),"")</f>
        <v/>
      </c>
      <c r="R29" s="40">
        <f>IFERROR(_xll.qlBachelierBlackFormula(IF(O29&lt;$C$4,"Put","Call"),O29,$C$4,$C$12*SQRT($C$7)),"")</f>
        <v>2.0363439183653299E-8</v>
      </c>
      <c r="S29" s="41" t="str">
        <f>IFERROR((_xll.qlBlackFormula(IF(O29&lt;$C$4,"Put","Call"),O29+$C$14,$C$4,$C$9*SQRT($C$7))-
2*_xll.qlBlackFormula(IF(O29&lt;$C$4,"Put","Call"),O29,$C$4,$C$9*SQRT($C$7))+
_xll.qlBlackFormula(IF(O29&lt;$C$4,"Put","Call"),O29-$C$14,$C$4,$C$9*SQRT($C$7)))/$C$14^2,"")</f>
        <v/>
      </c>
      <c r="T29" s="42" t="str">
        <f>IFERROR((_xll.qlBlackFormula(IF(O29&lt;$C$4,"Put","Call"),O29+$C$14,$C$4,$C$10*SQRT($C$7),,$C$11)-
2*_xll.qlBlackFormula(IF(O29&lt;$C$4,"Put","Call"),O29,$C$4,$C$10*SQRT($C$7),,$C$11)+
_xll.qlBlackFormula(IF(O29&lt;$C$4,"Put","Call"),O29-$C$14,$C$4,$C$10*SQRT($C$7),,$C$11))/$C$14^2,"")</f>
        <v/>
      </c>
      <c r="U29" s="43">
        <f>IFERROR((_xll.qlBachelierBlackFormula(IF(O29&lt;$C$4,"Put","Call"),O29+$C$14,$C$4,$C$12*SQRT($C$7))-
2*_xll.qlBachelierBlackFormula(IF(O29&lt;$C$4,"Put","Call"),O29,$C$4,$C$12*SQRT($C$7))+
_xll.qlBachelierBlackFormula(IF(O29&lt;$C$4,"Put","Call"),O29-$C$14,$C$4,$C$12*SQRT($C$7)))/$C$14^2,"")</f>
        <v>3.9208782486844333E-2</v>
      </c>
      <c r="V29" s="61" t="str">
        <f>IFERROR(_xll.qlBachelierBlackFormulaImpliedVol(IF(O29&lt;$C$4,"Put","Call"),O29,$C$4,$C$7,P29),"")</f>
        <v/>
      </c>
      <c r="W29" s="61" t="str">
        <f>IFERROR(_xll.qlBachelierBlackFormulaImpliedVol(IF(O29&lt;$C$4,"Put","Call"),O29,$C$4,$C$7,Q29),"")</f>
        <v/>
      </c>
      <c r="X29" s="61">
        <f>IFERROR(_xll.qlBachelierBlackFormulaImpliedVol(IF(O29&lt;$C$4,"Put","Call"),O29,$C$4,$C$7,R29),"")</f>
        <v>3.1332853453591176E-3</v>
      </c>
      <c r="Y29" s="42"/>
    </row>
    <row r="30" spans="15:25">
      <c r="O30" s="37">
        <f t="shared" si="0"/>
        <v>-7.5000000000000119E-3</v>
      </c>
      <c r="P30" s="38" t="str">
        <f>IFERROR(_xll.qlBlackFormula(IF(O30&lt;$C$4,"Put","Call"),O30,$C$4,$C$9*SQRT($C$7)),"")</f>
        <v/>
      </c>
      <c r="Q30" s="39" t="str">
        <f>IFERROR(_xll.qlBlackFormula(IF(O30&lt;$C$4,"Put","Call"),O30,$C$4,$C$10*SQRT($C$7),,$C$11),"")</f>
        <v/>
      </c>
      <c r="R30" s="40">
        <f>IFERROR(_xll.qlBachelierBlackFormula(IF(O30&lt;$C$4,"Put","Call"),O30,$C$4,$C$12*SQRT($C$7)),"")</f>
        <v>2.3461552686706913E-8</v>
      </c>
      <c r="S30" s="41" t="str">
        <f>IFERROR((_xll.qlBlackFormula(IF(O30&lt;$C$4,"Put","Call"),O30+$C$14,$C$4,$C$9*SQRT($C$7))-
2*_xll.qlBlackFormula(IF(O30&lt;$C$4,"Put","Call"),O30,$C$4,$C$9*SQRT($C$7))+
_xll.qlBlackFormula(IF(O30&lt;$C$4,"Put","Call"),O30-$C$14,$C$4,$C$9*SQRT($C$7)))/$C$14^2,"")</f>
        <v/>
      </c>
      <c r="T30" s="42" t="str">
        <f>IFERROR((_xll.qlBlackFormula(IF(O30&lt;$C$4,"Put","Call"),O30+$C$14,$C$4,$C$10*SQRT($C$7),,$C$11)-
2*_xll.qlBlackFormula(IF(O30&lt;$C$4,"Put","Call"),O30,$C$4,$C$10*SQRT($C$7),,$C$11)+
_xll.qlBlackFormula(IF(O30&lt;$C$4,"Put","Call"),O30-$C$14,$C$4,$C$10*SQRT($C$7),,$C$11))/$C$14^2,"")</f>
        <v/>
      </c>
      <c r="U30" s="43">
        <f>IFERROR((_xll.qlBachelierBlackFormula(IF(O30&lt;$C$4,"Put","Call"),O30+$C$14,$C$4,$C$12*SQRT($C$7))-
2*_xll.qlBachelierBlackFormula(IF(O30&lt;$C$4,"Put","Call"),O30,$C$4,$C$12*SQRT($C$7))+
_xll.qlBachelierBlackFormula(IF(O30&lt;$C$4,"Put","Call"),O30-$C$14,$C$4,$C$12*SQRT($C$7)))/$C$14^2,"")</f>
        <v>4.4555212998238621E-2</v>
      </c>
      <c r="V30" s="61" t="str">
        <f>IFERROR(_xll.qlBachelierBlackFormulaImpliedVol(IF(O30&lt;$C$4,"Put","Call"),O30,$C$4,$C$7,P30),"")</f>
        <v/>
      </c>
      <c r="W30" s="61" t="str">
        <f>IFERROR(_xll.qlBachelierBlackFormulaImpliedVol(IF(O30&lt;$C$4,"Put","Call"),O30,$C$4,$C$7,Q30),"")</f>
        <v/>
      </c>
      <c r="X30" s="61">
        <f>IFERROR(_xll.qlBachelierBlackFormulaImpliedVol(IF(O30&lt;$C$4,"Put","Call"),O30,$C$4,$C$7,R30),"")</f>
        <v>3.1332853452385881E-3</v>
      </c>
      <c r="Y30" s="42"/>
    </row>
    <row r="31" spans="15:25">
      <c r="O31" s="37">
        <f t="shared" si="0"/>
        <v>-7.4000000000000116E-3</v>
      </c>
      <c r="P31" s="38" t="str">
        <f>IFERROR(_xll.qlBlackFormula(IF(O31&lt;$C$4,"Put","Call"),O31,$C$4,$C$9*SQRT($C$7)),"")</f>
        <v/>
      </c>
      <c r="Q31" s="39" t="str">
        <f>IFERROR(_xll.qlBlackFormula(IF(O31&lt;$C$4,"Put","Call"),O31,$C$4,$C$10*SQRT($C$7),,$C$11),"")</f>
        <v/>
      </c>
      <c r="R31" s="40">
        <f>IFERROR(_xll.qlBachelierBlackFormula(IF(O31&lt;$C$4,"Put","Call"),O31,$C$4,$C$12*SQRT($C$7)),"")</f>
        <v>2.7005788702114235E-8</v>
      </c>
      <c r="S31" s="41" t="str">
        <f>IFERROR((_xll.qlBlackFormula(IF(O31&lt;$C$4,"Put","Call"),O31+$C$14,$C$4,$C$9*SQRT($C$7))-
2*_xll.qlBlackFormula(IF(O31&lt;$C$4,"Put","Call"),O31,$C$4,$C$9*SQRT($C$7))+
_xll.qlBlackFormula(IF(O31&lt;$C$4,"Put","Call"),O31-$C$14,$C$4,$C$9*SQRT($C$7)))/$C$14^2,"")</f>
        <v/>
      </c>
      <c r="T31" s="42" t="str">
        <f>IFERROR((_xll.qlBlackFormula(IF(O31&lt;$C$4,"Put","Call"),O31+$C$14,$C$4,$C$10*SQRT($C$7),,$C$11)-
2*_xll.qlBlackFormula(IF(O31&lt;$C$4,"Put","Call"),O31,$C$4,$C$10*SQRT($C$7),,$C$11)+
_xll.qlBlackFormula(IF(O31&lt;$C$4,"Put","Call"),O31-$C$14,$C$4,$C$10*SQRT($C$7),,$C$11))/$C$14^2,"")</f>
        <v/>
      </c>
      <c r="U31" s="43">
        <f>IFERROR((_xll.qlBachelierBlackFormula(IF(O31&lt;$C$4,"Put","Call"),O31+$C$14,$C$4,$C$12*SQRT($C$7))-
2*_xll.qlBachelierBlackFormula(IF(O31&lt;$C$4,"Put","Call"),O31,$C$4,$C$12*SQRT($C$7))+
_xll.qlBachelierBlackFormula(IF(O31&lt;$C$4,"Put","Call"),O31-$C$14,$C$4,$C$12*SQRT($C$7)))/$C$14^2,"")</f>
        <v>5.0580690659326244E-2</v>
      </c>
      <c r="V31" s="61" t="str">
        <f>IFERROR(_xll.qlBachelierBlackFormulaImpliedVol(IF(O31&lt;$C$4,"Put","Call"),O31,$C$4,$C$7,P31),"")</f>
        <v/>
      </c>
      <c r="W31" s="61" t="str">
        <f>IFERROR(_xll.qlBachelierBlackFormulaImpliedVol(IF(O31&lt;$C$4,"Put","Call"),O31,$C$4,$C$7,Q31),"")</f>
        <v/>
      </c>
      <c r="X31" s="61">
        <f>IFERROR(_xll.qlBachelierBlackFormulaImpliedVol(IF(O31&lt;$C$4,"Put","Call"),O31,$C$4,$C$7,R31),"")</f>
        <v>3.1332853450850087E-3</v>
      </c>
      <c r="Y31" s="42"/>
    </row>
    <row r="32" spans="15:25">
      <c r="O32" s="37">
        <f t="shared" si="0"/>
        <v>-7.3000000000000113E-3</v>
      </c>
      <c r="P32" s="38" t="str">
        <f>IFERROR(_xll.qlBlackFormula(IF(O32&lt;$C$4,"Put","Call"),O32,$C$4,$C$9*SQRT($C$7)),"")</f>
        <v/>
      </c>
      <c r="Q32" s="39" t="str">
        <f>IFERROR(_xll.qlBlackFormula(IF(O32&lt;$C$4,"Put","Call"),O32,$C$4,$C$10*SQRT($C$7),,$C$11),"")</f>
        <v/>
      </c>
      <c r="R32" s="40">
        <f>IFERROR(_xll.qlBachelierBlackFormula(IF(O32&lt;$C$4,"Put","Call"),O32,$C$4,$C$12*SQRT($C$7)),"")</f>
        <v>3.1056455039587481E-8</v>
      </c>
      <c r="S32" s="41" t="str">
        <f>IFERROR((_xll.qlBlackFormula(IF(O32&lt;$C$4,"Put","Call"),O32+$C$14,$C$4,$C$9*SQRT($C$7))-
2*_xll.qlBlackFormula(IF(O32&lt;$C$4,"Put","Call"),O32,$C$4,$C$9*SQRT($C$7))+
_xll.qlBlackFormula(IF(O32&lt;$C$4,"Put","Call"),O32-$C$14,$C$4,$C$9*SQRT($C$7)))/$C$14^2,"")</f>
        <v/>
      </c>
      <c r="T32" s="42" t="str">
        <f>IFERROR((_xll.qlBlackFormula(IF(O32&lt;$C$4,"Put","Call"),O32+$C$14,$C$4,$C$10*SQRT($C$7),,$C$11)-
2*_xll.qlBlackFormula(IF(O32&lt;$C$4,"Put","Call"),O32,$C$4,$C$10*SQRT($C$7),,$C$11)+
_xll.qlBlackFormula(IF(O32&lt;$C$4,"Put","Call"),O32-$C$14,$C$4,$C$10*SQRT($C$7),,$C$11))/$C$14^2,"")</f>
        <v/>
      </c>
      <c r="U32" s="43">
        <f>IFERROR((_xll.qlBachelierBlackFormula(IF(O32&lt;$C$4,"Put","Call"),O32+$C$14,$C$4,$C$12*SQRT($C$7))-
2*_xll.qlBachelierBlackFormula(IF(O32&lt;$C$4,"Put","Call"),O32,$C$4,$C$12*SQRT($C$7))+
_xll.qlBachelierBlackFormula(IF(O32&lt;$C$4,"Put","Call"),O32-$C$14,$C$4,$C$12*SQRT($C$7)))/$C$14^2,"")</f>
        <v>5.73603083290131E-2</v>
      </c>
      <c r="V32" s="61" t="str">
        <f>IFERROR(_xll.qlBachelierBlackFormulaImpliedVol(IF(O32&lt;$C$4,"Put","Call"),O32,$C$4,$C$7,P32),"")</f>
        <v/>
      </c>
      <c r="W32" s="61" t="str">
        <f>IFERROR(_xll.qlBachelierBlackFormulaImpliedVol(IF(O32&lt;$C$4,"Put","Call"),O32,$C$4,$C$7,Q32),"")</f>
        <v/>
      </c>
      <c r="X32" s="61">
        <f>IFERROR(_xll.qlBachelierBlackFormulaImpliedVol(IF(O32&lt;$C$4,"Put","Call"),O32,$C$4,$C$7,R32),"")</f>
        <v>3.1332853449034669E-3</v>
      </c>
      <c r="Y32" s="42"/>
    </row>
    <row r="33" spans="15:25">
      <c r="O33" s="37">
        <f t="shared" si="0"/>
        <v>-7.2000000000000111E-3</v>
      </c>
      <c r="P33" s="38" t="str">
        <f>IFERROR(_xll.qlBlackFormula(IF(O33&lt;$C$4,"Put","Call"),O33,$C$4,$C$9*SQRT($C$7)),"")</f>
        <v/>
      </c>
      <c r="Q33" s="39" t="str">
        <f>IFERROR(_xll.qlBlackFormula(IF(O33&lt;$C$4,"Put","Call"),O33,$C$4,$C$10*SQRT($C$7),,$C$11),"")</f>
        <v/>
      </c>
      <c r="R33" s="40">
        <f>IFERROR(_xll.qlBachelierBlackFormula(IF(O33&lt;$C$4,"Put","Call"),O33,$C$4,$C$12*SQRT($C$7)),"")</f>
        <v>3.5681426865466817E-8</v>
      </c>
      <c r="S33" s="41" t="str">
        <f>IFERROR((_xll.qlBlackFormula(IF(O33&lt;$C$4,"Put","Call"),O33+$C$14,$C$4,$C$9*SQRT($C$7))-
2*_xll.qlBlackFormula(IF(O33&lt;$C$4,"Put","Call"),O33,$C$4,$C$9*SQRT($C$7))+
_xll.qlBlackFormula(IF(O33&lt;$C$4,"Put","Call"),O33-$C$14,$C$4,$C$9*SQRT($C$7)))/$C$14^2,"")</f>
        <v/>
      </c>
      <c r="T33" s="42" t="str">
        <f>IFERROR((_xll.qlBlackFormula(IF(O33&lt;$C$4,"Put","Call"),O33+$C$14,$C$4,$C$10*SQRT($C$7),,$C$11)-
2*_xll.qlBlackFormula(IF(O33&lt;$C$4,"Put","Call"),O33,$C$4,$C$10*SQRT($C$7),,$C$11)+
_xll.qlBlackFormula(IF(O33&lt;$C$4,"Put","Call"),O33-$C$14,$C$4,$C$10*SQRT($C$7),,$C$11))/$C$14^2,"")</f>
        <v/>
      </c>
      <c r="U33" s="43">
        <f>IFERROR((_xll.qlBachelierBlackFormula(IF(O33&lt;$C$4,"Put","Call"),O33+$C$14,$C$4,$C$12*SQRT($C$7))-
2*_xll.qlBachelierBlackFormula(IF(O33&lt;$C$4,"Put","Call"),O33,$C$4,$C$12*SQRT($C$7))+
_xll.qlBachelierBlackFormula(IF(O33&lt;$C$4,"Put","Call"),O33-$C$14,$C$4,$C$12*SQRT($C$7)))/$C$14^2,"")</f>
        <v>6.4983359108867975E-2</v>
      </c>
      <c r="V33" s="61" t="str">
        <f>IFERROR(_xll.qlBachelierBlackFormulaImpliedVol(IF(O33&lt;$C$4,"Put","Call"),O33,$C$4,$C$7,P33),"")</f>
        <v/>
      </c>
      <c r="W33" s="61" t="str">
        <f>IFERROR(_xll.qlBachelierBlackFormulaImpliedVol(IF(O33&lt;$C$4,"Put","Call"),O33,$C$4,$C$7,Q33),"")</f>
        <v/>
      </c>
      <c r="X33" s="61">
        <f>IFERROR(_xll.qlBachelierBlackFormulaImpliedVol(IF(O33&lt;$C$4,"Put","Call"),O33,$C$4,$C$7,R33),"")</f>
        <v>3.1332853447072445E-3</v>
      </c>
      <c r="Y33" s="42"/>
    </row>
    <row r="34" spans="15:25">
      <c r="O34" s="37">
        <f t="shared" si="0"/>
        <v>-7.1000000000000108E-3</v>
      </c>
      <c r="P34" s="38" t="str">
        <f>IFERROR(_xll.qlBlackFormula(IF(O34&lt;$C$4,"Put","Call"),O34,$C$4,$C$9*SQRT($C$7)),"")</f>
        <v/>
      </c>
      <c r="Q34" s="39" t="str">
        <f>IFERROR(_xll.qlBlackFormula(IF(O34&lt;$C$4,"Put","Call"),O34,$C$4,$C$10*SQRT($C$7),,$C$11),"")</f>
        <v/>
      </c>
      <c r="R34" s="40">
        <f>IFERROR(_xll.qlBachelierBlackFormula(IF(O34&lt;$C$4,"Put","Call"),O34,$C$4,$C$12*SQRT($C$7)),"")</f>
        <v>4.0957013493559674E-8</v>
      </c>
      <c r="S34" s="41" t="str">
        <f>IFERROR((_xll.qlBlackFormula(IF(O34&lt;$C$4,"Put","Call"),O34+$C$14,$C$4,$C$9*SQRT($C$7))-
2*_xll.qlBlackFormula(IF(O34&lt;$C$4,"Put","Call"),O34,$C$4,$C$9*SQRT($C$7))+
_xll.qlBlackFormula(IF(O34&lt;$C$4,"Put","Call"),O34-$C$14,$C$4,$C$9*SQRT($C$7)))/$C$14^2,"")</f>
        <v/>
      </c>
      <c r="T34" s="42" t="str">
        <f>IFERROR((_xll.qlBlackFormula(IF(O34&lt;$C$4,"Put","Call"),O34+$C$14,$C$4,$C$10*SQRT($C$7),,$C$11)-
2*_xll.qlBlackFormula(IF(O34&lt;$C$4,"Put","Call"),O34,$C$4,$C$10*SQRT($C$7),,$C$11)+
_xll.qlBlackFormula(IF(O34&lt;$C$4,"Put","Call"),O34-$C$14,$C$4,$C$10*SQRT($C$7),,$C$11))/$C$14^2,"")</f>
        <v/>
      </c>
      <c r="U34" s="43">
        <f>IFERROR((_xll.qlBachelierBlackFormula(IF(O34&lt;$C$4,"Put","Call"),O34+$C$14,$C$4,$C$12*SQRT($C$7))-
2*_xll.qlBachelierBlackFormula(IF(O34&lt;$C$4,"Put","Call"),O34,$C$4,$C$12*SQRT($C$7))+
_xll.qlBachelierBlackFormula(IF(O34&lt;$C$4,"Put","Call"),O34-$C$14,$C$4,$C$12*SQRT($C$7)))/$C$14^2,"")</f>
        <v>7.3544632391375306E-2</v>
      </c>
      <c r="V34" s="61" t="str">
        <f>IFERROR(_xll.qlBachelierBlackFormulaImpliedVol(IF(O34&lt;$C$4,"Put","Call"),O34,$C$4,$C$7,P34),"")</f>
        <v/>
      </c>
      <c r="W34" s="61" t="str">
        <f>IFERROR(_xll.qlBachelierBlackFormulaImpliedVol(IF(O34&lt;$C$4,"Put","Call"),O34,$C$4,$C$7,Q34),"")</f>
        <v/>
      </c>
      <c r="X34" s="61">
        <f>IFERROR(_xll.qlBachelierBlackFormulaImpliedVol(IF(O34&lt;$C$4,"Put","Call"),O34,$C$4,$C$7,R34),"")</f>
        <v>3.1332853444928847E-3</v>
      </c>
      <c r="Y34" s="42"/>
    </row>
    <row r="35" spans="15:25">
      <c r="O35" s="37">
        <f t="shared" si="0"/>
        <v>-7.0000000000000106E-3</v>
      </c>
      <c r="P35" s="38" t="str">
        <f>IFERROR(_xll.qlBlackFormula(IF(O35&lt;$C$4,"Put","Call"),O35,$C$4,$C$9*SQRT($C$7)),"")</f>
        <v/>
      </c>
      <c r="Q35" s="39" t="str">
        <f>IFERROR(_xll.qlBlackFormula(IF(O35&lt;$C$4,"Put","Call"),O35,$C$4,$C$10*SQRT($C$7),,$C$11),"")</f>
        <v/>
      </c>
      <c r="R35" s="40">
        <f>IFERROR(_xll.qlBachelierBlackFormula(IF(O35&lt;$C$4,"Put","Call"),O35,$C$4,$C$12*SQRT($C$7)),"")</f>
        <v>4.6968913377520921E-8</v>
      </c>
      <c r="S35" s="41" t="str">
        <f>IFERROR((_xll.qlBlackFormula(IF(O35&lt;$C$4,"Put","Call"),O35+$C$14,$C$4,$C$9*SQRT($C$7))-
2*_xll.qlBlackFormula(IF(O35&lt;$C$4,"Put","Call"),O35,$C$4,$C$9*SQRT($C$7))+
_xll.qlBlackFormula(IF(O35&lt;$C$4,"Put","Call"),O35-$C$14,$C$4,$C$9*SQRT($C$7)))/$C$14^2,"")</f>
        <v/>
      </c>
      <c r="T35" s="42" t="str">
        <f>IFERROR((_xll.qlBlackFormula(IF(O35&lt;$C$4,"Put","Call"),O35+$C$14,$C$4,$C$10*SQRT($C$7),,$C$11)-
2*_xll.qlBlackFormula(IF(O35&lt;$C$4,"Put","Call"),O35,$C$4,$C$10*SQRT($C$7),,$C$11)+
_xll.qlBlackFormula(IF(O35&lt;$C$4,"Put","Call"),O35-$C$14,$C$4,$C$10*SQRT($C$7),,$C$11))/$C$14^2,"")</f>
        <v/>
      </c>
      <c r="U35" s="43">
        <f>IFERROR((_xll.qlBachelierBlackFormula(IF(O35&lt;$C$4,"Put","Call"),O35+$C$14,$C$4,$C$12*SQRT($C$7))-
2*_xll.qlBachelierBlackFormula(IF(O35&lt;$C$4,"Put","Call"),O35,$C$4,$C$12*SQRT($C$7))+
_xll.qlBachelierBlackFormula(IF(O35&lt;$C$4,"Put","Call"),O35-$C$14,$C$4,$C$12*SQRT($C$7)))/$C$14^2,"")</f>
        <v>8.3148358757068289E-2</v>
      </c>
      <c r="V35" s="61" t="str">
        <f>IFERROR(_xll.qlBachelierBlackFormulaImpliedVol(IF(O35&lt;$C$4,"Put","Call"),O35,$C$4,$C$7,P35),"")</f>
        <v/>
      </c>
      <c r="W35" s="61" t="str">
        <f>IFERROR(_xll.qlBachelierBlackFormulaImpliedVol(IF(O35&lt;$C$4,"Put","Call"),O35,$C$4,$C$7,Q35),"")</f>
        <v/>
      </c>
      <c r="X35" s="61">
        <f>IFERROR(_xll.qlBachelierBlackFormulaImpliedVol(IF(O35&lt;$C$4,"Put","Call"),O35,$C$4,$C$7,R35),"")</f>
        <v>3.133285344272914E-3</v>
      </c>
      <c r="Y35" s="42"/>
    </row>
    <row r="36" spans="15:25">
      <c r="O36" s="37">
        <f t="shared" si="0"/>
        <v>-6.9000000000000103E-3</v>
      </c>
      <c r="P36" s="38" t="str">
        <f>IFERROR(_xll.qlBlackFormula(IF(O36&lt;$C$4,"Put","Call"),O36,$C$4,$C$9*SQRT($C$7)),"")</f>
        <v/>
      </c>
      <c r="Q36" s="39" t="str">
        <f>IFERROR(_xll.qlBlackFormula(IF(O36&lt;$C$4,"Put","Call"),O36,$C$4,$C$10*SQRT($C$7),,$C$11),"")</f>
        <v/>
      </c>
      <c r="R36" s="40">
        <f>IFERROR(_xll.qlBachelierBlackFormula(IF(O36&lt;$C$4,"Put","Call"),O36,$C$4,$C$12*SQRT($C$7)),"")</f>
        <v>5.3813264884247722E-8</v>
      </c>
      <c r="S36" s="41" t="str">
        <f>IFERROR((_xll.qlBlackFormula(IF(O36&lt;$C$4,"Put","Call"),O36+$C$14,$C$4,$C$9*SQRT($C$7))-
2*_xll.qlBlackFormula(IF(O36&lt;$C$4,"Put","Call"),O36,$C$4,$C$9*SQRT($C$7))+
_xll.qlBlackFormula(IF(O36&lt;$C$4,"Put","Call"),O36-$C$14,$C$4,$C$9*SQRT($C$7)))/$C$14^2,"")</f>
        <v/>
      </c>
      <c r="T36" s="42" t="str">
        <f>IFERROR((_xll.qlBlackFormula(IF(O36&lt;$C$4,"Put","Call"),O36+$C$14,$C$4,$C$10*SQRT($C$7),,$C$11)-
2*_xll.qlBlackFormula(IF(O36&lt;$C$4,"Put","Call"),O36,$C$4,$C$10*SQRT($C$7),,$C$11)+
_xll.qlBlackFormula(IF(O36&lt;$C$4,"Put","Call"),O36-$C$14,$C$4,$C$10*SQRT($C$7),,$C$11))/$C$14^2,"")</f>
        <v/>
      </c>
      <c r="U36" s="43">
        <f>IFERROR((_xll.qlBachelierBlackFormula(IF(O36&lt;$C$4,"Put","Call"),O36+$C$14,$C$4,$C$12*SQRT($C$7))-
2*_xll.qlBachelierBlackFormula(IF(O36&lt;$C$4,"Put","Call"),O36,$C$4,$C$12*SQRT($C$7))+
_xll.qlBachelierBlackFormula(IF(O36&lt;$C$4,"Put","Call"),O36-$C$14,$C$4,$C$12*SQRT($C$7)))/$C$14^2,"")</f>
        <v>9.3910868863889857E-2</v>
      </c>
      <c r="V36" s="61" t="str">
        <f>IFERROR(_xll.qlBachelierBlackFormulaImpliedVol(IF(O36&lt;$C$4,"Put","Call"),O36,$C$4,$C$7,P36),"")</f>
        <v/>
      </c>
      <c r="W36" s="61" t="str">
        <f>IFERROR(_xll.qlBachelierBlackFormulaImpliedVol(IF(O36&lt;$C$4,"Put","Call"),O36,$C$4,$C$7,Q36),"")</f>
        <v/>
      </c>
      <c r="X36" s="61">
        <f>IFERROR(_xll.qlBachelierBlackFormulaImpliedVol(IF(O36&lt;$C$4,"Put","Call"),O36,$C$4,$C$7,R36),"")</f>
        <v>3.1332853440432583E-3</v>
      </c>
      <c r="Y36" s="42"/>
    </row>
    <row r="37" spans="15:25">
      <c r="O37" s="37">
        <f t="shared" si="0"/>
        <v>-6.80000000000001E-3</v>
      </c>
      <c r="P37" s="38" t="str">
        <f>IFERROR(_xll.qlBlackFormula(IF(O37&lt;$C$4,"Put","Call"),O37,$C$4,$C$9*SQRT($C$7)),"")</f>
        <v/>
      </c>
      <c r="Q37" s="39" t="str">
        <f>IFERROR(_xll.qlBlackFormula(IF(O37&lt;$C$4,"Put","Call"),O37,$C$4,$C$10*SQRT($C$7),,$C$11),"")</f>
        <v/>
      </c>
      <c r="R37" s="40">
        <f>IFERROR(_xll.qlBachelierBlackFormula(IF(O37&lt;$C$4,"Put","Call"),O37,$C$4,$C$12*SQRT($C$7)),"")</f>
        <v>6.1597800910323708E-8</v>
      </c>
      <c r="S37" s="41" t="str">
        <f>IFERROR((_xll.qlBlackFormula(IF(O37&lt;$C$4,"Put","Call"),O37+$C$14,$C$4,$C$9*SQRT($C$7))-
2*_xll.qlBlackFormula(IF(O37&lt;$C$4,"Put","Call"),O37,$C$4,$C$9*SQRT($C$7))+
_xll.qlBlackFormula(IF(O37&lt;$C$4,"Put","Call"),O37-$C$14,$C$4,$C$9*SQRT($C$7)))/$C$14^2,"")</f>
        <v/>
      </c>
      <c r="T37" s="42" t="str">
        <f>IFERROR((_xll.qlBlackFormula(IF(O37&lt;$C$4,"Put","Call"),O37+$C$14,$C$4,$C$10*SQRT($C$7),,$C$11)-
2*_xll.qlBlackFormula(IF(O37&lt;$C$4,"Put","Call"),O37,$C$4,$C$10*SQRT($C$7),,$C$11)+
_xll.qlBlackFormula(IF(O37&lt;$C$4,"Put","Call"),O37-$C$14,$C$4,$C$10*SQRT($C$7),,$C$11))/$C$14^2,"")</f>
        <v/>
      </c>
      <c r="U37" s="43">
        <f>IFERROR((_xll.qlBachelierBlackFormula(IF(O37&lt;$C$4,"Put","Call"),O37+$C$14,$C$4,$C$12*SQRT($C$7))-
2*_xll.qlBachelierBlackFormula(IF(O37&lt;$C$4,"Put","Call"),O37,$C$4,$C$12*SQRT($C$7))+
_xll.qlBachelierBlackFormula(IF(O37&lt;$C$4,"Put","Call"),O37-$C$14,$C$4,$C$12*SQRT($C$7)))/$C$14^2,"")</f>
        <v>0.10595941543612136</v>
      </c>
      <c r="V37" s="61" t="str">
        <f>IFERROR(_xll.qlBachelierBlackFormulaImpliedVol(IF(O37&lt;$C$4,"Put","Call"),O37,$C$4,$C$7,P37),"")</f>
        <v/>
      </c>
      <c r="W37" s="61" t="str">
        <f>IFERROR(_xll.qlBachelierBlackFormulaImpliedVol(IF(O37&lt;$C$4,"Put","Call"),O37,$C$4,$C$7,Q37),"")</f>
        <v/>
      </c>
      <c r="X37" s="61">
        <f>IFERROR(_xll.qlBachelierBlackFormulaImpliedVol(IF(O37&lt;$C$4,"Put","Call"),O37,$C$4,$C$7,R37),"")</f>
        <v>3.1332853438111787E-3</v>
      </c>
      <c r="Y37" s="42"/>
    </row>
    <row r="38" spans="15:25">
      <c r="O38" s="37">
        <f t="shared" si="0"/>
        <v>-6.7000000000000098E-3</v>
      </c>
      <c r="P38" s="38" t="str">
        <f>IFERROR(_xll.qlBlackFormula(IF(O38&lt;$C$4,"Put","Call"),O38,$C$4,$C$9*SQRT($C$7)),"")</f>
        <v/>
      </c>
      <c r="Q38" s="39" t="str">
        <f>IFERROR(_xll.qlBlackFormula(IF(O38&lt;$C$4,"Put","Call"),O38,$C$4,$C$10*SQRT($C$7),,$C$11),"")</f>
        <v/>
      </c>
      <c r="R38" s="40">
        <f>IFERROR(_xll.qlBachelierBlackFormula(IF(O38&lt;$C$4,"Put","Call"),O38,$C$4,$C$12*SQRT($C$7)),"")</f>
        <v>7.0443115890655367E-8</v>
      </c>
      <c r="S38" s="41" t="str">
        <f>IFERROR((_xll.qlBlackFormula(IF(O38&lt;$C$4,"Put","Call"),O38+$C$14,$C$4,$C$9*SQRT($C$7))-
2*_xll.qlBlackFormula(IF(O38&lt;$C$4,"Put","Call"),O38,$C$4,$C$9*SQRT($C$7))+
_xll.qlBlackFormula(IF(O38&lt;$C$4,"Put","Call"),O38-$C$14,$C$4,$C$9*SQRT($C$7)))/$C$14^2,"")</f>
        <v/>
      </c>
      <c r="T38" s="42" t="str">
        <f>IFERROR((_xll.qlBlackFormula(IF(O38&lt;$C$4,"Put","Call"),O38+$C$14,$C$4,$C$10*SQRT($C$7),,$C$11)-
2*_xll.qlBlackFormula(IF(O38&lt;$C$4,"Put","Call"),O38,$C$4,$C$10*SQRT($C$7),,$C$11)+
_xll.qlBlackFormula(IF(O38&lt;$C$4,"Put","Call"),O38-$C$14,$C$4,$C$10*SQRT($C$7),,$C$11))/$C$14^2,"")</f>
        <v/>
      </c>
      <c r="U38" s="43">
        <f>IFERROR((_xll.qlBachelierBlackFormula(IF(O38&lt;$C$4,"Put","Call"),O38+$C$14,$C$4,$C$12*SQRT($C$7))-
2*_xll.qlBachelierBlackFormula(IF(O38&lt;$C$4,"Put","Call"),O38,$C$4,$C$12*SQRT($C$7))+
_xll.qlBachelierBlackFormula(IF(O38&lt;$C$4,"Put","Call"),O38-$C$14,$C$4,$C$12*SQRT($C$7)))/$C$14^2,"")</f>
        <v>0.11943059418321057</v>
      </c>
      <c r="V38" s="61" t="str">
        <f>IFERROR(_xll.qlBachelierBlackFormulaImpliedVol(IF(O38&lt;$C$4,"Put","Call"),O38,$C$4,$C$7,P38),"")</f>
        <v/>
      </c>
      <c r="W38" s="61" t="str">
        <f>IFERROR(_xll.qlBachelierBlackFormulaImpliedVol(IF(O38&lt;$C$4,"Put","Call"),O38,$C$4,$C$7,Q38),"")</f>
        <v/>
      </c>
      <c r="X38" s="61">
        <f>IFERROR(_xll.qlBachelierBlackFormulaImpliedVol(IF(O38&lt;$C$4,"Put","Call"),O38,$C$4,$C$7,R38),"")</f>
        <v>3.1332853435878855E-3</v>
      </c>
      <c r="Y38" s="42"/>
    </row>
    <row r="39" spans="15:25">
      <c r="O39" s="37">
        <f t="shared" si="0"/>
        <v>-6.6000000000000095E-3</v>
      </c>
      <c r="P39" s="38" t="str">
        <f>IFERROR(_xll.qlBlackFormula(IF(O39&lt;$C$4,"Put","Call"),O39,$C$4,$C$9*SQRT($C$7)),"")</f>
        <v/>
      </c>
      <c r="Q39" s="39" t="str">
        <f>IFERROR(_xll.qlBlackFormula(IF(O39&lt;$C$4,"Put","Call"),O39,$C$4,$C$10*SQRT($C$7),,$C$11),"")</f>
        <v/>
      </c>
      <c r="R39" s="40">
        <f>IFERROR(_xll.qlBachelierBlackFormula(IF(O39&lt;$C$4,"Put","Call"),O39,$C$4,$C$12*SQRT($C$7)),"")</f>
        <v>8.0484054249792854E-8</v>
      </c>
      <c r="S39" s="41" t="str">
        <f>IFERROR((_xll.qlBlackFormula(IF(O39&lt;$C$4,"Put","Call"),O39+$C$14,$C$4,$C$9*SQRT($C$7))-
2*_xll.qlBlackFormula(IF(O39&lt;$C$4,"Put","Call"),O39,$C$4,$C$9*SQRT($C$7))+
_xll.qlBlackFormula(IF(O39&lt;$C$4,"Put","Call"),O39-$C$14,$C$4,$C$9*SQRT($C$7)))/$C$14^2,"")</f>
        <v/>
      </c>
      <c r="T39" s="42" t="str">
        <f>IFERROR((_xll.qlBlackFormula(IF(O39&lt;$C$4,"Put","Call"),O39+$C$14,$C$4,$C$10*SQRT($C$7),,$C$11)-
2*_xll.qlBlackFormula(IF(O39&lt;$C$4,"Put","Call"),O39,$C$4,$C$10*SQRT($C$7),,$C$11)+
_xll.qlBlackFormula(IF(O39&lt;$C$4,"Put","Call"),O39-$C$14,$C$4,$C$10*SQRT($C$7),,$C$11))/$C$14^2,"")</f>
        <v/>
      </c>
      <c r="U39" s="43">
        <f>IFERROR((_xll.qlBachelierBlackFormula(IF(O39&lt;$C$4,"Put","Call"),O39+$C$14,$C$4,$C$12*SQRT($C$7))-
2*_xll.qlBachelierBlackFormula(IF(O39&lt;$C$4,"Put","Call"),O39,$C$4,$C$12*SQRT($C$7))+
_xll.qlBachelierBlackFormula(IF(O39&lt;$C$4,"Put","Call"),O39-$C$14,$C$4,$C$12*SQRT($C$7)))/$C$14^2,"")</f>
        <v>0.13447927226818962</v>
      </c>
      <c r="V39" s="61" t="str">
        <f>IFERROR(_xll.qlBachelierBlackFormulaImpliedVol(IF(O39&lt;$C$4,"Put","Call"),O39,$C$4,$C$7,P39),"")</f>
        <v/>
      </c>
      <c r="W39" s="61" t="str">
        <f>IFERROR(_xll.qlBachelierBlackFormulaImpliedVol(IF(O39&lt;$C$4,"Put","Call"),O39,$C$4,$C$7,Q39),"")</f>
        <v/>
      </c>
      <c r="X39" s="61">
        <f>IFERROR(_xll.qlBachelierBlackFormulaImpliedVol(IF(O39&lt;$C$4,"Put","Call"),O39,$C$4,$C$7,R39),"")</f>
        <v>3.13328534336931E-3</v>
      </c>
      <c r="Y39" s="42"/>
    </row>
    <row r="40" spans="15:25">
      <c r="O40" s="37">
        <f t="shared" si="0"/>
        <v>-6.5000000000000092E-3</v>
      </c>
      <c r="P40" s="38" t="str">
        <f>IFERROR(_xll.qlBlackFormula(IF(O40&lt;$C$4,"Put","Call"),O40,$C$4,$C$9*SQRT($C$7)),"")</f>
        <v/>
      </c>
      <c r="Q40" s="39" t="str">
        <f>IFERROR(_xll.qlBlackFormula(IF(O40&lt;$C$4,"Put","Call"),O40,$C$4,$C$10*SQRT($C$7),,$C$11),"")</f>
        <v/>
      </c>
      <c r="R40" s="40">
        <f>IFERROR(_xll.qlBachelierBlackFormula(IF(O40&lt;$C$4,"Put","Call"),O40,$C$4,$C$12*SQRT($C$7)),"")</f>
        <v>9.1871229879079009E-8</v>
      </c>
      <c r="S40" s="41" t="str">
        <f>IFERROR((_xll.qlBlackFormula(IF(O40&lt;$C$4,"Put","Call"),O40+$C$14,$C$4,$C$9*SQRT($C$7))-
2*_xll.qlBlackFormula(IF(O40&lt;$C$4,"Put","Call"),O40,$C$4,$C$9*SQRT($C$7))+
_xll.qlBlackFormula(IF(O40&lt;$C$4,"Put","Call"),O40-$C$14,$C$4,$C$9*SQRT($C$7)))/$C$14^2,"")</f>
        <v/>
      </c>
      <c r="T40" s="42" t="str">
        <f>IFERROR((_xll.qlBlackFormula(IF(O40&lt;$C$4,"Put","Call"),O40+$C$14,$C$4,$C$10*SQRT($C$7),,$C$11)-
2*_xll.qlBlackFormula(IF(O40&lt;$C$4,"Put","Call"),O40,$C$4,$C$10*SQRT($C$7),,$C$11)+
_xll.qlBlackFormula(IF(O40&lt;$C$4,"Put","Call"),O40-$C$14,$C$4,$C$10*SQRT($C$7),,$C$11))/$C$14^2,"")</f>
        <v/>
      </c>
      <c r="U40" s="43">
        <f>IFERROR((_xll.qlBachelierBlackFormula(IF(O40&lt;$C$4,"Put","Call"),O40+$C$14,$C$4,$C$12*SQRT($C$7))-
2*_xll.qlBachelierBlackFormula(IF(O40&lt;$C$4,"Put","Call"),O40,$C$4,$C$12*SQRT($C$7))+
_xll.qlBachelierBlackFormula(IF(O40&lt;$C$4,"Put","Call"),O40-$C$14,$C$4,$C$12*SQRT($C$7)))/$C$14^2,"")</f>
        <v>0.15126866235208256</v>
      </c>
      <c r="V40" s="61" t="str">
        <f>IFERROR(_xll.qlBachelierBlackFormulaImpliedVol(IF(O40&lt;$C$4,"Put","Call"),O40,$C$4,$C$7,P40),"")</f>
        <v/>
      </c>
      <c r="W40" s="61" t="str">
        <f>IFERROR(_xll.qlBachelierBlackFormulaImpliedVol(IF(O40&lt;$C$4,"Put","Call"),O40,$C$4,$C$7,Q40),"")</f>
        <v/>
      </c>
      <c r="X40" s="61">
        <f>IFERROR(_xll.qlBachelierBlackFormulaImpliedVol(IF(O40&lt;$C$4,"Put","Call"),O40,$C$4,$C$7,R40),"")</f>
        <v>3.1332853431633163E-3</v>
      </c>
      <c r="Y40" s="42"/>
    </row>
    <row r="41" spans="15:25">
      <c r="O41" s="37">
        <f t="shared" si="0"/>
        <v>-6.400000000000009E-3</v>
      </c>
      <c r="P41" s="38" t="str">
        <f>IFERROR(_xll.qlBlackFormula(IF(O41&lt;$C$4,"Put","Call"),O41,$C$4,$C$9*SQRT($C$7)),"")</f>
        <v/>
      </c>
      <c r="Q41" s="39" t="str">
        <f>IFERROR(_xll.qlBlackFormula(IF(O41&lt;$C$4,"Put","Call"),O41,$C$4,$C$10*SQRT($C$7),,$C$11),"")</f>
        <v/>
      </c>
      <c r="R41" s="40">
        <f>IFERROR(_xll.qlBachelierBlackFormula(IF(O41&lt;$C$4,"Put","Call"),O41,$C$4,$C$12*SQRT($C$7)),"")</f>
        <v>1.0477268669447242E-7</v>
      </c>
      <c r="S41" s="41" t="str">
        <f>IFERROR((_xll.qlBlackFormula(IF(O41&lt;$C$4,"Put","Call"),O41+$C$14,$C$4,$C$9*SQRT($C$7))-
2*_xll.qlBlackFormula(IF(O41&lt;$C$4,"Put","Call"),O41,$C$4,$C$9*SQRT($C$7))+
_xll.qlBlackFormula(IF(O41&lt;$C$4,"Put","Call"),O41-$C$14,$C$4,$C$9*SQRT($C$7)))/$C$14^2,"")</f>
        <v/>
      </c>
      <c r="T41" s="42" t="str">
        <f>IFERROR((_xll.qlBlackFormula(IF(O41&lt;$C$4,"Put","Call"),O41+$C$14,$C$4,$C$10*SQRT($C$7),,$C$11)-
2*_xll.qlBlackFormula(IF(O41&lt;$C$4,"Put","Call"),O41,$C$4,$C$10*SQRT($C$7),,$C$11)+
_xll.qlBlackFormula(IF(O41&lt;$C$4,"Put","Call"),O41-$C$14,$C$4,$C$10*SQRT($C$7),,$C$11))/$C$14^2,"")</f>
        <v/>
      </c>
      <c r="U41" s="43">
        <f>IFERROR((_xll.qlBachelierBlackFormula(IF(O41&lt;$C$4,"Put","Call"),O41+$C$14,$C$4,$C$12*SQRT($C$7))-
2*_xll.qlBachelierBlackFormula(IF(O41&lt;$C$4,"Put","Call"),O41,$C$4,$C$12*SQRT($C$7))+
_xll.qlBachelierBlackFormula(IF(O41&lt;$C$4,"Put","Call"),O41-$C$14,$C$4,$C$12*SQRT($C$7)))/$C$14^2,"")</f>
        <v>0.16998066857196051</v>
      </c>
      <c r="V41" s="61" t="str">
        <f>IFERROR(_xll.qlBachelierBlackFormulaImpliedVol(IF(O41&lt;$C$4,"Put","Call"),O41,$C$4,$C$7,P41),"")</f>
        <v/>
      </c>
      <c r="W41" s="61" t="str">
        <f>IFERROR(_xll.qlBachelierBlackFormulaImpliedVol(IF(O41&lt;$C$4,"Put","Call"),O41,$C$4,$C$7,Q41),"")</f>
        <v/>
      </c>
      <c r="X41" s="61">
        <f>IFERROR(_xll.qlBachelierBlackFormulaImpliedVol(IF(O41&lt;$C$4,"Put","Call"),O41,$C$4,$C$7,R41),"")</f>
        <v>3.1332853429741213E-3</v>
      </c>
      <c r="Y41" s="42"/>
    </row>
    <row r="42" spans="15:25">
      <c r="O42" s="37">
        <f t="shared" si="0"/>
        <v>-6.3000000000000087E-3</v>
      </c>
      <c r="P42" s="38" t="str">
        <f>IFERROR(_xll.qlBlackFormula(IF(O42&lt;$C$4,"Put","Call"),O42,$C$4,$C$9*SQRT($C$7)),"")</f>
        <v/>
      </c>
      <c r="Q42" s="39" t="str">
        <f>IFERROR(_xll.qlBlackFormula(IF(O42&lt;$C$4,"Put","Call"),O42,$C$4,$C$10*SQRT($C$7),,$C$11),"")</f>
        <v/>
      </c>
      <c r="R42" s="40">
        <f>IFERROR(_xll.qlBachelierBlackFormula(IF(O42&lt;$C$4,"Put","Call"),O42,$C$4,$C$12*SQRT($C$7)),"")</f>
        <v>1.1937571088512873E-7</v>
      </c>
      <c r="S42" s="41" t="str">
        <f>IFERROR((_xll.qlBlackFormula(IF(O42&lt;$C$4,"Put","Call"),O42+$C$14,$C$4,$C$9*SQRT($C$7))-
2*_xll.qlBlackFormula(IF(O42&lt;$C$4,"Put","Call"),O42,$C$4,$C$9*SQRT($C$7))+
_xll.qlBlackFormula(IF(O42&lt;$C$4,"Put","Call"),O42-$C$14,$C$4,$C$9*SQRT($C$7)))/$C$14^2,"")</f>
        <v/>
      </c>
      <c r="T42" s="42" t="str">
        <f>IFERROR((_xll.qlBlackFormula(IF(O42&lt;$C$4,"Put","Call"),O42+$C$14,$C$4,$C$10*SQRT($C$7),,$C$11)-
2*_xll.qlBlackFormula(IF(O42&lt;$C$4,"Put","Call"),O42,$C$4,$C$10*SQRT($C$7),,$C$11)+
_xll.qlBlackFormula(IF(O42&lt;$C$4,"Put","Call"),O42-$C$14,$C$4,$C$10*SQRT($C$7),,$C$11))/$C$14^2,"")</f>
        <v/>
      </c>
      <c r="U42" s="43">
        <f>IFERROR((_xll.qlBachelierBlackFormula(IF(O42&lt;$C$4,"Put","Call"),O42+$C$14,$C$4,$C$12*SQRT($C$7))-
2*_xll.qlBachelierBlackFormula(IF(O42&lt;$C$4,"Put","Call"),O42,$C$4,$C$12*SQRT($C$7))+
_xll.qlBachelierBlackFormula(IF(O42&lt;$C$4,"Put","Call"),O42-$C$14,$C$4,$C$12*SQRT($C$7)))/$C$14^2,"")</f>
        <v>0.19081248633893316</v>
      </c>
      <c r="V42" s="61" t="str">
        <f>IFERROR(_xll.qlBachelierBlackFormulaImpliedVol(IF(O42&lt;$C$4,"Put","Call"),O42,$C$4,$C$7,P42),"")</f>
        <v/>
      </c>
      <c r="W42" s="61" t="str">
        <f>IFERROR(_xll.qlBachelierBlackFormulaImpliedVol(IF(O42&lt;$C$4,"Put","Call"),O42,$C$4,$C$7,Q42),"")</f>
        <v/>
      </c>
      <c r="X42" s="61">
        <f>IFERROR(_xll.qlBachelierBlackFormulaImpliedVol(IF(O42&lt;$C$4,"Put","Call"),O42,$C$4,$C$7,R42),"")</f>
        <v>3.1332853428075172E-3</v>
      </c>
      <c r="Y42" s="42"/>
    </row>
    <row r="43" spans="15:25">
      <c r="O43" s="37">
        <f t="shared" si="0"/>
        <v>-6.2000000000000085E-3</v>
      </c>
      <c r="P43" s="38" t="str">
        <f>IFERROR(_xll.qlBlackFormula(IF(O43&lt;$C$4,"Put","Call"),O43,$C$4,$C$9*SQRT($C$7)),"")</f>
        <v/>
      </c>
      <c r="Q43" s="39" t="str">
        <f>IFERROR(_xll.qlBlackFormula(IF(O43&lt;$C$4,"Put","Call"),O43,$C$4,$C$10*SQRT($C$7),,$C$11),"")</f>
        <v/>
      </c>
      <c r="R43" s="40">
        <f>IFERROR(_xll.qlBachelierBlackFormula(IF(O43&lt;$C$4,"Put","Call"),O43,$C$4,$C$12*SQRT($C$7)),"")</f>
        <v>1.3588880593749542E-7</v>
      </c>
      <c r="S43" s="41" t="str">
        <f>IFERROR((_xll.qlBlackFormula(IF(O43&lt;$C$4,"Put","Call"),O43+$C$14,$C$4,$C$9*SQRT($C$7))-
2*_xll.qlBlackFormula(IF(O43&lt;$C$4,"Put","Call"),O43,$C$4,$C$9*SQRT($C$7))+
_xll.qlBlackFormula(IF(O43&lt;$C$4,"Put","Call"),O43-$C$14,$C$4,$C$9*SQRT($C$7)))/$C$14^2,"")</f>
        <v/>
      </c>
      <c r="T43" s="42" t="str">
        <f>IFERROR((_xll.qlBlackFormula(IF(O43&lt;$C$4,"Put","Call"),O43+$C$14,$C$4,$C$10*SQRT($C$7),,$C$11)-
2*_xll.qlBlackFormula(IF(O43&lt;$C$4,"Put","Call"),O43,$C$4,$C$10*SQRT($C$7),,$C$11)+
_xll.qlBlackFormula(IF(O43&lt;$C$4,"Put","Call"),O43-$C$14,$C$4,$C$10*SQRT($C$7),,$C$11))/$C$14^2,"")</f>
        <v/>
      </c>
      <c r="U43" s="43">
        <f>IFERROR((_xll.qlBachelierBlackFormula(IF(O43&lt;$C$4,"Put","Call"),O43+$C$14,$C$4,$C$12*SQRT($C$7))-
2*_xll.qlBachelierBlackFormula(IF(O43&lt;$C$4,"Put","Call"),O43,$C$4,$C$12*SQRT($C$7))+
_xll.qlBachelierBlackFormula(IF(O43&lt;$C$4,"Put","Call"),O43-$C$14,$C$4,$C$12*SQRT($C$7)))/$C$14^2,"")</f>
        <v>0.21398026342630497</v>
      </c>
      <c r="V43" s="61" t="str">
        <f>IFERROR(_xll.qlBachelierBlackFormulaImpliedVol(IF(O43&lt;$C$4,"Put","Call"),O43,$C$4,$C$7,P43),"")</f>
        <v/>
      </c>
      <c r="W43" s="61" t="str">
        <f>IFERROR(_xll.qlBachelierBlackFormulaImpliedVol(IF(O43&lt;$C$4,"Put","Call"),O43,$C$4,$C$7,Q43),"")</f>
        <v/>
      </c>
      <c r="X43" s="61">
        <f>IFERROR(_xll.qlBachelierBlackFormulaImpliedVol(IF(O43&lt;$C$4,"Put","Call"),O43,$C$4,$C$7,R43),"")</f>
        <v>3.1332853426615658E-3</v>
      </c>
      <c r="Y43" s="42"/>
    </row>
    <row r="44" spans="15:25">
      <c r="O44" s="37">
        <f t="shared" si="0"/>
        <v>-6.1000000000000082E-3</v>
      </c>
      <c r="P44" s="38" t="str">
        <f>IFERROR(_xll.qlBlackFormula(IF(O44&lt;$C$4,"Put","Call"),O44,$C$4,$C$9*SQRT($C$7)),"")</f>
        <v/>
      </c>
      <c r="Q44" s="39" t="str">
        <f>IFERROR(_xll.qlBlackFormula(IF(O44&lt;$C$4,"Put","Call"),O44,$C$4,$C$10*SQRT($C$7),,$C$11),"")</f>
        <v/>
      </c>
      <c r="R44" s="40">
        <f>IFERROR(_xll.qlBachelierBlackFormula(IF(O44&lt;$C$4,"Put","Call"),O44,$C$4,$C$12*SQRT($C$7)),"")</f>
        <v>1.5454384204796151E-7</v>
      </c>
      <c r="S44" s="41" t="str">
        <f>IFERROR((_xll.qlBlackFormula(IF(O44&lt;$C$4,"Put","Call"),O44+$C$14,$C$4,$C$9*SQRT($C$7))-
2*_xll.qlBlackFormula(IF(O44&lt;$C$4,"Put","Call"),O44,$C$4,$C$9*SQRT($C$7))+
_xll.qlBlackFormula(IF(O44&lt;$C$4,"Put","Call"),O44-$C$14,$C$4,$C$9*SQRT($C$7)))/$C$14^2,"")</f>
        <v/>
      </c>
      <c r="T44" s="42" t="str">
        <f>IFERROR((_xll.qlBlackFormula(IF(O44&lt;$C$4,"Put","Call"),O44+$C$14,$C$4,$C$10*SQRT($C$7),,$C$11)-
2*_xll.qlBlackFormula(IF(O44&lt;$C$4,"Put","Call"),O44,$C$4,$C$10*SQRT($C$7),,$C$11)+
_xll.qlBlackFormula(IF(O44&lt;$C$4,"Put","Call"),O44-$C$14,$C$4,$C$10*SQRT($C$7),,$C$11))/$C$14^2,"")</f>
        <v/>
      </c>
      <c r="U44" s="43">
        <f>IFERROR((_xll.qlBachelierBlackFormula(IF(O44&lt;$C$4,"Put","Call"),O44+$C$14,$C$4,$C$12*SQRT($C$7))-
2*_xll.qlBachelierBlackFormula(IF(O44&lt;$C$4,"Put","Call"),O44,$C$4,$C$12*SQRT($C$7))+
_xll.qlBachelierBlackFormula(IF(O44&lt;$C$4,"Put","Call"),O44-$C$14,$C$4,$C$12*SQRT($C$7)))/$C$14^2,"")</f>
        <v>0.23971687968446229</v>
      </c>
      <c r="V44" s="61" t="str">
        <f>IFERROR(_xll.qlBachelierBlackFormulaImpliedVol(IF(O44&lt;$C$4,"Put","Call"),O44,$C$4,$C$7,P44),"")</f>
        <v/>
      </c>
      <c r="W44" s="61" t="str">
        <f>IFERROR(_xll.qlBachelierBlackFormulaImpliedVol(IF(O44&lt;$C$4,"Put","Call"),O44,$C$4,$C$7,Q44),"")</f>
        <v/>
      </c>
      <c r="X44" s="61">
        <f>IFERROR(_xll.qlBachelierBlackFormulaImpliedVol(IF(O44&lt;$C$4,"Put","Call"),O44,$C$4,$C$7,R44),"")</f>
        <v>3.1332853425405992E-3</v>
      </c>
      <c r="Y44" s="42"/>
    </row>
    <row r="45" spans="15:25">
      <c r="O45" s="37">
        <f t="shared" si="0"/>
        <v>-6.0000000000000079E-3</v>
      </c>
      <c r="P45" s="38" t="str">
        <f>IFERROR(_xll.qlBlackFormula(IF(O45&lt;$C$4,"Put","Call"),O45,$C$4,$C$9*SQRT($C$7)),"")</f>
        <v/>
      </c>
      <c r="Q45" s="39" t="str">
        <f>IFERROR(_xll.qlBlackFormula(IF(O45&lt;$C$4,"Put","Call"),O45,$C$4,$C$10*SQRT($C$7),,$C$11),"")</f>
        <v/>
      </c>
      <c r="R45" s="40">
        <f>IFERROR(_xll.qlBachelierBlackFormula(IF(O45&lt;$C$4,"Put","Call"),O45,$C$4,$C$12*SQRT($C$7)),"")</f>
        <v>1.7559839199124099E-7</v>
      </c>
      <c r="S45" s="41" t="str">
        <f>IFERROR((_xll.qlBlackFormula(IF(O45&lt;$C$4,"Put","Call"),O45+$C$14,$C$4,$C$9*SQRT($C$7))-
2*_xll.qlBlackFormula(IF(O45&lt;$C$4,"Put","Call"),O45,$C$4,$C$9*SQRT($C$7))+
_xll.qlBlackFormula(IF(O45&lt;$C$4,"Put","Call"),O45-$C$14,$C$4,$C$9*SQRT($C$7)))/$C$14^2,"")</f>
        <v/>
      </c>
      <c r="T45" s="42" t="str">
        <f>IFERROR((_xll.qlBlackFormula(IF(O45&lt;$C$4,"Put","Call"),O45+$C$14,$C$4,$C$10*SQRT($C$7),,$C$11)-
2*_xll.qlBlackFormula(IF(O45&lt;$C$4,"Put","Call"),O45,$C$4,$C$10*SQRT($C$7),,$C$11)+
_xll.qlBlackFormula(IF(O45&lt;$C$4,"Put","Call"),O45-$C$14,$C$4,$C$10*SQRT($C$7),,$C$11))/$C$14^2,"")</f>
        <v/>
      </c>
      <c r="U45" s="43">
        <f>IFERROR((_xll.qlBachelierBlackFormula(IF(O45&lt;$C$4,"Put","Call"),O45+$C$14,$C$4,$C$12*SQRT($C$7))-
2*_xll.qlBachelierBlackFormula(IF(O45&lt;$C$4,"Put","Call"),O45,$C$4,$C$12*SQRT($C$7))+
_xll.qlBachelierBlackFormula(IF(O45&lt;$C$4,"Put","Call"),O45-$C$14,$C$4,$C$12*SQRT($C$7)))/$C$14^2,"")</f>
        <v>0.2682740868578562</v>
      </c>
      <c r="V45" s="61" t="str">
        <f>IFERROR(_xll.qlBachelierBlackFormulaImpliedVol(IF(O45&lt;$C$4,"Put","Call"),O45,$C$4,$C$7,P45),"")</f>
        <v/>
      </c>
      <c r="W45" s="61" t="str">
        <f>IFERROR(_xll.qlBachelierBlackFormulaImpliedVol(IF(O45&lt;$C$4,"Put","Call"),O45,$C$4,$C$7,Q45),"")</f>
        <v/>
      </c>
      <c r="X45" s="61">
        <f>IFERROR(_xll.qlBachelierBlackFormulaImpliedVol(IF(O45&lt;$C$4,"Put","Call"),O45,$C$4,$C$7,R45),"")</f>
        <v>3.133285342444649E-3</v>
      </c>
      <c r="Y45" s="42"/>
    </row>
    <row r="46" spans="15:25">
      <c r="O46" s="37">
        <f t="shared" si="0"/>
        <v>-5.9000000000000077E-3</v>
      </c>
      <c r="P46" s="38" t="str">
        <f>IFERROR(_xll.qlBlackFormula(IF(O46&lt;$C$4,"Put","Call"),O46,$C$4,$C$9*SQRT($C$7)),"")</f>
        <v/>
      </c>
      <c r="Q46" s="39" t="str">
        <f>IFERROR(_xll.qlBlackFormula(IF(O46&lt;$C$4,"Put","Call"),O46,$C$4,$C$10*SQRT($C$7),,$C$11),"")</f>
        <v/>
      </c>
      <c r="R46" s="40">
        <f>IFERROR(_xll.qlBachelierBlackFormula(IF(O46&lt;$C$4,"Put","Call"),O46,$C$4,$C$12*SQRT($C$7)),"")</f>
        <v>1.9933826601573072E-7</v>
      </c>
      <c r="S46" s="41" t="str">
        <f>IFERROR((_xll.qlBlackFormula(IF(O46&lt;$C$4,"Put","Call"),O46+$C$14,$C$4,$C$9*SQRT($C$7))-
2*_xll.qlBlackFormula(IF(O46&lt;$C$4,"Put","Call"),O46,$C$4,$C$9*SQRT($C$7))+
_xll.qlBlackFormula(IF(O46&lt;$C$4,"Put","Call"),O46-$C$14,$C$4,$C$9*SQRT($C$7)))/$C$14^2,"")</f>
        <v/>
      </c>
      <c r="T46" s="42" t="str">
        <f>IFERROR((_xll.qlBlackFormula(IF(O46&lt;$C$4,"Put","Call"),O46+$C$14,$C$4,$C$10*SQRT($C$7),,$C$11)-
2*_xll.qlBlackFormula(IF(O46&lt;$C$4,"Put","Call"),O46,$C$4,$C$10*SQRT($C$7),,$C$11)+
_xll.qlBlackFormula(IF(O46&lt;$C$4,"Put","Call"),O46-$C$14,$C$4,$C$10*SQRT($C$7),,$C$11))/$C$14^2,"")</f>
        <v/>
      </c>
      <c r="U46" s="43">
        <f>IFERROR((_xll.qlBachelierBlackFormula(IF(O46&lt;$C$4,"Put","Call"),O46+$C$14,$C$4,$C$12*SQRT($C$7))-
2*_xll.qlBachelierBlackFormula(IF(O46&lt;$C$4,"Put","Call"),O46,$C$4,$C$12*SQRT($C$7))+
_xll.qlBachelierBlackFormula(IF(O46&lt;$C$4,"Put","Call"),O46-$C$14,$C$4,$C$12*SQRT($C$7)))/$C$14^2,"")</f>
        <v>0.29992913534726551</v>
      </c>
      <c r="V46" s="61" t="str">
        <f>IFERROR(_xll.qlBachelierBlackFormulaImpliedVol(IF(O46&lt;$C$4,"Put","Call"),O46,$C$4,$C$7,P46),"")</f>
        <v/>
      </c>
      <c r="W46" s="61" t="str">
        <f>IFERROR(_xll.qlBachelierBlackFormulaImpliedVol(IF(O46&lt;$C$4,"Put","Call"),O46,$C$4,$C$7,Q46),"")</f>
        <v/>
      </c>
      <c r="X46" s="61">
        <f>IFERROR(_xll.qlBachelierBlackFormulaImpliedVol(IF(O46&lt;$C$4,"Put","Call"),O46,$C$4,$C$7,R46),"")</f>
        <v>3.1332853423760793E-3</v>
      </c>
      <c r="Y46" s="42"/>
    </row>
    <row r="47" spans="15:25">
      <c r="O47" s="37">
        <f t="shared" si="0"/>
        <v>-5.8000000000000074E-3</v>
      </c>
      <c r="P47" s="38" t="str">
        <f>IFERROR(_xll.qlBlackFormula(IF(O47&lt;$C$4,"Put","Call"),O47,$C$4,$C$9*SQRT($C$7)),"")</f>
        <v/>
      </c>
      <c r="Q47" s="39" t="str">
        <f>IFERROR(_xll.qlBlackFormula(IF(O47&lt;$C$4,"Put","Call"),O47,$C$4,$C$10*SQRT($C$7),,$C$11),"")</f>
        <v/>
      </c>
      <c r="R47" s="40">
        <f>IFERROR(_xll.qlBachelierBlackFormula(IF(O47&lt;$C$4,"Put","Call"),O47,$C$4,$C$12*SQRT($C$7)),"")</f>
        <v>2.2608025875316603E-7</v>
      </c>
      <c r="S47" s="41" t="str">
        <f>IFERROR((_xll.qlBlackFormula(IF(O47&lt;$C$4,"Put","Call"),O47+$C$14,$C$4,$C$9*SQRT($C$7))-
2*_xll.qlBlackFormula(IF(O47&lt;$C$4,"Put","Call"),O47,$C$4,$C$9*SQRT($C$7))+
_xll.qlBlackFormula(IF(O47&lt;$C$4,"Put","Call"),O47-$C$14,$C$4,$C$9*SQRT($C$7)))/$C$14^2,"")</f>
        <v/>
      </c>
      <c r="T47" s="42" t="str">
        <f>IFERROR((_xll.qlBlackFormula(IF(O47&lt;$C$4,"Put","Call"),O47+$C$14,$C$4,$C$10*SQRT($C$7),,$C$11)-
2*_xll.qlBlackFormula(IF(O47&lt;$C$4,"Put","Call"),O47,$C$4,$C$10*SQRT($C$7),,$C$11)+
_xll.qlBlackFormula(IF(O47&lt;$C$4,"Put","Call"),O47-$C$14,$C$4,$C$10*SQRT($C$7),,$C$11))/$C$14^2,"")</f>
        <v/>
      </c>
      <c r="U47" s="43">
        <f>IFERROR((_xll.qlBachelierBlackFormula(IF(O47&lt;$C$4,"Put","Call"),O47+$C$14,$C$4,$C$12*SQRT($C$7))-
2*_xll.qlBachelierBlackFormula(IF(O47&lt;$C$4,"Put","Call"),O47,$C$4,$C$12*SQRT($C$7))+
_xll.qlBachelierBlackFormula(IF(O47&lt;$C$4,"Put","Call"),O47-$C$14,$C$4,$C$12*SQRT($C$7)))/$C$14^2,"")</f>
        <v>0.33497700691767041</v>
      </c>
      <c r="V47" s="61" t="str">
        <f>IFERROR(_xll.qlBachelierBlackFormulaImpliedVol(IF(O47&lt;$C$4,"Put","Call"),O47,$C$4,$C$7,P47),"")</f>
        <v/>
      </c>
      <c r="W47" s="61" t="str">
        <f>IFERROR(_xll.qlBachelierBlackFormulaImpliedVol(IF(O47&lt;$C$4,"Put","Call"),O47,$C$4,$C$7,Q47),"")</f>
        <v/>
      </c>
      <c r="X47" s="61">
        <f>IFERROR(_xll.qlBachelierBlackFormulaImpliedVol(IF(O47&lt;$C$4,"Put","Call"),O47,$C$4,$C$7,R47),"")</f>
        <v>3.1332853423349043E-3</v>
      </c>
      <c r="Y47" s="42"/>
    </row>
    <row r="48" spans="15:25">
      <c r="O48" s="37">
        <f t="shared" si="0"/>
        <v>-5.7000000000000071E-3</v>
      </c>
      <c r="P48" s="38" t="str">
        <f>IFERROR(_xll.qlBlackFormula(IF(O48&lt;$C$4,"Put","Call"),O48,$C$4,$C$9*SQRT($C$7)),"")</f>
        <v/>
      </c>
      <c r="Q48" s="39" t="str">
        <f>IFERROR(_xll.qlBlackFormula(IF(O48&lt;$C$4,"Put","Call"),O48,$C$4,$C$10*SQRT($C$7),,$C$11),"")</f>
        <v/>
      </c>
      <c r="R48" s="40">
        <f>IFERROR(_xll.qlBachelierBlackFormula(IF(O48&lt;$C$4,"Put","Call"),O48,$C$4,$C$12*SQRT($C$7)),"")</f>
        <v>2.561751215497545E-7</v>
      </c>
      <c r="S48" s="41" t="str">
        <f>IFERROR((_xll.qlBlackFormula(IF(O48&lt;$C$4,"Put","Call"),O48+$C$14,$C$4,$C$9*SQRT($C$7))-
2*_xll.qlBlackFormula(IF(O48&lt;$C$4,"Put","Call"),O48,$C$4,$C$9*SQRT($C$7))+
_xll.qlBlackFormula(IF(O48&lt;$C$4,"Put","Call"),O48-$C$14,$C$4,$C$9*SQRT($C$7)))/$C$14^2,"")</f>
        <v/>
      </c>
      <c r="T48" s="42" t="str">
        <f>IFERROR((_xll.qlBlackFormula(IF(O48&lt;$C$4,"Put","Call"),O48+$C$14,$C$4,$C$10*SQRT($C$7),,$C$11)-
2*_xll.qlBlackFormula(IF(O48&lt;$C$4,"Put","Call"),O48,$C$4,$C$10*SQRT($C$7),,$C$11)+
_xll.qlBlackFormula(IF(O48&lt;$C$4,"Put","Call"),O48-$C$14,$C$4,$C$10*SQRT($C$7),,$C$11))/$C$14^2,"")</f>
        <v/>
      </c>
      <c r="U48" s="43">
        <f>IFERROR((_xll.qlBachelierBlackFormula(IF(O48&lt;$C$4,"Put","Call"),O48+$C$14,$C$4,$C$12*SQRT($C$7))-
2*_xll.qlBachelierBlackFormula(IF(O48&lt;$C$4,"Put","Call"),O48,$C$4,$C$12*SQRT($C$7))+
_xll.qlBachelierBlackFormula(IF(O48&lt;$C$4,"Put","Call"),O48-$C$14,$C$4,$C$12*SQRT($C$7)))/$C$14^2,"")</f>
        <v>0.37374115126437529</v>
      </c>
      <c r="V48" s="61" t="str">
        <f>IFERROR(_xll.qlBachelierBlackFormulaImpliedVol(IF(O48&lt;$C$4,"Put","Call"),O48,$C$4,$C$7,P48),"")</f>
        <v/>
      </c>
      <c r="W48" s="61" t="str">
        <f>IFERROR(_xll.qlBachelierBlackFormulaImpliedVol(IF(O48&lt;$C$4,"Put","Call"),O48,$C$4,$C$7,Q48),"")</f>
        <v/>
      </c>
      <c r="X48" s="61">
        <f>IFERROR(_xll.qlBachelierBlackFormulaImpliedVol(IF(O48&lt;$C$4,"Put","Call"),O48,$C$4,$C$7,R48),"")</f>
        <v>3.1332853423187671E-3</v>
      </c>
      <c r="Y48" s="42"/>
    </row>
    <row r="49" spans="15:25">
      <c r="O49" s="37">
        <f t="shared" si="0"/>
        <v>-5.6000000000000069E-3</v>
      </c>
      <c r="P49" s="38" t="str">
        <f>IFERROR(_xll.qlBlackFormula(IF(O49&lt;$C$4,"Put","Call"),O49,$C$4,$C$9*SQRT($C$7)),"")</f>
        <v/>
      </c>
      <c r="Q49" s="39" t="str">
        <f>IFERROR(_xll.qlBlackFormula(IF(O49&lt;$C$4,"Put","Call"),O49,$C$4,$C$10*SQRT($C$7),,$C$11),"")</f>
        <v/>
      </c>
      <c r="R49" s="40">
        <f>IFERROR(_xll.qlBachelierBlackFormula(IF(O49&lt;$C$4,"Put","Call"),O49,$C$4,$C$12*SQRT($C$7)),"")</f>
        <v>2.9001077401781447E-7</v>
      </c>
      <c r="S49" s="41" t="str">
        <f>IFERROR((_xll.qlBlackFormula(IF(O49&lt;$C$4,"Put","Call"),O49+$C$14,$C$4,$C$9*SQRT($C$7))-
2*_xll.qlBlackFormula(IF(O49&lt;$C$4,"Put","Call"),O49,$C$4,$C$9*SQRT($C$7))+
_xll.qlBlackFormula(IF(O49&lt;$C$4,"Put","Call"),O49-$C$14,$C$4,$C$9*SQRT($C$7)))/$C$14^2,"")</f>
        <v/>
      </c>
      <c r="T49" s="42" t="str">
        <f>IFERROR((_xll.qlBlackFormula(IF(O49&lt;$C$4,"Put","Call"),O49+$C$14,$C$4,$C$10*SQRT($C$7),,$C$11)-
2*_xll.qlBlackFormula(IF(O49&lt;$C$4,"Put","Call"),O49,$C$4,$C$10*SQRT($C$7),,$C$11)+
_xll.qlBlackFormula(IF(O49&lt;$C$4,"Put","Call"),O49-$C$14,$C$4,$C$10*SQRT($C$7),,$C$11))/$C$14^2,"")</f>
        <v/>
      </c>
      <c r="U49" s="43">
        <f>IFERROR((_xll.qlBachelierBlackFormula(IF(O49&lt;$C$4,"Put","Call"),O49+$C$14,$C$4,$C$12*SQRT($C$7))-
2*_xll.qlBachelierBlackFormula(IF(O49&lt;$C$4,"Put","Call"),O49,$C$4,$C$12*SQRT($C$7))+
_xll.qlBachelierBlackFormula(IF(O49&lt;$C$4,"Put","Call"),O49-$C$14,$C$4,$C$12*SQRT($C$7)))/$C$14^2,"")</f>
        <v>0.4165649530030982</v>
      </c>
      <c r="V49" s="61" t="str">
        <f>IFERROR(_xll.qlBachelierBlackFormulaImpliedVol(IF(O49&lt;$C$4,"Put","Call"),O49,$C$4,$C$7,P49),"")</f>
        <v/>
      </c>
      <c r="W49" s="61" t="str">
        <f>IFERROR(_xll.qlBachelierBlackFormulaImpliedVol(IF(O49&lt;$C$4,"Put","Call"),O49,$C$4,$C$7,Q49),"")</f>
        <v/>
      </c>
      <c r="X49" s="61">
        <f>IFERROR(_xll.qlBachelierBlackFormulaImpliedVol(IF(O49&lt;$C$4,"Put","Call"),O49,$C$4,$C$7,R49),"")</f>
        <v>3.1332853423289139E-3</v>
      </c>
      <c r="Y49" s="42"/>
    </row>
    <row r="50" spans="15:25">
      <c r="O50" s="37">
        <f t="shared" si="0"/>
        <v>-5.5000000000000066E-3</v>
      </c>
      <c r="P50" s="38" t="str">
        <f>IFERROR(_xll.qlBlackFormula(IF(O50&lt;$C$4,"Put","Call"),O50,$C$4,$C$9*SQRT($C$7)),"")</f>
        <v/>
      </c>
      <c r="Q50" s="39" t="str">
        <f>IFERROR(_xll.qlBlackFormula(IF(O50&lt;$C$4,"Put","Call"),O50,$C$4,$C$10*SQRT($C$7),,$C$11),"")</f>
        <v/>
      </c>
      <c r="R50" s="40">
        <f>IFERROR(_xll.qlBachelierBlackFormula(IF(O50&lt;$C$4,"Put","Call"),O50,$C$4,$C$12*SQRT($C$7)),"")</f>
        <v>3.2801576890399644E-7</v>
      </c>
      <c r="S50" s="41" t="str">
        <f>IFERROR((_xll.qlBlackFormula(IF(O50&lt;$C$4,"Put","Call"),O50+$C$14,$C$4,$C$9*SQRT($C$7))-
2*_xll.qlBlackFormula(IF(O50&lt;$C$4,"Put","Call"),O50,$C$4,$C$9*SQRT($C$7))+
_xll.qlBlackFormula(IF(O50&lt;$C$4,"Put","Call"),O50-$C$14,$C$4,$C$9*SQRT($C$7)))/$C$14^2,"")</f>
        <v/>
      </c>
      <c r="T50" s="42" t="str">
        <f>IFERROR((_xll.qlBlackFormula(IF(O50&lt;$C$4,"Put","Call"),O50+$C$14,$C$4,$C$10*SQRT($C$7),,$C$11)-
2*_xll.qlBlackFormula(IF(O50&lt;$C$4,"Put","Call"),O50,$C$4,$C$10*SQRT($C$7),,$C$11)+
_xll.qlBlackFormula(IF(O50&lt;$C$4,"Put","Call"),O50-$C$14,$C$4,$C$10*SQRT($C$7),,$C$11))/$C$14^2,"")</f>
        <v/>
      </c>
      <c r="U50" s="43">
        <f>IFERROR((_xll.qlBachelierBlackFormula(IF(O50&lt;$C$4,"Put","Call"),O50+$C$14,$C$4,$C$12*SQRT($C$7))-
2*_xll.qlBachelierBlackFormula(IF(O50&lt;$C$4,"Put","Call"),O50,$C$4,$C$12*SQRT($C$7))+
_xll.qlBachelierBlackFormula(IF(O50&lt;$C$4,"Put","Call"),O50-$C$14,$C$4,$C$12*SQRT($C$7)))/$C$14^2,"")</f>
        <v>0.46382430756813875</v>
      </c>
      <c r="V50" s="61" t="str">
        <f>IFERROR(_xll.qlBachelierBlackFormulaImpliedVol(IF(O50&lt;$C$4,"Put","Call"),O50,$C$4,$C$7,P50),"")</f>
        <v/>
      </c>
      <c r="W50" s="61" t="str">
        <f>IFERROR(_xll.qlBachelierBlackFormulaImpliedVol(IF(O50&lt;$C$4,"Put","Call"),O50,$C$4,$C$7,Q50),"")</f>
        <v/>
      </c>
      <c r="X50" s="61">
        <f>IFERROR(_xll.qlBachelierBlackFormulaImpliedVol(IF(O50&lt;$C$4,"Put","Call"),O50,$C$4,$C$7,R50),"")</f>
        <v>3.133285342361858E-3</v>
      </c>
      <c r="Y50" s="42"/>
    </row>
    <row r="51" spans="15:25">
      <c r="O51" s="37">
        <f t="shared" si="0"/>
        <v>-5.4000000000000064E-3</v>
      </c>
      <c r="P51" s="38" t="str">
        <f>IFERROR(_xll.qlBlackFormula(IF(O51&lt;$C$4,"Put","Call"),O51,$C$4,$C$9*SQRT($C$7)),"")</f>
        <v/>
      </c>
      <c r="Q51" s="39" t="str">
        <f>IFERROR(_xll.qlBlackFormula(IF(O51&lt;$C$4,"Put","Call"),O51,$C$4,$C$10*SQRT($C$7),,$C$11),"")</f>
        <v/>
      </c>
      <c r="R51" s="40">
        <f>IFERROR(_xll.qlBachelierBlackFormula(IF(O51&lt;$C$4,"Put","Call"),O51,$C$4,$C$12*SQRT($C$7)),"")</f>
        <v>3.7066302468803747E-7</v>
      </c>
      <c r="S51" s="41" t="str">
        <f>IFERROR((_xll.qlBlackFormula(IF(O51&lt;$C$4,"Put","Call"),O51+$C$14,$C$4,$C$9*SQRT($C$7))-
2*_xll.qlBlackFormula(IF(O51&lt;$C$4,"Put","Call"),O51,$C$4,$C$9*SQRT($C$7))+
_xll.qlBlackFormula(IF(O51&lt;$C$4,"Put","Call"),O51-$C$14,$C$4,$C$9*SQRT($C$7)))/$C$14^2,"")</f>
        <v/>
      </c>
      <c r="T51" s="42" t="str">
        <f>IFERROR((_xll.qlBlackFormula(IF(O51&lt;$C$4,"Put","Call"),O51+$C$14,$C$4,$C$10*SQRT($C$7),,$C$11)-
2*_xll.qlBlackFormula(IF(O51&lt;$C$4,"Put","Call"),O51,$C$4,$C$10*SQRT($C$7),,$C$11)+
_xll.qlBlackFormula(IF(O51&lt;$C$4,"Put","Call"),O51-$C$14,$C$4,$C$10*SQRT($C$7),,$C$11))/$C$14^2,"")</f>
        <v/>
      </c>
      <c r="U51" s="43">
        <f>IFERROR((_xll.qlBachelierBlackFormula(IF(O51&lt;$C$4,"Put","Call"),O51+$C$14,$C$4,$C$12*SQRT($C$7))-
2*_xll.qlBachelierBlackFormula(IF(O51&lt;$C$4,"Put","Call"),O51,$C$4,$C$12*SQRT($C$7))+
_xll.qlBachelierBlackFormula(IF(O51&lt;$C$4,"Put","Call"),O51-$C$14,$C$4,$C$12*SQRT($C$7)))/$C$14^2,"")</f>
        <v>0.515917962072164</v>
      </c>
      <c r="V51" s="61" t="str">
        <f>IFERROR(_xll.qlBachelierBlackFormulaImpliedVol(IF(O51&lt;$C$4,"Put","Call"),O51,$C$4,$C$7,P51),"")</f>
        <v/>
      </c>
      <c r="W51" s="61" t="str">
        <f>IFERROR(_xll.qlBachelierBlackFormulaImpliedVol(IF(O51&lt;$C$4,"Put","Call"),O51,$C$4,$C$7,Q51),"")</f>
        <v/>
      </c>
      <c r="X51" s="61">
        <f>IFERROR(_xll.qlBachelierBlackFormulaImpliedVol(IF(O51&lt;$C$4,"Put","Call"),O51,$C$4,$C$7,R51),"")</f>
        <v>3.1332853424156084E-3</v>
      </c>
      <c r="Y51" s="42"/>
    </row>
    <row r="52" spans="15:25">
      <c r="O52" s="37">
        <f t="shared" si="0"/>
        <v>-5.3000000000000061E-3</v>
      </c>
      <c r="P52" s="38" t="str">
        <f>IFERROR(_xll.qlBlackFormula(IF(O52&lt;$C$4,"Put","Call"),O52,$C$4,$C$9*SQRT($C$7)),"")</f>
        <v/>
      </c>
      <c r="Q52" s="39" t="str">
        <f>IFERROR(_xll.qlBlackFormula(IF(O52&lt;$C$4,"Put","Call"),O52,$C$4,$C$10*SQRT($C$7),,$C$11),"")</f>
        <v/>
      </c>
      <c r="R52" s="40">
        <f>IFERROR(_xll.qlBachelierBlackFormula(IF(O52&lt;$C$4,"Put","Call"),O52,$C$4,$C$12*SQRT($C$7)),"")</f>
        <v>4.1847384050932797E-7</v>
      </c>
      <c r="S52" s="41" t="str">
        <f>IFERROR((_xll.qlBlackFormula(IF(O52&lt;$C$4,"Put","Call"),O52+$C$14,$C$4,$C$9*SQRT($C$7))-
2*_xll.qlBlackFormula(IF(O52&lt;$C$4,"Put","Call"),O52,$C$4,$C$9*SQRT($C$7))+
_xll.qlBlackFormula(IF(O52&lt;$C$4,"Put","Call"),O52-$C$14,$C$4,$C$9*SQRT($C$7)))/$C$14^2,"")</f>
        <v/>
      </c>
      <c r="T52" s="42" t="str">
        <f>IFERROR((_xll.qlBlackFormula(IF(O52&lt;$C$4,"Put","Call"),O52+$C$14,$C$4,$C$10*SQRT($C$7),,$C$11)-
2*_xll.qlBlackFormula(IF(O52&lt;$C$4,"Put","Call"),O52,$C$4,$C$10*SQRT($C$7),,$C$11)+
_xll.qlBlackFormula(IF(O52&lt;$C$4,"Put","Call"),O52-$C$14,$C$4,$C$10*SQRT($C$7),,$C$11))/$C$14^2,"")</f>
        <v/>
      </c>
      <c r="U52" s="43">
        <f>IFERROR((_xll.qlBachelierBlackFormula(IF(O52&lt;$C$4,"Put","Call"),O52+$C$14,$C$4,$C$12*SQRT($C$7))-
2*_xll.qlBachelierBlackFormula(IF(O52&lt;$C$4,"Put","Call"),O52,$C$4,$C$12*SQRT($C$7))+
_xll.qlBachelierBlackFormula(IF(O52&lt;$C$4,"Put","Call"),O52-$C$14,$C$4,$C$12*SQRT($C$7)))/$C$14^2,"")</f>
        <v>0.57327783470860483</v>
      </c>
      <c r="V52" s="61" t="str">
        <f>IFERROR(_xll.qlBachelierBlackFormulaImpliedVol(IF(O52&lt;$C$4,"Put","Call"),O52,$C$4,$C$7,P52),"")</f>
        <v/>
      </c>
      <c r="W52" s="61" t="str">
        <f>IFERROR(_xll.qlBachelierBlackFormulaImpliedVol(IF(O52&lt;$C$4,"Put","Call"),O52,$C$4,$C$7,Q52),"")</f>
        <v/>
      </c>
      <c r="X52" s="61">
        <f>IFERROR(_xll.qlBachelierBlackFormulaImpliedVol(IF(O52&lt;$C$4,"Put","Call"),O52,$C$4,$C$7,R52),"")</f>
        <v>3.1332853424887678E-3</v>
      </c>
      <c r="Y52" s="42"/>
    </row>
    <row r="53" spans="15:25">
      <c r="O53" s="37">
        <f t="shared" si="0"/>
        <v>-5.2000000000000058E-3</v>
      </c>
      <c r="P53" s="38" t="str">
        <f>IFERROR(_xll.qlBlackFormula(IF(O53&lt;$C$4,"Put","Call"),O53,$C$4,$C$9*SQRT($C$7)),"")</f>
        <v/>
      </c>
      <c r="Q53" s="39" t="str">
        <f>IFERROR(_xll.qlBlackFormula(IF(O53&lt;$C$4,"Put","Call"),O53,$C$4,$C$10*SQRT($C$7),,$C$11),"")</f>
        <v/>
      </c>
      <c r="R53" s="40">
        <f>IFERROR(_xll.qlBachelierBlackFormula(IF(O53&lt;$C$4,"Put","Call"),O53,$C$4,$C$12*SQRT($C$7)),"")</f>
        <v>4.7202220818682919E-7</v>
      </c>
      <c r="S53" s="41" t="str">
        <f>IFERROR((_xll.qlBlackFormula(IF(O53&lt;$C$4,"Put","Call"),O53+$C$14,$C$4,$C$9*SQRT($C$7))-
2*_xll.qlBlackFormula(IF(O53&lt;$C$4,"Put","Call"),O53,$C$4,$C$9*SQRT($C$7))+
_xll.qlBlackFormula(IF(O53&lt;$C$4,"Put","Call"),O53-$C$14,$C$4,$C$9*SQRT($C$7)))/$C$14^2,"")</f>
        <v/>
      </c>
      <c r="T53" s="42" t="str">
        <f>IFERROR((_xll.qlBlackFormula(IF(O53&lt;$C$4,"Put","Call"),O53+$C$14,$C$4,$C$10*SQRT($C$7),,$C$11)-
2*_xll.qlBlackFormula(IF(O53&lt;$C$4,"Put","Call"),O53,$C$4,$C$10*SQRT($C$7),,$C$11)+
_xll.qlBlackFormula(IF(O53&lt;$C$4,"Put","Call"),O53-$C$14,$C$4,$C$10*SQRT($C$7),,$C$11))/$C$14^2,"")</f>
        <v/>
      </c>
      <c r="U53" s="43">
        <f>IFERROR((_xll.qlBachelierBlackFormula(IF(O53&lt;$C$4,"Put","Call"),O53+$C$14,$C$4,$C$12*SQRT($C$7))-
2*_xll.qlBachelierBlackFormula(IF(O53&lt;$C$4,"Put","Call"),O53,$C$4,$C$12*SQRT($C$7))+
_xll.qlBachelierBlackFormula(IF(O53&lt;$C$4,"Put","Call"),O53-$C$14,$C$4,$C$12*SQRT($C$7)))/$C$14^2,"")</f>
        <v>0.63636719828950083</v>
      </c>
      <c r="V53" s="61" t="str">
        <f>IFERROR(_xll.qlBachelierBlackFormulaImpliedVol(IF(O53&lt;$C$4,"Put","Call"),O53,$C$4,$C$7,P53),"")</f>
        <v/>
      </c>
      <c r="W53" s="61" t="str">
        <f>IFERROR(_xll.qlBachelierBlackFormulaImpliedVol(IF(O53&lt;$C$4,"Put","Call"),O53,$C$4,$C$7,Q53),"")</f>
        <v/>
      </c>
      <c r="X53" s="61">
        <f>IFERROR(_xll.qlBachelierBlackFormulaImpliedVol(IF(O53&lt;$C$4,"Put","Call"),O53,$C$4,$C$7,R53),"")</f>
        <v>3.1332853425762052E-3</v>
      </c>
      <c r="Y53" s="42"/>
    </row>
    <row r="54" spans="15:25">
      <c r="O54" s="37">
        <f t="shared" si="0"/>
        <v>-5.1000000000000056E-3</v>
      </c>
      <c r="P54" s="38" t="str">
        <f>IFERROR(_xll.qlBlackFormula(IF(O54&lt;$C$4,"Put","Call"),O54,$C$4,$C$9*SQRT($C$7)),"")</f>
        <v/>
      </c>
      <c r="Q54" s="39" t="str">
        <f>IFERROR(_xll.qlBlackFormula(IF(O54&lt;$C$4,"Put","Call"),O54,$C$4,$C$10*SQRT($C$7),,$C$11),"")</f>
        <v/>
      </c>
      <c r="R54" s="40">
        <f>IFERROR(_xll.qlBachelierBlackFormula(IF(O54&lt;$C$4,"Put","Call"),O54,$C$4,$C$12*SQRT($C$7)),"")</f>
        <v>5.3193943616664468E-7</v>
      </c>
      <c r="S54" s="41" t="str">
        <f>IFERROR((_xll.qlBlackFormula(IF(O54&lt;$C$4,"Put","Call"),O54+$C$14,$C$4,$C$9*SQRT($C$7))-
2*_xll.qlBlackFormula(IF(O54&lt;$C$4,"Put","Call"),O54,$C$4,$C$9*SQRT($C$7))+
_xll.qlBlackFormula(IF(O54&lt;$C$4,"Put","Call"),O54-$C$14,$C$4,$C$9*SQRT($C$7)))/$C$14^2,"")</f>
        <v/>
      </c>
      <c r="T54" s="42" t="str">
        <f>IFERROR((_xll.qlBlackFormula(IF(O54&lt;$C$4,"Put","Call"),O54+$C$14,$C$4,$C$10*SQRT($C$7),,$C$11)-
2*_xll.qlBlackFormula(IF(O54&lt;$C$4,"Put","Call"),O54,$C$4,$C$10*SQRT($C$7),,$C$11)+
_xll.qlBlackFormula(IF(O54&lt;$C$4,"Put","Call"),O54-$C$14,$C$4,$C$10*SQRT($C$7),,$C$11))/$C$14^2,"")</f>
        <v/>
      </c>
      <c r="U54" s="43">
        <f>IFERROR((_xll.qlBachelierBlackFormula(IF(O54&lt;$C$4,"Put","Call"),O54+$C$14,$C$4,$C$12*SQRT($C$7))-
2*_xll.qlBachelierBlackFormula(IF(O54&lt;$C$4,"Put","Call"),O54,$C$4,$C$12*SQRT($C$7))+
_xll.qlBachelierBlackFormula(IF(O54&lt;$C$4,"Put","Call"),O54-$C$14,$C$4,$C$12*SQRT($C$7)))/$C$14^2,"")</f>
        <v>0.70568046848726307</v>
      </c>
      <c r="V54" s="61" t="str">
        <f>IFERROR(_xll.qlBachelierBlackFormulaImpliedVol(IF(O54&lt;$C$4,"Put","Call"),O54,$C$4,$C$7,P54),"")</f>
        <v/>
      </c>
      <c r="W54" s="61" t="str">
        <f>IFERROR(_xll.qlBachelierBlackFormulaImpliedVol(IF(O54&lt;$C$4,"Put","Call"),O54,$C$4,$C$7,Q54),"")</f>
        <v/>
      </c>
      <c r="X54" s="61">
        <f>IFERROR(_xll.qlBachelierBlackFormulaImpliedVol(IF(O54&lt;$C$4,"Put","Call"),O54,$C$4,$C$7,R54),"")</f>
        <v>3.1332853426752267E-3</v>
      </c>
      <c r="Y54" s="42"/>
    </row>
    <row r="55" spans="15:25">
      <c r="O55" s="37">
        <f t="shared" si="0"/>
        <v>-5.0000000000000053E-3</v>
      </c>
      <c r="P55" s="38" t="str">
        <f>IFERROR(_xll.qlBlackFormula(IF(O55&lt;$C$4,"Put","Call"),O55,$C$4,$C$9*SQRT($C$7)),"")</f>
        <v/>
      </c>
      <c r="Q55" s="39" t="str">
        <f>IFERROR(_xll.qlBlackFormula(IF(O55&lt;$C$4,"Put","Call"),O55,$C$4,$C$10*SQRT($C$7),,$C$11),"")</f>
        <v/>
      </c>
      <c r="R55" s="40">
        <f>IFERROR(_xll.qlBachelierBlackFormula(IF(O55&lt;$C$4,"Put","Call"),O55,$C$4,$C$12*SQRT($C$7)),"")</f>
        <v>5.9891910019763622E-7</v>
      </c>
      <c r="S55" s="41" t="str">
        <f>IFERROR((_xll.qlBlackFormula(IF(O55&lt;$C$4,"Put","Call"),O55+$C$14,$C$4,$C$9*SQRT($C$7))-
2*_xll.qlBlackFormula(IF(O55&lt;$C$4,"Put","Call"),O55,$C$4,$C$9*SQRT($C$7))+
_xll.qlBlackFormula(IF(O55&lt;$C$4,"Put","Call"),O55-$C$14,$C$4,$C$9*SQRT($C$7)))/$C$14^2,"")</f>
        <v/>
      </c>
      <c r="T55" s="42" t="str">
        <f>IFERROR((_xll.qlBlackFormula(IF(O55&lt;$C$4,"Put","Call"),O55+$C$14,$C$4,$C$10*SQRT($C$7),,$C$11)-
2*_xll.qlBlackFormula(IF(O55&lt;$C$4,"Put","Call"),O55,$C$4,$C$10*SQRT($C$7),,$C$11)+
_xll.qlBlackFormula(IF(O55&lt;$C$4,"Put","Call"),O55-$C$14,$C$4,$C$10*SQRT($C$7),,$C$11))/$C$14^2,"")</f>
        <v/>
      </c>
      <c r="U55" s="43">
        <f>IFERROR((_xll.qlBachelierBlackFormula(IF(O55&lt;$C$4,"Put","Call"),O55+$C$14,$C$4,$C$12*SQRT($C$7))-
2*_xll.qlBachelierBlackFormula(IF(O55&lt;$C$4,"Put","Call"),O55,$C$4,$C$12*SQRT($C$7))+
_xll.qlBachelierBlackFormula(IF(O55&lt;$C$4,"Put","Call"),O55-$C$14,$C$4,$C$12*SQRT($C$7)))/$C$14^2,"")</f>
        <v>0.78174807003895652</v>
      </c>
      <c r="V55" s="61" t="str">
        <f>IFERROR(_xll.qlBachelierBlackFormulaImpliedVol(IF(O55&lt;$C$4,"Put","Call"),O55,$C$4,$C$7,P55),"")</f>
        <v/>
      </c>
      <c r="W55" s="61" t="str">
        <f>IFERROR(_xll.qlBachelierBlackFormulaImpliedVol(IF(O55&lt;$C$4,"Put","Call"),O55,$C$4,$C$7,Q55),"")</f>
        <v/>
      </c>
      <c r="X55" s="61">
        <f>IFERROR(_xll.qlBachelierBlackFormulaImpliedVol(IF(O55&lt;$C$4,"Put","Call"),O55,$C$4,$C$7,R55),"")</f>
        <v>3.1332853427826143E-3</v>
      </c>
      <c r="Y55" s="42"/>
    </row>
    <row r="56" spans="15:25">
      <c r="O56" s="37">
        <f t="shared" si="0"/>
        <v>-4.900000000000005E-3</v>
      </c>
      <c r="P56" s="38" t="str">
        <f>IFERROR(_xll.qlBlackFormula(IF(O56&lt;$C$4,"Put","Call"),O56,$C$4,$C$9*SQRT($C$7)),"")</f>
        <v/>
      </c>
      <c r="Q56" s="62">
        <f>IFERROR(_xll.qlBlackFormula(IF(O56&lt;$C$4,"Put","Call"),O56,$C$4,$C$10*SQRT($C$7),,$C$11),"")</f>
        <v>1.7112310271704226E-53</v>
      </c>
      <c r="R56" s="40">
        <f>IFERROR(_xll.qlBachelierBlackFormula(IF(O56&lt;$C$4,"Put","Call"),O56,$C$4,$C$12*SQRT($C$7)),"")</f>
        <v>6.7372233544676692E-7</v>
      </c>
      <c r="S56" s="41" t="str">
        <f>IFERROR((_xll.qlBlackFormula(IF(O56&lt;$C$4,"Put","Call"),O56+$C$14,$C$4,$C$9*SQRT($C$7))-
2*_xll.qlBlackFormula(IF(O56&lt;$C$4,"Put","Call"),O56,$C$4,$C$9*SQRT($C$7))+
_xll.qlBlackFormula(IF(O56&lt;$C$4,"Put","Call"),O56-$C$14,$C$4,$C$9*SQRT($C$7)))/$C$14^2,"")</f>
        <v/>
      </c>
      <c r="T56" s="42">
        <f>IFERROR((_xll.qlBlackFormula(IF(O56&lt;$C$4,"Put","Call"),O56+$C$14,$C$4,$C$10*SQRT($C$7),,$C$11)-
2*_xll.qlBlackFormula(IF(O56&lt;$C$4,"Put","Call"),O56,$C$4,$C$10*SQRT($C$7),,$C$11)+
_xll.qlBlackFormula(IF(O56&lt;$C$4,"Put","Call"),O56-$C$14,$C$4,$C$10*SQRT($C$7),,$C$11))/$C$14^2,"")</f>
        <v>3.8168350217872866E-42</v>
      </c>
      <c r="U56" s="43">
        <f>IFERROR((_xll.qlBachelierBlackFormula(IF(O56&lt;$C$4,"Put","Call"),O56+$C$14,$C$4,$C$12*SQRT($C$7))-
2*_xll.qlBachelierBlackFormula(IF(O56&lt;$C$4,"Put","Call"),O56,$C$4,$C$12*SQRT($C$7))+
_xll.qlBachelierBlackFormula(IF(O56&lt;$C$4,"Put","Call"),O56-$C$14,$C$4,$C$12*SQRT($C$7)))/$C$14^2,"")</f>
        <v>0.86513163915168634</v>
      </c>
      <c r="V56" s="61" t="str">
        <f>IFERROR(_xll.qlBachelierBlackFormulaImpliedVol(IF(O56&lt;$C$4,"Put","Call"),O56,$C$4,$C$7,P56),"")</f>
        <v/>
      </c>
      <c r="W56" s="61">
        <f>IFERROR(_xll.qlBachelierBlackFormulaImpliedVol(IF(O56&lt;$C$4,"Put","Call"),O56,$C$4,$C$7,Q56),"")</f>
        <v>1.2856873918634685E-3</v>
      </c>
      <c r="X56" s="61">
        <f>IFERROR(_xll.qlBachelierBlackFormulaImpliedVol(IF(O56&lt;$C$4,"Put","Call"),O56,$C$4,$C$7,R56),"")</f>
        <v>3.1332853428949863E-3</v>
      </c>
      <c r="Y56" s="42"/>
    </row>
    <row r="57" spans="15:25">
      <c r="O57" s="37">
        <f t="shared" si="0"/>
        <v>-4.8000000000000048E-3</v>
      </c>
      <c r="P57" s="38" t="str">
        <f>IFERROR(_xll.qlBlackFormula(IF(O57&lt;$C$4,"Put","Call"),O57,$C$4,$C$9*SQRT($C$7)),"")</f>
        <v/>
      </c>
      <c r="Q57" s="62">
        <f>IFERROR(_xll.qlBlackFormula(IF(O57&lt;$C$4,"Put","Call"),O57,$C$4,$C$10*SQRT($C$7),,$C$11),"")</f>
        <v>2.9796669592049185E-40</v>
      </c>
      <c r="R57" s="40">
        <f>IFERROR(_xll.qlBachelierBlackFormula(IF(O57&lt;$C$4,"Put","Call"),O57,$C$4,$C$12*SQRT($C$7)),"")</f>
        <v>7.5718348451186873E-7</v>
      </c>
      <c r="S57" s="41" t="str">
        <f>IFERROR((_xll.qlBlackFormula(IF(O57&lt;$C$4,"Put","Call"),O57+$C$14,$C$4,$C$9*SQRT($C$7))-
2*_xll.qlBlackFormula(IF(O57&lt;$C$4,"Put","Call"),O57,$C$4,$C$9*SQRT($C$7))+
_xll.qlBlackFormula(IF(O57&lt;$C$4,"Put","Call"),O57-$C$14,$C$4,$C$9*SQRT($C$7)))/$C$14^2,"")</f>
        <v/>
      </c>
      <c r="T57" s="42">
        <f>IFERROR((_xll.qlBlackFormula(IF(O57&lt;$C$4,"Put","Call"),O57+$C$14,$C$4,$C$10*SQRT($C$7),,$C$11)-
2*_xll.qlBlackFormula(IF(O57&lt;$C$4,"Put","Call"),O57,$C$4,$C$10*SQRT($C$7),,$C$11)+
_xll.qlBlackFormula(IF(O57&lt;$C$4,"Put","Call"),O57-$C$14,$C$4,$C$10*SQRT($C$7),,$C$11))/$C$14^2,"")</f>
        <v>1.1890467802011467E-29</v>
      </c>
      <c r="U57" s="43">
        <f>IFERROR((_xll.qlBachelierBlackFormula(IF(O57&lt;$C$4,"Put","Call"),O57+$C$14,$C$4,$C$12*SQRT($C$7))-
2*_xll.qlBachelierBlackFormula(IF(O57&lt;$C$4,"Put","Call"),O57,$C$4,$C$12*SQRT($C$7))+
_xll.qlBachelierBlackFormula(IF(O57&lt;$C$4,"Put","Call"),O57-$C$14,$C$4,$C$12*SQRT($C$7)))/$C$14^2,"")</f>
        <v>0.95643481470234637</v>
      </c>
      <c r="V57" s="61" t="str">
        <f>IFERROR(_xll.qlBachelierBlackFormulaImpliedVol(IF(O57&lt;$C$4,"Put","Call"),O57,$C$4,$C$7,P57),"")</f>
        <v/>
      </c>
      <c r="W57" s="61">
        <f>IFERROR(_xll.qlBachelierBlackFormulaImpliedVol(IF(O57&lt;$C$4,"Put","Call"),O57,$C$4,$C$7,Q57),"")</f>
        <v>1.2727006505315144E-3</v>
      </c>
      <c r="X57" s="61">
        <f>IFERROR(_xll.qlBachelierBlackFormulaImpliedVol(IF(O57&lt;$C$4,"Put","Call"),O57,$C$4,$C$7,R57),"")</f>
        <v>3.133285343007961E-3</v>
      </c>
      <c r="Y57" s="42"/>
    </row>
    <row r="58" spans="15:25">
      <c r="O58" s="37">
        <f t="shared" si="0"/>
        <v>-4.7000000000000045E-3</v>
      </c>
      <c r="P58" s="38" t="str">
        <f>IFERROR(_xll.qlBlackFormula(IF(O58&lt;$C$4,"Put","Call"),O58,$C$4,$C$9*SQRT($C$7)),"")</f>
        <v/>
      </c>
      <c r="Q58" s="62">
        <f>IFERROR(_xll.qlBlackFormula(IF(O58&lt;$C$4,"Put","Call"),O58,$C$4,$C$10*SQRT($C$7),,$C$11),"")</f>
        <v>1.794370053489853E-33</v>
      </c>
      <c r="R58" s="40">
        <f>IFERROR(_xll.qlBachelierBlackFormula(IF(O58&lt;$C$4,"Put","Call"),O58,$C$4,$C$12*SQRT($C$7)),"")</f>
        <v>8.5021611548669586E-7</v>
      </c>
      <c r="S58" s="41" t="str">
        <f>IFERROR((_xll.qlBlackFormula(IF(O58&lt;$C$4,"Put","Call"),O58+$C$14,$C$4,$C$9*SQRT($C$7))-
2*_xll.qlBlackFormula(IF(O58&lt;$C$4,"Put","Call"),O58,$C$4,$C$9*SQRT($C$7))+
_xll.qlBlackFormula(IF(O58&lt;$C$4,"Put","Call"),O58-$C$14,$C$4,$C$9*SQRT($C$7)))/$C$14^2,"")</f>
        <v/>
      </c>
      <c r="T58" s="42">
        <f>IFERROR((_xll.qlBlackFormula(IF(O58&lt;$C$4,"Put","Call"),O58+$C$14,$C$4,$C$10*SQRT($C$7),,$C$11)-
2*_xll.qlBlackFormula(IF(O58&lt;$C$4,"Put","Call"),O58,$C$4,$C$10*SQRT($C$7),,$C$11)+
_xll.qlBlackFormula(IF(O58&lt;$C$4,"Put","Call"),O58-$C$14,$C$4,$C$10*SQRT($C$7),,$C$11))/$C$14^2,"")</f>
        <v>2.5635948096283242E-23</v>
      </c>
      <c r="U58" s="43">
        <f>IFERROR((_xll.qlBachelierBlackFormula(IF(O58&lt;$C$4,"Put","Call"),O58+$C$14,$C$4,$C$12*SQRT($C$7))-
2*_xll.qlBachelierBlackFormula(IF(O58&lt;$C$4,"Put","Call"),O58,$C$4,$C$12*SQRT($C$7))+
_xll.qlBachelierBlackFormula(IF(O58&lt;$C$4,"Put","Call"),O58-$C$14,$C$4,$C$12*SQRT($C$7)))/$C$14^2,"")</f>
        <v>1.0562982983414702</v>
      </c>
      <c r="V58" s="61" t="str">
        <f>IFERROR(_xll.qlBachelierBlackFormulaImpliedVol(IF(O58&lt;$C$4,"Put","Call"),O58,$C$4,$C$7,P58),"")</f>
        <v/>
      </c>
      <c r="W58" s="61">
        <f>IFERROR(_xll.qlBachelierBlackFormulaImpliedVol(IF(O58&lt;$C$4,"Put","Call"),O58,$C$4,$C$7,Q58),"")</f>
        <v>1.2597139091995598E-3</v>
      </c>
      <c r="X58" s="61">
        <f>IFERROR(_xll.qlBachelierBlackFormulaImpliedVol(IF(O58&lt;$C$4,"Put","Call"),O58,$C$4,$C$7,R58),"")</f>
        <v>3.1332853431187187E-3</v>
      </c>
      <c r="Y58" s="42"/>
    </row>
    <row r="59" spans="15:25">
      <c r="O59" s="37">
        <f t="shared" si="0"/>
        <v>-4.6000000000000043E-3</v>
      </c>
      <c r="P59" s="38" t="str">
        <f>IFERROR(_xll.qlBlackFormula(IF(O59&lt;$C$4,"Put","Call"),O59,$C$4,$C$9*SQRT($C$7)),"")</f>
        <v/>
      </c>
      <c r="Q59" s="62">
        <f>IFERROR(_xll.qlBlackFormula(IF(O59&lt;$C$4,"Put","Call"),O59,$C$4,$C$10*SQRT($C$7),,$C$11),"")</f>
        <v>4.2978364285390939E-29</v>
      </c>
      <c r="R59" s="40">
        <f>IFERROR(_xll.qlBachelierBlackFormula(IF(O59&lt;$C$4,"Put","Call"),O59,$C$4,$C$12*SQRT($C$7)),"")</f>
        <v>9.5381942373023211E-7</v>
      </c>
      <c r="S59" s="41" t="str">
        <f>IFERROR((_xll.qlBlackFormula(IF(O59&lt;$C$4,"Put","Call"),O59+$C$14,$C$4,$C$9*SQRT($C$7))-
2*_xll.qlBlackFormula(IF(O59&lt;$C$4,"Put","Call"),O59,$C$4,$C$9*SQRT($C$7))+
_xll.qlBlackFormula(IF(O59&lt;$C$4,"Put","Call"),O59-$C$14,$C$4,$C$9*SQRT($C$7)))/$C$14^2,"")</f>
        <v/>
      </c>
      <c r="T59" s="42">
        <f>IFERROR((_xll.qlBlackFormula(IF(O59&lt;$C$4,"Put","Call"),O59+$C$14,$C$4,$C$10*SQRT($C$7),,$C$11)-
2*_xll.qlBlackFormula(IF(O59&lt;$C$4,"Put","Call"),O59,$C$4,$C$10*SQRT($C$7),,$C$11)+
_xll.qlBlackFormula(IF(O59&lt;$C$4,"Put","Call"),O59-$C$14,$C$4,$C$10*SQRT($C$7),,$C$11))/$C$14^2,"")</f>
        <v>2.9211408847168149E-19</v>
      </c>
      <c r="U59" s="43">
        <f>IFERROR((_xll.qlBachelierBlackFormula(IF(O59&lt;$C$4,"Put","Call"),O59+$C$14,$C$4,$C$12*SQRT($C$7))-
2*_xll.qlBachelierBlackFormula(IF(O59&lt;$C$4,"Put","Call"),O59,$C$4,$C$12*SQRT($C$7))+
_xll.qlBachelierBlackFormula(IF(O59&lt;$C$4,"Put","Call"),O59-$C$14,$C$4,$C$12*SQRT($C$7)))/$C$14^2,"")</f>
        <v>1.165400881944197</v>
      </c>
      <c r="V59" s="61" t="str">
        <f>IFERROR(_xll.qlBachelierBlackFormulaImpliedVol(IF(O59&lt;$C$4,"Put","Call"),O59,$C$4,$C$7,P59),"")</f>
        <v/>
      </c>
      <c r="W59" s="61">
        <f>IFERROR(_xll.qlBachelierBlackFormulaImpliedVol(IF(O59&lt;$C$4,"Put","Call"),O59,$C$4,$C$7,Q59),"")</f>
        <v>1.2467271678676057E-3</v>
      </c>
      <c r="X59" s="61">
        <f>IFERROR(_xll.qlBachelierBlackFormulaImpliedVol(IF(O59&lt;$C$4,"Put","Call"),O59,$C$4,$C$7,R59),"")</f>
        <v>3.133285343224065E-3</v>
      </c>
      <c r="Y59" s="42"/>
    </row>
    <row r="60" spans="15:25">
      <c r="O60" s="37">
        <f t="shared" si="0"/>
        <v>-4.500000000000004E-3</v>
      </c>
      <c r="P60" s="38" t="str">
        <f>IFERROR(_xll.qlBlackFormula(IF(O60&lt;$C$4,"Put","Call"),O60,$C$4,$C$9*SQRT($C$7)),"")</f>
        <v/>
      </c>
      <c r="Q60" s="62">
        <f>IFERROR(_xll.qlBlackFormula(IF(O60&lt;$C$4,"Put","Call"),O60,$C$4,$C$10*SQRT($C$7),,$C$11),"")</f>
        <v>6.0875321383070729E-26</v>
      </c>
      <c r="R60" s="40">
        <f>IFERROR(_xll.qlBachelierBlackFormula(IF(O60&lt;$C$4,"Put","Call"),O60,$C$4,$C$12*SQRT($C$7)),"")</f>
        <v>1.069085030410765E-6</v>
      </c>
      <c r="S60" s="41" t="str">
        <f>IFERROR((_xll.qlBlackFormula(IF(O60&lt;$C$4,"Put","Call"),O60+$C$14,$C$4,$C$9*SQRT($C$7))-
2*_xll.qlBlackFormula(IF(O60&lt;$C$4,"Put","Call"),O60,$C$4,$C$9*SQRT($C$7))+
_xll.qlBlackFormula(IF(O60&lt;$C$4,"Put","Call"),O60-$C$14,$C$4,$C$9*SQRT($C$7)))/$C$14^2,"")</f>
        <v/>
      </c>
      <c r="T60" s="42">
        <f>IFERROR((_xll.qlBlackFormula(IF(O60&lt;$C$4,"Put","Call"),O60+$C$14,$C$4,$C$10*SQRT($C$7),,$C$11)-
2*_xll.qlBlackFormula(IF(O60&lt;$C$4,"Put","Call"),O60,$C$4,$C$10*SQRT($C$7),,$C$11)+
_xll.qlBlackFormula(IF(O60&lt;$C$4,"Put","Call"),O60-$C$14,$C$4,$C$10*SQRT($C$7),,$C$11))/$C$14^2,"")</f>
        <v>2.3025586867928831E-16</v>
      </c>
      <c r="U60" s="43">
        <f>IFERROR((_xll.qlBachelierBlackFormula(IF(O60&lt;$C$4,"Put","Call"),O60+$C$14,$C$4,$C$12*SQRT($C$7))-
2*_xll.qlBachelierBlackFormula(IF(O60&lt;$C$4,"Put","Call"),O60,$C$4,$C$12*SQRT($C$7))+
_xll.qlBachelierBlackFormula(IF(O60&lt;$C$4,"Put","Call"),O60-$C$14,$C$4,$C$12*SQRT($C$7)))/$C$14^2,"")</f>
        <v>1.2844624791411887</v>
      </c>
      <c r="V60" s="61" t="str">
        <f>IFERROR(_xll.qlBachelierBlackFormulaImpliedVol(IF(O60&lt;$C$4,"Put","Call"),O60,$C$4,$C$7,P60),"")</f>
        <v/>
      </c>
      <c r="W60" s="61">
        <f>IFERROR(_xll.qlBachelierBlackFormulaImpliedVol(IF(O60&lt;$C$4,"Put","Call"),O60,$C$4,$C$7,Q60),"")</f>
        <v>1.2337404265356515E-3</v>
      </c>
      <c r="X60" s="61">
        <f>IFERROR(_xll.qlBachelierBlackFormulaImpliedVol(IF(O60&lt;$C$4,"Put","Call"),O60,$C$4,$C$7,R60),"")</f>
        <v>3.1332853433214589E-3</v>
      </c>
      <c r="Y60" s="42"/>
    </row>
    <row r="61" spans="15:25">
      <c r="O61" s="37">
        <f t="shared" si="0"/>
        <v>-4.4000000000000037E-3</v>
      </c>
      <c r="P61" s="38" t="str">
        <f>IFERROR(_xll.qlBlackFormula(IF(O61&lt;$C$4,"Put","Call"),O61,$C$4,$C$9*SQRT($C$7)),"")</f>
        <v/>
      </c>
      <c r="Q61" s="39">
        <f>IFERROR(_xll.qlBlackFormula(IF(O61&lt;$C$4,"Put","Call"),O61,$C$4,$C$10*SQRT($C$7),,$C$11),"")</f>
        <v>1.5857178818615838E-23</v>
      </c>
      <c r="R61" s="40">
        <f>IFERROR(_xll.qlBachelierBlackFormula(IF(O61&lt;$C$4,"Put","Call"),O61,$C$4,$C$12*SQRT($C$7)),"")</f>
        <v>1.1972041901381074E-6</v>
      </c>
      <c r="S61" s="41" t="str">
        <f>IFERROR((_xll.qlBlackFormula(IF(O61&lt;$C$4,"Put","Call"),O61+$C$14,$C$4,$C$9*SQRT($C$7))-
2*_xll.qlBlackFormula(IF(O61&lt;$C$4,"Put","Call"),O61,$C$4,$C$9*SQRT($C$7))+
_xll.qlBlackFormula(IF(O61&lt;$C$4,"Put","Call"),O61-$C$14,$C$4,$C$9*SQRT($C$7)))/$C$14^2,"")</f>
        <v/>
      </c>
      <c r="T61" s="42">
        <f>IFERROR((_xll.qlBlackFormula(IF(O61&lt;$C$4,"Put","Call"),O61+$C$14,$C$4,$C$10*SQRT($C$7),,$C$11)-
2*_xll.qlBlackFormula(IF(O61&lt;$C$4,"Put","Call"),O61,$C$4,$C$10*SQRT($C$7),,$C$11)+
_xll.qlBlackFormula(IF(O61&lt;$C$4,"Put","Call"),O61-$C$14,$C$4,$C$10*SQRT($C$7),,$C$11))/$C$14^2,"")</f>
        <v>3.6882058549275201E-14</v>
      </c>
      <c r="U61" s="43">
        <f>IFERROR((_xll.qlBachelierBlackFormula(IF(O61&lt;$C$4,"Put","Call"),O61+$C$14,$C$4,$C$12*SQRT($C$7))-
2*_xll.qlBachelierBlackFormula(IF(O61&lt;$C$4,"Put","Call"),O61,$C$4,$C$12*SQRT($C$7))+
_xll.qlBachelierBlackFormula(IF(O61&lt;$C$4,"Put","Call"),O61-$C$14,$C$4,$C$12*SQRT($C$7)))/$C$14^2,"")</f>
        <v>1.4142468849519729</v>
      </c>
      <c r="V61" s="61" t="str">
        <f>IFERROR(_xll.qlBachelierBlackFormulaImpliedVol(IF(O61&lt;$C$4,"Put","Call"),O61,$C$4,$C$7,P61),"")</f>
        <v/>
      </c>
      <c r="W61" s="61">
        <f>IFERROR(_xll.qlBachelierBlackFormulaImpliedVol(IF(O61&lt;$C$4,"Put","Call"),O61,$C$4,$C$7,Q61),"")</f>
        <v>1.2207536852036972E-3</v>
      </c>
      <c r="X61" s="61">
        <f>IFERROR(_xll.qlBachelierBlackFormulaImpliedVol(IF(O61&lt;$C$4,"Put","Call"),O61,$C$4,$C$7,R61),"")</f>
        <v>3.1332853434084432E-3</v>
      </c>
      <c r="Y61" s="42"/>
    </row>
    <row r="62" spans="15:25">
      <c r="O62" s="37">
        <f t="shared" si="0"/>
        <v>-4.3000000000000035E-3</v>
      </c>
      <c r="P62" s="38" t="str">
        <f>IFERROR(_xll.qlBlackFormula(IF(O62&lt;$C$4,"Put","Call"),O62,$C$4,$C$9*SQRT($C$7)),"")</f>
        <v/>
      </c>
      <c r="Q62" s="39">
        <f>IFERROR(_xll.qlBlackFormula(IF(O62&lt;$C$4,"Put","Call"),O62,$C$4,$C$10*SQRT($C$7),,$C$11),"")</f>
        <v>1.3536822250190671E-21</v>
      </c>
      <c r="R62" s="40">
        <f>IFERROR(_xll.qlBachelierBlackFormula(IF(O62&lt;$C$4,"Put","Call"),O62,$C$4,$C$12*SQRT($C$7)),"")</f>
        <v>1.3394754190817882E-6</v>
      </c>
      <c r="S62" s="41" t="str">
        <f>IFERROR((_xll.qlBlackFormula(IF(O62&lt;$C$4,"Put","Call"),O62+$C$14,$C$4,$C$9*SQRT($C$7))-
2*_xll.qlBlackFormula(IF(O62&lt;$C$4,"Put","Call"),O62,$C$4,$C$9*SQRT($C$7))+
_xll.qlBlackFormula(IF(O62&lt;$C$4,"Put","Call"),O62-$C$14,$C$4,$C$9*SQRT($C$7)))/$C$14^2,"")</f>
        <v/>
      </c>
      <c r="T62" s="42">
        <f>IFERROR((_xll.qlBlackFormula(IF(O62&lt;$C$4,"Put","Call"),O62+$C$14,$C$4,$C$10*SQRT($C$7),,$C$11)-
2*_xll.qlBlackFormula(IF(O62&lt;$C$4,"Put","Call"),O62,$C$4,$C$10*SQRT($C$7),,$C$11)+
_xll.qlBlackFormula(IF(O62&lt;$C$4,"Put","Call"),O62-$C$14,$C$4,$C$10*SQRT($C$7),,$C$11))/$C$14^2,"")</f>
        <v>2.0749790700483373E-12</v>
      </c>
      <c r="U62" s="43">
        <f>IFERROR((_xll.qlBachelierBlackFormula(IF(O62&lt;$C$4,"Put","Call"),O62+$C$14,$C$4,$C$12*SQRT($C$7))-
2*_xll.qlBachelierBlackFormula(IF(O62&lt;$C$4,"Put","Call"),O62,$C$4,$C$12*SQRT($C$7))+
_xll.qlBachelierBlackFormula(IF(O62&lt;$C$4,"Put","Call"),O62-$C$14,$C$4,$C$12*SQRT($C$7)))/$C$14^2,"")</f>
        <v>1.5555586976672124</v>
      </c>
      <c r="V62" s="61" t="str">
        <f>IFERROR(_xll.qlBachelierBlackFormulaImpliedVol(IF(O62&lt;$C$4,"Put","Call"),O62,$C$4,$C$7,P62),"")</f>
        <v/>
      </c>
      <c r="W62" s="61">
        <f>IFERROR(_xll.qlBachelierBlackFormulaImpliedVol(IF(O62&lt;$C$4,"Put","Call"),O62,$C$4,$C$7,Q62),"")</f>
        <v>1.2077669438717428E-3</v>
      </c>
      <c r="X62" s="61">
        <f>IFERROR(_xll.qlBachelierBlackFormulaImpliedVol(IF(O62&lt;$C$4,"Put","Call"),O62,$C$4,$C$7,R62),"")</f>
        <v>3.1332853434827782E-3</v>
      </c>
      <c r="Y62" s="42"/>
    </row>
    <row r="63" spans="15:25">
      <c r="O63" s="37">
        <f t="shared" si="0"/>
        <v>-4.2000000000000032E-3</v>
      </c>
      <c r="P63" s="38" t="str">
        <f>IFERROR(_xll.qlBlackFormula(IF(O63&lt;$C$4,"Put","Call"),O63,$C$4,$C$9*SQRT($C$7)),"")</f>
        <v/>
      </c>
      <c r="Q63" s="39">
        <f>IFERROR(_xll.qlBlackFormula(IF(O63&lt;$C$4,"Put","Call"),O63,$C$4,$C$10*SQRT($C$7),,$C$11),"")</f>
        <v>5.2759902336389594E-20</v>
      </c>
      <c r="R63" s="40">
        <f>IFERROR(_xll.qlBachelierBlackFormula(IF(O63&lt;$C$4,"Put","Call"),O63,$C$4,$C$12*SQRT($C$7)),"")</f>
        <v>1.4973125539036801E-6</v>
      </c>
      <c r="S63" s="41" t="str">
        <f>IFERROR((_xll.qlBlackFormula(IF(O63&lt;$C$4,"Put","Call"),O63+$C$14,$C$4,$C$9*SQRT($C$7))-
2*_xll.qlBlackFormula(IF(O63&lt;$C$4,"Put","Call"),O63,$C$4,$C$9*SQRT($C$7))+
_xll.qlBlackFormula(IF(O63&lt;$C$4,"Put","Call"),O63-$C$14,$C$4,$C$9*SQRT($C$7)))/$C$14^2,"")</f>
        <v/>
      </c>
      <c r="T63" s="42">
        <f>IFERROR((_xll.qlBlackFormula(IF(O63&lt;$C$4,"Put","Call"),O63+$C$14,$C$4,$C$10*SQRT($C$7),,$C$11)-
2*_xll.qlBlackFormula(IF(O63&lt;$C$4,"Put","Call"),O63,$C$4,$C$10*SQRT($C$7),,$C$11)+
_xll.qlBlackFormula(IF(O63&lt;$C$4,"Put","Call"),O63-$C$14,$C$4,$C$10*SQRT($C$7),,$C$11))/$C$14^2,"")</f>
        <v>5.6084294233549114E-11</v>
      </c>
      <c r="U63" s="43">
        <f>IFERROR((_xll.qlBachelierBlackFormula(IF(O63&lt;$C$4,"Put","Call"),O63+$C$14,$C$4,$C$12*SQRT($C$7))-
2*_xll.qlBachelierBlackFormula(IF(O63&lt;$C$4,"Put","Call"),O63,$C$4,$C$12*SQRT($C$7))+
_xll.qlBachelierBlackFormula(IF(O63&lt;$C$4,"Put","Call"),O63-$C$14,$C$4,$C$12*SQRT($C$7)))/$C$14^2,"")</f>
        <v>1.7092498579430582</v>
      </c>
      <c r="V63" s="61" t="str">
        <f>IFERROR(_xll.qlBachelierBlackFormulaImpliedVol(IF(O63&lt;$C$4,"Put","Call"),O63,$C$4,$C$7,P63),"")</f>
        <v/>
      </c>
      <c r="W63" s="61">
        <f>IFERROR(_xll.qlBachelierBlackFormulaImpliedVol(IF(O63&lt;$C$4,"Put","Call"),O63,$C$4,$C$7,Q63),"")</f>
        <v>1.1947802025397886E-3</v>
      </c>
      <c r="X63" s="61">
        <f>IFERROR(_xll.qlBachelierBlackFormulaImpliedVol(IF(O63&lt;$C$4,"Put","Call"),O63,$C$4,$C$7,R63),"")</f>
        <v>3.1332853435432164E-3</v>
      </c>
      <c r="Y63" s="42"/>
    </row>
    <row r="64" spans="15:25">
      <c r="O64" s="37">
        <f t="shared" si="0"/>
        <v>-4.1000000000000029E-3</v>
      </c>
      <c r="P64" s="38" t="str">
        <f>IFERROR(_xll.qlBlackFormula(IF(O64&lt;$C$4,"Put","Call"),O64,$C$4,$C$9*SQRT($C$7)),"")</f>
        <v/>
      </c>
      <c r="Q64" s="39">
        <f>IFERROR(_xll.qlBlackFormula(IF(O64&lt;$C$4,"Put","Call"),O64,$C$4,$C$10*SQRT($C$7),,$C$11),"")</f>
        <v>1.1542917694369094E-18</v>
      </c>
      <c r="R64" s="40">
        <f>IFERROR(_xll.qlBachelierBlackFormula(IF(O64&lt;$C$4,"Put","Call"),O64,$C$4,$C$12*SQRT($C$7)),"")</f>
        <v>1.6722532505776778E-6</v>
      </c>
      <c r="S64" s="41" t="str">
        <f>IFERROR((_xll.qlBlackFormula(IF(O64&lt;$C$4,"Put","Call"),O64+$C$14,$C$4,$C$9*SQRT($C$7))-
2*_xll.qlBlackFormula(IF(O64&lt;$C$4,"Put","Call"),O64,$C$4,$C$9*SQRT($C$7))+
_xll.qlBlackFormula(IF(O64&lt;$C$4,"Put","Call"),O64-$C$14,$C$4,$C$9*SQRT($C$7)))/$C$14^2,"")</f>
        <v/>
      </c>
      <c r="T64" s="42">
        <f>IFERROR((_xll.qlBlackFormula(IF(O64&lt;$C$4,"Put","Call"),O64+$C$14,$C$4,$C$10*SQRT($C$7),,$C$11)-
2*_xll.qlBlackFormula(IF(O64&lt;$C$4,"Put","Call"),O64,$C$4,$C$10*SQRT($C$7),,$C$11)+
_xll.qlBlackFormula(IF(O64&lt;$C$4,"Put","Call"),O64-$C$14,$C$4,$C$10*SQRT($C$7),,$C$11))/$C$14^2,"")</f>
        <v>8.8485362499563695E-10</v>
      </c>
      <c r="U64" s="43">
        <f>IFERROR((_xll.qlBachelierBlackFormula(IF(O64&lt;$C$4,"Put","Call"),O64+$C$14,$C$4,$C$12*SQRT($C$7))-
2*_xll.qlBachelierBlackFormula(IF(O64&lt;$C$4,"Put","Call"),O64,$C$4,$C$12*SQRT($C$7))+
_xll.qlBachelierBlackFormula(IF(O64&lt;$C$4,"Put","Call"),O64-$C$14,$C$4,$C$12*SQRT($C$7)))/$C$14^2,"")</f>
        <v>1.876214258283472</v>
      </c>
      <c r="V64" s="61" t="str">
        <f>IFERROR(_xll.qlBachelierBlackFormulaImpliedVol(IF(O64&lt;$C$4,"Put","Call"),O64,$C$4,$C$7,P64),"")</f>
        <v/>
      </c>
      <c r="W64" s="61">
        <f>IFERROR(_xll.qlBachelierBlackFormulaImpliedVol(IF(O64&lt;$C$4,"Put","Call"),O64,$C$4,$C$7,Q64),"")</f>
        <v>1.1817934612078349E-3</v>
      </c>
      <c r="X64" s="61">
        <f>IFERROR(_xll.qlBachelierBlackFormulaImpliedVol(IF(O64&lt;$C$4,"Put","Call"),O64,$C$4,$C$7,R64),"")</f>
        <v>3.1332853435892794E-3</v>
      </c>
      <c r="Y64" s="42"/>
    </row>
    <row r="65" spans="15:25">
      <c r="O65" s="37">
        <f t="shared" si="0"/>
        <v>-4.0000000000000027E-3</v>
      </c>
      <c r="P65" s="38" t="str">
        <f>IFERROR(_xll.qlBlackFormula(IF(O65&lt;$C$4,"Put","Call"),O65,$C$4,$C$9*SQRT($C$7)),"")</f>
        <v/>
      </c>
      <c r="Q65" s="39">
        <f>IFERROR(_xll.qlBlackFormula(IF(O65&lt;$C$4,"Put","Call"),O65,$C$4,$C$10*SQRT($C$7),,$C$11),"")</f>
        <v>1.6253770811373792E-17</v>
      </c>
      <c r="R65" s="40">
        <f>IFERROR(_xll.qlBachelierBlackFormula(IF(O65&lt;$C$4,"Put","Call"),O65,$C$4,$C$12*SQRT($C$7)),"")</f>
        <v>1.8659679307280544E-6</v>
      </c>
      <c r="S65" s="41" t="str">
        <f>IFERROR((_xll.qlBlackFormula(IF(O65&lt;$C$4,"Put","Call"),O65+$C$14,$C$4,$C$9*SQRT($C$7))-
2*_xll.qlBlackFormula(IF(O65&lt;$C$4,"Put","Call"),O65,$C$4,$C$9*SQRT($C$7))+
_xll.qlBlackFormula(IF(O65&lt;$C$4,"Put","Call"),O65-$C$14,$C$4,$C$9*SQRT($C$7)))/$C$14^2,"")</f>
        <v/>
      </c>
      <c r="T65" s="42">
        <f>IFERROR((_xll.qlBlackFormula(IF(O65&lt;$C$4,"Put","Call"),O65+$C$14,$C$4,$C$10*SQRT($C$7),,$C$11)-
2*_xll.qlBlackFormula(IF(O65&lt;$C$4,"Put","Call"),O65,$C$4,$C$10*SQRT($C$7),,$C$11)+
_xll.qlBlackFormula(IF(O65&lt;$C$4,"Put","Call"),O65-$C$14,$C$4,$C$10*SQRT($C$7),,$C$11))/$C$14^2,"")</f>
        <v>9.2677211696857425E-9</v>
      </c>
      <c r="U65" s="43">
        <f>IFERROR((_xll.qlBachelierBlackFormula(IF(O65&lt;$C$4,"Put","Call"),O65+$C$14,$C$4,$C$12*SQRT($C$7))-
2*_xll.qlBachelierBlackFormula(IF(O65&lt;$C$4,"Put","Call"),O65,$C$4,$C$12*SQRT($C$7))+
_xll.qlBachelierBlackFormula(IF(O65&lt;$C$4,"Put","Call"),O65-$C$14,$C$4,$C$12*SQRT($C$7)))/$C$14^2,"")</f>
        <v>2.0573913090489362</v>
      </c>
      <c r="V65" s="61" t="str">
        <f>IFERROR(_xll.qlBachelierBlackFormulaImpliedVol(IF(O65&lt;$C$4,"Put","Call"),O65,$C$4,$C$7,P65),"")</f>
        <v/>
      </c>
      <c r="W65" s="61">
        <f>IFERROR(_xll.qlBachelierBlackFormulaImpliedVol(IF(O65&lt;$C$4,"Put","Call"),O65,$C$4,$C$7,Q65),"")</f>
        <v>1.2252037047018479E-3</v>
      </c>
      <c r="X65" s="61">
        <f>IFERROR(_xll.qlBachelierBlackFormulaImpliedVol(IF(O65&lt;$C$4,"Put","Call"),O65,$C$4,$C$7,R65),"")</f>
        <v>3.133285343620311E-3</v>
      </c>
      <c r="Y65" s="42"/>
    </row>
    <row r="66" spans="15:25">
      <c r="O66" s="37">
        <f t="shared" si="0"/>
        <v>-3.9000000000000029E-3</v>
      </c>
      <c r="P66" s="38" t="str">
        <f>IFERROR(_xll.qlBlackFormula(IF(O66&lt;$C$4,"Put","Call"),O66,$C$4,$C$9*SQRT($C$7)),"")</f>
        <v/>
      </c>
      <c r="Q66" s="39">
        <f>IFERROR(_xll.qlBlackFormula(IF(O66&lt;$C$4,"Put","Call"),O66,$C$4,$C$10*SQRT($C$7),,$C$11),"")</f>
        <v>1.6196294673451998E-16</v>
      </c>
      <c r="R66" s="40">
        <f>IFERROR(_xll.qlBachelierBlackFormula(IF(O66&lt;$C$4,"Put","Call"),O66,$C$4,$C$12*SQRT($C$7)),"")</f>
        <v>2.0802691814972762E-6</v>
      </c>
      <c r="S66" s="41" t="str">
        <f>IFERROR((_xll.qlBlackFormula(IF(O66&lt;$C$4,"Put","Call"),O66+$C$14,$C$4,$C$9*SQRT($C$7))-
2*_xll.qlBlackFormula(IF(O66&lt;$C$4,"Put","Call"),O66,$C$4,$C$9*SQRT($C$7))+
_xll.qlBlackFormula(IF(O66&lt;$C$4,"Put","Call"),O66-$C$14,$C$4,$C$9*SQRT($C$7)))/$C$14^2,"")</f>
        <v/>
      </c>
      <c r="T66" s="42">
        <f>IFERROR((_xll.qlBlackFormula(IF(O66&lt;$C$4,"Put","Call"),O66+$C$14,$C$4,$C$10*SQRT($C$7),,$C$11)-
2*_xll.qlBlackFormula(IF(O66&lt;$C$4,"Put","Call"),O66,$C$4,$C$10*SQRT($C$7),,$C$11)+
_xll.qlBlackFormula(IF(O66&lt;$C$4,"Put","Call"),O66-$C$14,$C$4,$C$10*SQRT($C$7),,$C$11))/$C$14^2,"")</f>
        <v>7.0438751918646826E-8</v>
      </c>
      <c r="U66" s="43">
        <f>IFERROR((_xll.qlBachelierBlackFormula(IF(O66&lt;$C$4,"Put","Call"),O66+$C$14,$C$4,$C$12*SQRT($C$7))-
2*_xll.qlBachelierBlackFormula(IF(O66&lt;$C$4,"Put","Call"),O66,$C$4,$C$12*SQRT($C$7))+
_xll.qlBachelierBlackFormula(IF(O66&lt;$C$4,"Put","Call"),O66-$C$14,$C$4,$C$12*SQRT($C$7)))/$C$14^2,"")</f>
        <v>2.2537661366621617</v>
      </c>
      <c r="V66" s="61" t="str">
        <f>IFERROR(_xll.qlBachelierBlackFormulaImpliedVol(IF(O66&lt;$C$4,"Put","Call"),O66,$C$4,$C$7,P66),"")</f>
        <v/>
      </c>
      <c r="W66" s="61">
        <f>IFERROR(_xll.qlBachelierBlackFormulaImpliedVol(IF(O66&lt;$C$4,"Put","Call"),O66,$C$4,$C$7,Q66),"")</f>
        <v>1.2635871821574506E-3</v>
      </c>
      <c r="X66" s="61">
        <f>IFERROR(_xll.qlBachelierBlackFormulaImpliedVol(IF(O66&lt;$C$4,"Put","Call"),O66,$C$4,$C$7,R66),"")</f>
        <v>3.1332853436366213E-3</v>
      </c>
      <c r="Y66" s="42"/>
    </row>
    <row r="67" spans="15:25">
      <c r="O67" s="37">
        <f t="shared" si="0"/>
        <v>-3.800000000000003E-3</v>
      </c>
      <c r="P67" s="38" t="str">
        <f>IFERROR(_xll.qlBlackFormula(IF(O67&lt;$C$4,"Put","Call"),O67,$C$4,$C$9*SQRT($C$7)),"")</f>
        <v/>
      </c>
      <c r="Q67" s="39">
        <f>IFERROR(_xll.qlBlackFormula(IF(O67&lt;$C$4,"Put","Call"),O67,$C$4,$C$10*SQRT($C$7),,$C$11),"")</f>
        <v>1.222761889102964E-15</v>
      </c>
      <c r="R67" s="40">
        <f>IFERROR(_xll.qlBachelierBlackFormula(IF(O67&lt;$C$4,"Put","Call"),O67,$C$4,$C$12*SQRT($C$7)),"")</f>
        <v>2.3171216131161754E-6</v>
      </c>
      <c r="S67" s="41" t="str">
        <f>IFERROR((_xll.qlBlackFormula(IF(O67&lt;$C$4,"Put","Call"),O67+$C$14,$C$4,$C$9*SQRT($C$7))-
2*_xll.qlBlackFormula(IF(O67&lt;$C$4,"Put","Call"),O67,$C$4,$C$9*SQRT($C$7))+
_xll.qlBlackFormula(IF(O67&lt;$C$4,"Put","Call"),O67-$C$14,$C$4,$C$9*SQRT($C$7)))/$C$14^2,"")</f>
        <v/>
      </c>
      <c r="T67" s="42">
        <f>IFERROR((_xll.qlBlackFormula(IF(O67&lt;$C$4,"Put","Call"),O67+$C$14,$C$4,$C$10*SQRT($C$7),,$C$11)-
2*_xll.qlBlackFormula(IF(O67&lt;$C$4,"Put","Call"),O67,$C$4,$C$10*SQRT($C$7),,$C$11)+
_xll.qlBlackFormula(IF(O67&lt;$C$4,"Put","Call"),O67-$C$14,$C$4,$C$10*SQRT($C$7),,$C$11))/$C$14^2,"")</f>
        <v>4.1414669126451685E-7</v>
      </c>
      <c r="U67" s="43">
        <f>IFERROR((_xll.qlBachelierBlackFormula(IF(O67&lt;$C$4,"Put","Call"),O67+$C$14,$C$4,$C$12*SQRT($C$7))-
2*_xll.qlBachelierBlackFormula(IF(O67&lt;$C$4,"Put","Call"),O67,$C$4,$C$12*SQRT($C$7))+
_xll.qlBachelierBlackFormula(IF(O67&lt;$C$4,"Put","Call"),O67-$C$14,$C$4,$C$12*SQRT($C$7)))/$C$14^2,"")</f>
        <v>2.4663714030348594</v>
      </c>
      <c r="V67" s="61" t="str">
        <f>IFERROR(_xll.qlBachelierBlackFormulaImpliedVol(IF(O67&lt;$C$4,"Put","Call"),O67,$C$4,$C$7,P67),"")</f>
        <v/>
      </c>
      <c r="W67" s="61">
        <f>IFERROR(_xll.qlBachelierBlackFormulaImpliedVol(IF(O67&lt;$C$4,"Put","Call"),O67,$C$4,$C$7,Q67),"")</f>
        <v>1.300643981514043E-3</v>
      </c>
      <c r="X67" s="61">
        <f>IFERROR(_xll.qlBachelierBlackFormulaImpliedVol(IF(O67&lt;$C$4,"Put","Call"),O67,$C$4,$C$7,R67),"")</f>
        <v>3.1332853436390404E-3</v>
      </c>
      <c r="Y67" s="42"/>
    </row>
    <row r="68" spans="15:25">
      <c r="O68" s="37">
        <f t="shared" si="0"/>
        <v>-3.7000000000000032E-3</v>
      </c>
      <c r="P68" s="38" t="str">
        <f>IFERROR(_xll.qlBlackFormula(IF(O68&lt;$C$4,"Put","Call"),O68,$C$4,$C$9*SQRT($C$7)),"")</f>
        <v/>
      </c>
      <c r="Q68" s="39">
        <f>IFERROR(_xll.qlBlackFormula(IF(O68&lt;$C$4,"Put","Call"),O68,$C$4,$C$10*SQRT($C$7),,$C$11),"")</f>
        <v>7.3571434751859255E-15</v>
      </c>
      <c r="R68" s="40">
        <f>IFERROR(_xll.qlBachelierBlackFormula(IF(O68&lt;$C$4,"Put","Call"),O68,$C$4,$C$12*SQRT($C$7)),"")</f>
        <v>2.5786521763195149E-6</v>
      </c>
      <c r="S68" s="41" t="str">
        <f>IFERROR((_xll.qlBlackFormula(IF(O68&lt;$C$4,"Put","Call"),O68+$C$14,$C$4,$C$9*SQRT($C$7))-
2*_xll.qlBlackFormula(IF(O68&lt;$C$4,"Put","Call"),O68,$C$4,$C$9*SQRT($C$7))+
_xll.qlBlackFormula(IF(O68&lt;$C$4,"Put","Call"),O68-$C$14,$C$4,$C$9*SQRT($C$7)))/$C$14^2,"")</f>
        <v/>
      </c>
      <c r="T68" s="42">
        <f>IFERROR((_xll.qlBlackFormula(IF(O68&lt;$C$4,"Put","Call"),O68+$C$14,$C$4,$C$10*SQRT($C$7),,$C$11)-
2*_xll.qlBlackFormula(IF(O68&lt;$C$4,"Put","Call"),O68,$C$4,$C$10*SQRT($C$7),,$C$11)+
_xll.qlBlackFormula(IF(O68&lt;$C$4,"Put","Call"),O68-$C$14,$C$4,$C$10*SQRT($C$7),,$C$11))/$C$14^2,"")</f>
        <v>1.974914507247712E-6</v>
      </c>
      <c r="U68" s="43">
        <f>IFERROR((_xll.qlBachelierBlackFormula(IF(O68&lt;$C$4,"Put","Call"),O68+$C$14,$C$4,$C$12*SQRT($C$7))-
2*_xll.qlBachelierBlackFormula(IF(O68&lt;$C$4,"Put","Call"),O68,$C$4,$C$12*SQRT($C$7))+
_xll.qlBachelierBlackFormula(IF(O68&lt;$C$4,"Put","Call"),O68-$C$14,$C$4,$C$12*SQRT($C$7)))/$C$14^2,"")</f>
        <v>2.6962843714456106</v>
      </c>
      <c r="V68" s="61" t="str">
        <f>IFERROR(_xll.qlBachelierBlackFormulaImpliedVol(IF(O68&lt;$C$4,"Put","Call"),O68,$C$4,$C$7,P68),"")</f>
        <v/>
      </c>
      <c r="W68" s="61">
        <f>IFERROR(_xll.qlBachelierBlackFormulaImpliedVol(IF(O68&lt;$C$4,"Put","Call"),O68,$C$4,$C$7,Q68),"")</f>
        <v>1.3362865840846471E-3</v>
      </c>
      <c r="X68" s="61">
        <f>IFERROR(_xll.qlBachelierBlackFormulaImpliedVol(IF(O68&lt;$C$4,"Put","Call"),O68,$C$4,$C$7,R68),"")</f>
        <v>3.1332853436286238E-3</v>
      </c>
      <c r="Y68" s="42"/>
    </row>
    <row r="69" spans="15:25">
      <c r="O69" s="37">
        <f t="shared" si="0"/>
        <v>-3.6000000000000034E-3</v>
      </c>
      <c r="P69" s="38" t="str">
        <f>IFERROR(_xll.qlBlackFormula(IF(O69&lt;$C$4,"Put","Call"),O69,$C$4,$C$9*SQRT($C$7)),"")</f>
        <v/>
      </c>
      <c r="Q69" s="39">
        <f>IFERROR(_xll.qlBlackFormula(IF(O69&lt;$C$4,"Put","Call"),O69,$C$4,$C$10*SQRT($C$7),,$C$11),"")</f>
        <v>3.6662410378086088E-14</v>
      </c>
      <c r="R69" s="40">
        <f>IFERROR(_xll.qlBachelierBlackFormula(IF(O69&lt;$C$4,"Put","Call"),O69,$C$4,$C$12*SQRT($C$7)),"")</f>
        <v>2.8671609395054103E-6</v>
      </c>
      <c r="S69" s="41" t="str">
        <f>IFERROR((_xll.qlBlackFormula(IF(O69&lt;$C$4,"Put","Call"),O69+$C$14,$C$4,$C$9*SQRT($C$7))-
2*_xll.qlBlackFormula(IF(O69&lt;$C$4,"Put","Call"),O69,$C$4,$C$9*SQRT($C$7))+
_xll.qlBlackFormula(IF(O69&lt;$C$4,"Put","Call"),O69-$C$14,$C$4,$C$9*SQRT($C$7)))/$C$14^2,"")</f>
        <v/>
      </c>
      <c r="T69" s="42">
        <f>IFERROR((_xll.qlBlackFormula(IF(O69&lt;$C$4,"Put","Call"),O69+$C$14,$C$4,$C$10*SQRT($C$7),,$C$11)-
2*_xll.qlBlackFormula(IF(O69&lt;$C$4,"Put","Call"),O69,$C$4,$C$10*SQRT($C$7),,$C$11)+
_xll.qlBlackFormula(IF(O69&lt;$C$4,"Put","Call"),O69-$C$14,$C$4,$C$10*SQRT($C$7),,$C$11))/$C$14^2,"")</f>
        <v>7.9174136105840307E-6</v>
      </c>
      <c r="U69" s="43">
        <f>IFERROR((_xll.qlBachelierBlackFormula(IF(O69&lt;$C$4,"Put","Call"),O69+$C$14,$C$4,$C$12*SQRT($C$7))-
2*_xll.qlBachelierBlackFormula(IF(O69&lt;$C$4,"Put","Call"),O69,$C$4,$C$12*SQRT($C$7))+
_xll.qlBachelierBlackFormula(IF(O69&lt;$C$4,"Put","Call"),O69-$C$14,$C$4,$C$12*SQRT($C$7)))/$C$14^2,"")</f>
        <v>2.9446295763877179</v>
      </c>
      <c r="V69" s="61" t="str">
        <f>IFERROR(_xll.qlBachelierBlackFormulaImpliedVol(IF(O69&lt;$C$4,"Put","Call"),O69,$C$4,$C$7,P69),"")</f>
        <v/>
      </c>
      <c r="W69" s="61">
        <f>IFERROR(_xll.qlBachelierBlackFormulaImpliedVol(IF(O69&lt;$C$4,"Put","Call"),O69,$C$4,$C$7,Q69),"")</f>
        <v>1.3707056848649435E-3</v>
      </c>
      <c r="X69" s="61">
        <f>IFERROR(_xll.qlBachelierBlackFormulaImpliedVol(IF(O69&lt;$C$4,"Put","Call"),O69,$C$4,$C$7,R69),"")</f>
        <v>3.1332853436070239E-3</v>
      </c>
      <c r="Y69" s="42"/>
    </row>
    <row r="70" spans="15:25">
      <c r="O70" s="37">
        <f t="shared" si="0"/>
        <v>-3.5000000000000035E-3</v>
      </c>
      <c r="P70" s="38" t="str">
        <f>IFERROR(_xll.qlBlackFormula(IF(O70&lt;$C$4,"Put","Call"),O70,$C$4,$C$9*SQRT($C$7)),"")</f>
        <v/>
      </c>
      <c r="Q70" s="39">
        <f>IFERROR(_xll.qlBlackFormula(IF(O70&lt;$C$4,"Put","Call"),O70,$C$4,$C$10*SQRT($C$7),,$C$11),"")</f>
        <v>1.5589839999960222E-13</v>
      </c>
      <c r="R70" s="40">
        <f>IFERROR(_xll.qlBachelierBlackFormula(IF(O70&lt;$C$4,"Put","Call"),O70,$C$4,$C$12*SQRT($C$7)),"")</f>
        <v>3.1851323230770841E-6</v>
      </c>
      <c r="S70" s="41" t="str">
        <f>IFERROR((_xll.qlBlackFormula(IF(O70&lt;$C$4,"Put","Call"),O70+$C$14,$C$4,$C$9*SQRT($C$7))-
2*_xll.qlBlackFormula(IF(O70&lt;$C$4,"Put","Call"),O70,$C$4,$C$9*SQRT($C$7))+
_xll.qlBlackFormula(IF(O70&lt;$C$4,"Put","Call"),O70-$C$14,$C$4,$C$9*SQRT($C$7)))/$C$14^2,"")</f>
        <v/>
      </c>
      <c r="T70" s="42">
        <f>IFERROR((_xll.qlBlackFormula(IF(O70&lt;$C$4,"Put","Call"),O70+$C$14,$C$4,$C$10*SQRT($C$7),,$C$11)-
2*_xll.qlBlackFormula(IF(O70&lt;$C$4,"Put","Call"),O70,$C$4,$C$10*SQRT($C$7),,$C$11)+
_xll.qlBlackFormula(IF(O70&lt;$C$4,"Put","Call"),O70-$C$14,$C$4,$C$10*SQRT($C$7),,$C$11))/$C$14^2,"")</f>
        <v>2.7437083431041686E-5</v>
      </c>
      <c r="U70" s="43">
        <f>IFERROR((_xll.qlBachelierBlackFormula(IF(O70&lt;$C$4,"Put","Call"),O70+$C$14,$C$4,$C$12*SQRT($C$7))-
2*_xll.qlBachelierBlackFormula(IF(O70&lt;$C$4,"Put","Call"),O70,$C$4,$C$12*SQRT($C$7))+
_xll.qlBachelierBlackFormula(IF(O70&lt;$C$4,"Put","Call"),O70-$C$14,$C$4,$C$12*SQRT($C$7)))/$C$14^2,"")</f>
        <v>3.2125741648879931</v>
      </c>
      <c r="V70" s="61" t="str">
        <f>IFERROR(_xll.qlBachelierBlackFormulaImpliedVol(IF(O70&lt;$C$4,"Put","Call"),O70,$C$4,$C$7,P70),"")</f>
        <v/>
      </c>
      <c r="W70" s="61">
        <f>IFERROR(_xll.qlBachelierBlackFormulaImpliedVol(IF(O70&lt;$C$4,"Put","Call"),O70,$C$4,$C$7,Q70),"")</f>
        <v>1.4040248323620541E-3</v>
      </c>
      <c r="X70" s="61">
        <f>IFERROR(_xll.qlBachelierBlackFormulaImpliedVol(IF(O70&lt;$C$4,"Put","Call"),O70,$C$4,$C$7,R70),"")</f>
        <v>3.133285343575916E-3</v>
      </c>
      <c r="Y70" s="42"/>
    </row>
    <row r="71" spans="15:25">
      <c r="O71" s="37">
        <f t="shared" ref="O71:O134" si="1">O70+0.01%</f>
        <v>-3.4000000000000037E-3</v>
      </c>
      <c r="P71" s="38" t="str">
        <f>IFERROR(_xll.qlBlackFormula(IF(O71&lt;$C$4,"Put","Call"),O71,$C$4,$C$9*SQRT($C$7)),"")</f>
        <v/>
      </c>
      <c r="Q71" s="39">
        <f>IFERROR(_xll.qlBlackFormula(IF(O71&lt;$C$4,"Put","Call"),O71,$C$4,$C$10*SQRT($C$7),,$C$11),"")</f>
        <v>5.7918273501276799E-13</v>
      </c>
      <c r="R71" s="40">
        <f>IFERROR(_xll.qlBachelierBlackFormula(IF(O71&lt;$C$4,"Put","Call"),O71,$C$4,$C$12*SQRT($C$7)),"")</f>
        <v>3.5352467857347302E-6</v>
      </c>
      <c r="S71" s="41" t="str">
        <f>IFERROR((_xll.qlBlackFormula(IF(O71&lt;$C$4,"Put","Call"),O71+$C$14,$C$4,$C$9*SQRT($C$7))-
2*_xll.qlBlackFormula(IF(O71&lt;$C$4,"Put","Call"),O71,$C$4,$C$9*SQRT($C$7))+
_xll.qlBlackFormula(IF(O71&lt;$C$4,"Put","Call"),O71-$C$14,$C$4,$C$9*SQRT($C$7)))/$C$14^2,"")</f>
        <v/>
      </c>
      <c r="T71" s="42">
        <f>IFERROR((_xll.qlBlackFormula(IF(O71&lt;$C$4,"Put","Call"),O71+$C$14,$C$4,$C$10*SQRT($C$7),,$C$11)-
2*_xll.qlBlackFormula(IF(O71&lt;$C$4,"Put","Call"),O71,$C$4,$C$10*SQRT($C$7),,$C$11)+
_xll.qlBlackFormula(IF(O71&lt;$C$4,"Put","Call"),O71-$C$14,$C$4,$C$10*SQRT($C$7),,$C$11))/$C$14^2,"")</f>
        <v>8.4011900322762448E-5</v>
      </c>
      <c r="U71" s="43">
        <f>IFERROR((_xll.qlBachelierBlackFormula(IF(O71&lt;$C$4,"Put","Call"),O71+$C$14,$C$4,$C$12*SQRT($C$7))-
2*_xll.qlBachelierBlackFormula(IF(O71&lt;$C$4,"Put","Call"),O71,$C$4,$C$12*SQRT($C$7))+
_xll.qlBachelierBlackFormula(IF(O71&lt;$C$4,"Put","Call"),O71-$C$14,$C$4,$C$12*SQRT($C$7)))/$C$14^2,"")</f>
        <v>3.5013315895704098</v>
      </c>
      <c r="V71" s="61" t="str">
        <f>IFERROR(_xll.qlBachelierBlackFormulaImpliedVol(IF(O71&lt;$C$4,"Put","Call"),O71,$C$4,$C$7,P71),"")</f>
        <v/>
      </c>
      <c r="W71" s="61">
        <f>IFERROR(_xll.qlBachelierBlackFormulaImpliedVol(IF(O71&lt;$C$4,"Put","Call"),O71,$C$4,$C$7,Q71),"")</f>
        <v>1.4363603452939798E-3</v>
      </c>
      <c r="X71" s="61">
        <f>IFERROR(_xll.qlBachelierBlackFormulaImpliedVol(IF(O71&lt;$C$4,"Put","Call"),O71,$C$4,$C$7,R71),"")</f>
        <v>3.1332853435375595E-3</v>
      </c>
      <c r="Y71" s="42"/>
    </row>
    <row r="72" spans="15:25">
      <c r="O72" s="37">
        <f t="shared" si="1"/>
        <v>-3.3000000000000039E-3</v>
      </c>
      <c r="P72" s="38" t="str">
        <f>IFERROR(_xll.qlBlackFormula(IF(O72&lt;$C$4,"Put","Call"),O72,$C$4,$C$9*SQRT($C$7)),"")</f>
        <v/>
      </c>
      <c r="Q72" s="39">
        <f>IFERROR(_xll.qlBlackFormula(IF(O72&lt;$C$4,"Put","Call"),O72,$C$4,$C$10*SQRT($C$7),,$C$11),"")</f>
        <v>1.915854220963215E-12</v>
      </c>
      <c r="R72" s="40">
        <f>IFERROR(_xll.qlBachelierBlackFormula(IF(O72&lt;$C$4,"Put","Call"),O72,$C$4,$C$12*SQRT($C$7)),"")</f>
        <v>3.9203929545946479E-6</v>
      </c>
      <c r="S72" s="41" t="str">
        <f>IFERROR((_xll.qlBlackFormula(IF(O72&lt;$C$4,"Put","Call"),O72+$C$14,$C$4,$C$9*SQRT($C$7))-
2*_xll.qlBlackFormula(IF(O72&lt;$C$4,"Put","Call"),O72,$C$4,$C$9*SQRT($C$7))+
_xll.qlBlackFormula(IF(O72&lt;$C$4,"Put","Call"),O72-$C$14,$C$4,$C$9*SQRT($C$7)))/$C$14^2,"")</f>
        <v/>
      </c>
      <c r="T72" s="42">
        <f>IFERROR((_xll.qlBlackFormula(IF(O72&lt;$C$4,"Put","Call"),O72+$C$14,$C$4,$C$10*SQRT($C$7),,$C$11)-
2*_xll.qlBlackFormula(IF(O72&lt;$C$4,"Put","Call"),O72,$C$4,$C$10*SQRT($C$7),,$C$11)+
_xll.qlBlackFormula(IF(O72&lt;$C$4,"Put","Call"),O72-$C$14,$C$4,$C$10*SQRT($C$7),,$C$11))/$C$14^2,"")</f>
        <v>2.3140244991943614E-4</v>
      </c>
      <c r="U72" s="43">
        <f>IFERROR((_xll.qlBachelierBlackFormula(IF(O72&lt;$C$4,"Put","Call"),O72+$C$14,$C$4,$C$12*SQRT($C$7))-
2*_xll.qlBachelierBlackFormula(IF(O72&lt;$C$4,"Put","Call"),O72,$C$4,$C$12*SQRT($C$7))+
_xll.qlBachelierBlackFormula(IF(O72&lt;$C$4,"Put","Call"),O72-$C$14,$C$4,$C$12*SQRT($C$7)))/$C$14^2,"")</f>
        <v>3.8121592742332981</v>
      </c>
      <c r="V72" s="61" t="str">
        <f>IFERROR(_xll.qlBachelierBlackFormulaImpliedVol(IF(O72&lt;$C$4,"Put","Call"),O72,$C$4,$C$7,P72),"")</f>
        <v/>
      </c>
      <c r="W72" s="61">
        <f>IFERROR(_xll.qlBachelierBlackFormulaImpliedVol(IF(O72&lt;$C$4,"Put","Call"),O72,$C$4,$C$7,Q72),"")</f>
        <v>1.4678084925301082E-3</v>
      </c>
      <c r="X72" s="61">
        <f>IFERROR(_xll.qlBachelierBlackFormulaImpliedVol(IF(O72&lt;$C$4,"Put","Call"),O72,$C$4,$C$7,R72),"")</f>
        <v>3.1332853434939607E-3</v>
      </c>
      <c r="Y72" s="42"/>
    </row>
    <row r="73" spans="15:25">
      <c r="O73" s="37">
        <f t="shared" si="1"/>
        <v>-3.2000000000000041E-3</v>
      </c>
      <c r="P73" s="38" t="str">
        <f>IFERROR(_xll.qlBlackFormula(IF(O73&lt;$C$4,"Put","Call"),O73,$C$4,$C$9*SQRT($C$7)),"")</f>
        <v/>
      </c>
      <c r="Q73" s="39">
        <f>IFERROR(_xll.qlBlackFormula(IF(O73&lt;$C$4,"Put","Call"),O73,$C$4,$C$10*SQRT($C$7),,$C$11),"")</f>
        <v>5.7302472877826972E-12</v>
      </c>
      <c r="R73" s="40">
        <f>IFERROR(_xll.qlBachelierBlackFormula(IF(O73&lt;$C$4,"Put","Call"),O73,$C$4,$C$12*SQRT($C$7)),"")</f>
        <v>4.3436801879125203E-6</v>
      </c>
      <c r="S73" s="41" t="str">
        <f>IFERROR((_xll.qlBlackFormula(IF(O73&lt;$C$4,"Put","Call"),O73+$C$14,$C$4,$C$9*SQRT($C$7))-
2*_xll.qlBlackFormula(IF(O73&lt;$C$4,"Put","Call"),O73,$C$4,$C$9*SQRT($C$7))+
_xll.qlBlackFormula(IF(O73&lt;$C$4,"Put","Call"),O73-$C$14,$C$4,$C$9*SQRT($C$7)))/$C$14^2,"")</f>
        <v/>
      </c>
      <c r="T73" s="42">
        <f>IFERROR((_xll.qlBlackFormula(IF(O73&lt;$C$4,"Put","Call"),O73+$C$14,$C$4,$C$10*SQRT($C$7),,$C$11)-
2*_xll.qlBlackFormula(IF(O73&lt;$C$4,"Put","Call"),O73,$C$4,$C$10*SQRT($C$7),,$C$11)+
_xll.qlBlackFormula(IF(O73&lt;$C$4,"Put","Call"),O73-$C$14,$C$4,$C$10*SQRT($C$7),,$C$11))/$C$14^2,"")</f>
        <v>5.8071403239771588E-4</v>
      </c>
      <c r="U73" s="43">
        <f>IFERROR((_xll.qlBachelierBlackFormula(IF(O73&lt;$C$4,"Put","Call"),O73+$C$14,$C$4,$C$12*SQRT($C$7))-
2*_xll.qlBachelierBlackFormula(IF(O73&lt;$C$4,"Put","Call"),O73,$C$4,$C$12*SQRT($C$7))+
_xll.qlBachelierBlackFormula(IF(O73&lt;$C$4,"Put","Call"),O73-$C$14,$C$4,$C$12*SQRT($C$7)))/$C$14^2,"")</f>
        <v>4.146354402401534</v>
      </c>
      <c r="V73" s="61" t="str">
        <f>IFERROR(_xll.qlBachelierBlackFormulaImpliedVol(IF(O73&lt;$C$4,"Put","Call"),O73,$C$4,$C$7,P73),"")</f>
        <v/>
      </c>
      <c r="W73" s="61">
        <f>IFERROR(_xll.qlBachelierBlackFormulaImpliedVol(IF(O73&lt;$C$4,"Put","Call"),O73,$C$4,$C$7,Q73),"")</f>
        <v>1.4984509383118858E-3</v>
      </c>
      <c r="X73" s="61">
        <f>IFERROR(_xll.qlBachelierBlackFormulaImpliedVol(IF(O73&lt;$C$4,"Put","Call"),O73,$C$4,$C$7,R73),"")</f>
        <v>3.1332853434474887E-3</v>
      </c>
      <c r="Y73" s="42"/>
    </row>
    <row r="74" spans="15:25">
      <c r="O74" s="37">
        <f t="shared" si="1"/>
        <v>-3.1000000000000042E-3</v>
      </c>
      <c r="P74" s="38" t="str">
        <f>IFERROR(_xll.qlBlackFormula(IF(O74&lt;$C$4,"Put","Call"),O74,$C$4,$C$9*SQRT($C$7)),"")</f>
        <v/>
      </c>
      <c r="Q74" s="39">
        <f>IFERROR(_xll.qlBlackFormula(IF(O74&lt;$C$4,"Put","Call"),O74,$C$4,$C$10*SQRT($C$7),,$C$11),"")</f>
        <v>1.5694670402188081E-11</v>
      </c>
      <c r="R74" s="40">
        <f>IFERROR(_xll.qlBachelierBlackFormula(IF(O74&lt;$C$4,"Put","Call"),O74,$C$4,$C$12*SQRT($C$7)),"")</f>
        <v>4.8084515558703309E-6</v>
      </c>
      <c r="S74" s="41" t="str">
        <f>IFERROR((_xll.qlBlackFormula(IF(O74&lt;$C$4,"Put","Call"),O74+$C$14,$C$4,$C$9*SQRT($C$7))-
2*_xll.qlBlackFormula(IF(O74&lt;$C$4,"Put","Call"),O74,$C$4,$C$9*SQRT($C$7))+
_xll.qlBlackFormula(IF(O74&lt;$C$4,"Put","Call"),O74-$C$14,$C$4,$C$9*SQRT($C$7)))/$C$14^2,"")</f>
        <v/>
      </c>
      <c r="T74" s="42">
        <f>IFERROR((_xll.qlBlackFormula(IF(O74&lt;$C$4,"Put","Call"),O74+$C$14,$C$4,$C$10*SQRT($C$7),,$C$11)-
2*_xll.qlBlackFormula(IF(O74&lt;$C$4,"Put","Call"),O74,$C$4,$C$10*SQRT($C$7),,$C$11)+
_xll.qlBlackFormula(IF(O74&lt;$C$4,"Put","Call"),O74-$C$14,$C$4,$C$10*SQRT($C$7),,$C$11))/$C$14^2,"")</f>
        <v>1.3473117067114297E-3</v>
      </c>
      <c r="U74" s="43">
        <f>IFERROR((_xll.qlBachelierBlackFormula(IF(O74&lt;$C$4,"Put","Call"),O74+$C$14,$C$4,$C$12*SQRT($C$7))-
2*_xll.qlBachelierBlackFormula(IF(O74&lt;$C$4,"Put","Call"),O74,$C$4,$C$12*SQRT($C$7))+
_xll.qlBachelierBlackFormula(IF(O74&lt;$C$4,"Put","Call"),O74-$C$14,$C$4,$C$12*SQRT($C$7)))/$C$14^2,"")</f>
        <v>4.5052566346082301</v>
      </c>
      <c r="V74" s="61" t="str">
        <f>IFERROR(_xll.qlBachelierBlackFormulaImpliedVol(IF(O74&lt;$C$4,"Put","Call"),O74,$C$4,$C$7,P74),"")</f>
        <v/>
      </c>
      <c r="W74" s="61">
        <f>IFERROR(_xll.qlBachelierBlackFormulaImpliedVol(IF(O74&lt;$C$4,"Put","Call"),O74,$C$4,$C$7,Q74),"")</f>
        <v>1.5283574445476753E-3</v>
      </c>
      <c r="X74" s="61">
        <f>IFERROR(_xll.qlBachelierBlackFormulaImpliedVol(IF(O74&lt;$C$4,"Put","Call"),O74,$C$4,$C$7,R74),"")</f>
        <v>3.1332853434002119E-3</v>
      </c>
      <c r="Y74" s="42"/>
    </row>
    <row r="75" spans="15:25">
      <c r="O75" s="37">
        <f t="shared" si="1"/>
        <v>-3.0000000000000044E-3</v>
      </c>
      <c r="P75" s="38" t="str">
        <f>IFERROR(_xll.qlBlackFormula(IF(O75&lt;$C$4,"Put","Call"),O75,$C$4,$C$9*SQRT($C$7)),"")</f>
        <v/>
      </c>
      <c r="Q75" s="39">
        <f>IFERROR(_xll.qlBlackFormula(IF(O75&lt;$C$4,"Put","Call"),O75,$C$4,$C$10*SQRT($C$7),,$C$11),"")</f>
        <v>3.9781450467123045E-11</v>
      </c>
      <c r="R75" s="40">
        <f>IFERROR(_xll.qlBachelierBlackFormula(IF(O75&lt;$C$4,"Put","Call"),O75,$C$4,$C$12*SQRT($C$7)),"")</f>
        <v>5.3182972213734004E-6</v>
      </c>
      <c r="S75" s="41" t="str">
        <f>IFERROR((_xll.qlBlackFormula(IF(O75&lt;$C$4,"Put","Call"),O75+$C$14,$C$4,$C$9*SQRT($C$7))-
2*_xll.qlBlackFormula(IF(O75&lt;$C$4,"Put","Call"),O75,$C$4,$C$9*SQRT($C$7))+
_xll.qlBlackFormula(IF(O75&lt;$C$4,"Put","Call"),O75-$C$14,$C$4,$C$9*SQRT($C$7)))/$C$14^2,"")</f>
        <v/>
      </c>
      <c r="T75" s="42">
        <f>IFERROR((_xll.qlBlackFormula(IF(O75&lt;$C$4,"Put","Call"),O75+$C$14,$C$4,$C$10*SQRT($C$7),,$C$11)-
2*_xll.qlBlackFormula(IF(O75&lt;$C$4,"Put","Call"),O75,$C$4,$C$10*SQRT($C$7),,$C$11)+
_xll.qlBlackFormula(IF(O75&lt;$C$4,"Put","Call"),O75-$C$14,$C$4,$C$10*SQRT($C$7),,$C$11))/$C$14^2,"")</f>
        <v>2.910129082089982E-3</v>
      </c>
      <c r="U75" s="43">
        <f>IFERROR((_xll.qlBachelierBlackFormula(IF(O75&lt;$C$4,"Put","Call"),O75+$C$14,$C$4,$C$12*SQRT($C$7))-
2*_xll.qlBachelierBlackFormula(IF(O75&lt;$C$4,"Put","Call"),O75,$C$4,$C$12*SQRT($C$7))+
_xll.qlBachelierBlackFormula(IF(O75&lt;$C$4,"Put","Call"),O75-$C$14,$C$4,$C$12*SQRT($C$7)))/$C$14^2,"")</f>
        <v>4.8902404952626091</v>
      </c>
      <c r="V75" s="61" t="str">
        <f>IFERROR(_xll.qlBachelierBlackFormulaImpliedVol(IF(O75&lt;$C$4,"Put","Call"),O75,$C$4,$C$7,P75),"")</f>
        <v/>
      </c>
      <c r="W75" s="61">
        <f>IFERROR(_xll.qlBachelierBlackFormulaImpliedVol(IF(O75&lt;$C$4,"Put","Call"),O75,$C$4,$C$7,Q75),"")</f>
        <v>1.5575884761857683E-3</v>
      </c>
      <c r="X75" s="61">
        <f>IFERROR(_xll.qlBachelierBlackFormulaImpliedVol(IF(O75&lt;$C$4,"Put","Call"),O75,$C$4,$C$7,R75),"")</f>
        <v>3.1332853433542114E-3</v>
      </c>
      <c r="Y75" s="42"/>
    </row>
    <row r="76" spans="15:25">
      <c r="O76" s="37">
        <f t="shared" si="1"/>
        <v>-2.9000000000000046E-3</v>
      </c>
      <c r="P76" s="38" t="str">
        <f>IFERROR(_xll.qlBlackFormula(IF(O76&lt;$C$4,"Put","Call"),O76,$C$4,$C$9*SQRT($C$7)),"")</f>
        <v/>
      </c>
      <c r="Q76" s="39">
        <f>IFERROR(_xll.qlBlackFormula(IF(O76&lt;$C$4,"Put","Call"),O76,$C$4,$C$10*SQRT($C$7),,$C$11),"")</f>
        <v>9.414702981102804E-11</v>
      </c>
      <c r="R76" s="40">
        <f>IFERROR(_xll.qlBachelierBlackFormula(IF(O76&lt;$C$4,"Put","Call"),O76,$C$4,$C$12*SQRT($C$7)),"")</f>
        <v>5.8770681990803059E-6</v>
      </c>
      <c r="S76" s="41" t="str">
        <f>IFERROR((_xll.qlBlackFormula(IF(O76&lt;$C$4,"Put","Call"),O76+$C$14,$C$4,$C$9*SQRT($C$7))-
2*_xll.qlBlackFormula(IF(O76&lt;$C$4,"Put","Call"),O76,$C$4,$C$9*SQRT($C$7))+
_xll.qlBlackFormula(IF(O76&lt;$C$4,"Put","Call"),O76-$C$14,$C$4,$C$9*SQRT($C$7)))/$C$14^2,"")</f>
        <v/>
      </c>
      <c r="T76" s="42">
        <f>IFERROR((_xll.qlBlackFormula(IF(O76&lt;$C$4,"Put","Call"),O76+$C$14,$C$4,$C$10*SQRT($C$7),,$C$11)-
2*_xll.qlBlackFormula(IF(O76&lt;$C$4,"Put","Call"),O76,$C$4,$C$10*SQRT($C$7),,$C$11)+
_xll.qlBlackFormula(IF(O76&lt;$C$4,"Put","Call"),O76-$C$14,$C$4,$C$10*SQRT($C$7),,$C$11))/$C$14^2,"")</f>
        <v>5.9070447974437362E-3</v>
      </c>
      <c r="U76" s="43">
        <f>IFERROR((_xll.qlBachelierBlackFormula(IF(O76&lt;$C$4,"Put","Call"),O76+$C$14,$C$4,$C$12*SQRT($C$7))-
2*_xll.qlBachelierBlackFormula(IF(O76&lt;$C$4,"Put","Call"),O76,$C$4,$C$12*SQRT($C$7))+
_xll.qlBachelierBlackFormula(IF(O76&lt;$C$4,"Put","Call"),O76-$C$14,$C$4,$C$12*SQRT($C$7)))/$C$14^2,"")</f>
        <v>5.3027180221690635</v>
      </c>
      <c r="V76" s="61" t="str">
        <f>IFERROR(_xll.qlBachelierBlackFormulaImpliedVol(IF(O76&lt;$C$4,"Put","Call"),O76,$C$4,$C$7,P76),"")</f>
        <v/>
      </c>
      <c r="W76" s="61">
        <f>IFERROR(_xll.qlBachelierBlackFormulaImpliedVol(IF(O76&lt;$C$4,"Put","Call"),O76,$C$4,$C$7,Q76),"")</f>
        <v>1.5861966838419961E-3</v>
      </c>
      <c r="X76" s="61">
        <f>IFERROR(_xll.qlBachelierBlackFormulaImpliedVol(IF(O76&lt;$C$4,"Put","Call"),O76,$C$4,$C$7,R76),"")</f>
        <v>3.1332853433112926E-3</v>
      </c>
      <c r="Y76" s="42"/>
    </row>
    <row r="77" spans="15:25">
      <c r="O77" s="37">
        <f t="shared" si="1"/>
        <v>-2.8000000000000047E-3</v>
      </c>
      <c r="P77" s="38" t="str">
        <f>IFERROR(_xll.qlBlackFormula(IF(O77&lt;$C$4,"Put","Call"),O77,$C$4,$C$9*SQRT($C$7)),"")</f>
        <v/>
      </c>
      <c r="Q77" s="39">
        <f>IFERROR(_xll.qlBlackFormula(IF(O77&lt;$C$4,"Put","Call"),O77,$C$4,$C$10*SQRT($C$7),,$C$11),"")</f>
        <v>2.0959945382647383E-10</v>
      </c>
      <c r="R77" s="40">
        <f>IFERROR(_xll.qlBachelierBlackFormula(IF(O77&lt;$C$4,"Put","Call"),O77,$C$4,$C$12*SQRT($C$7)),"")</f>
        <v>6.4888904670004931E-6</v>
      </c>
      <c r="S77" s="41" t="str">
        <f>IFERROR((_xll.qlBlackFormula(IF(O77&lt;$C$4,"Put","Call"),O77+$C$14,$C$4,$C$9*SQRT($C$7))-
2*_xll.qlBlackFormula(IF(O77&lt;$C$4,"Put","Call"),O77,$C$4,$C$9*SQRT($C$7))+
_xll.qlBlackFormula(IF(O77&lt;$C$4,"Put","Call"),O77-$C$14,$C$4,$C$9*SQRT($C$7)))/$C$14^2,"")</f>
        <v/>
      </c>
      <c r="T77" s="42">
        <f>IFERROR((_xll.qlBlackFormula(IF(O77&lt;$C$4,"Put","Call"),O77+$C$14,$C$4,$C$10*SQRT($C$7),,$C$11)-
2*_xll.qlBlackFormula(IF(O77&lt;$C$4,"Put","Call"),O77,$C$4,$C$10*SQRT($C$7),,$C$11)+
_xll.qlBlackFormula(IF(O77&lt;$C$4,"Put","Call"),O77-$C$14,$C$4,$C$10*SQRT($C$7),,$C$11))/$C$14^2,"")</f>
        <v>1.1346436401178515E-2</v>
      </c>
      <c r="U77" s="43">
        <f>IFERROR((_xll.qlBachelierBlackFormula(IF(O77&lt;$C$4,"Put","Call"),O77+$C$14,$C$4,$C$12*SQRT($C$7))-
2*_xll.qlBachelierBlackFormula(IF(O77&lt;$C$4,"Put","Call"),O77,$C$4,$C$12*SQRT($C$7))+
_xll.qlBachelierBlackFormula(IF(O77&lt;$C$4,"Put","Call"),O77-$C$14,$C$4,$C$12*SQRT($C$7)))/$C$14^2,"")</f>
        <v>5.744132735652566</v>
      </c>
      <c r="V77" s="61" t="str">
        <f>IFERROR(_xll.qlBachelierBlackFormulaImpliedVol(IF(O77&lt;$C$4,"Put","Call"),O77,$C$4,$C$7,P77),"")</f>
        <v/>
      </c>
      <c r="W77" s="61">
        <f>IFERROR(_xll.qlBachelierBlackFormulaImpliedVol(IF(O77&lt;$C$4,"Put","Call"),O77,$C$4,$C$7,Q77),"")</f>
        <v>1.61422826350298E-3</v>
      </c>
      <c r="X77" s="61">
        <f>IFERROR(_xll.qlBachelierBlackFormulaImpliedVol(IF(O77&lt;$C$4,"Put","Call"),O77,$C$4,$C$7,R77),"")</f>
        <v>3.1332853432728932E-3</v>
      </c>
      <c r="Y77" s="42"/>
    </row>
    <row r="78" spans="15:25">
      <c r="O78" s="37">
        <f t="shared" si="1"/>
        <v>-2.7000000000000049E-3</v>
      </c>
      <c r="P78" s="38" t="str">
        <f>IFERROR(_xll.qlBlackFormula(IF(O78&lt;$C$4,"Put","Call"),O78,$C$4,$C$9*SQRT($C$7)),"")</f>
        <v/>
      </c>
      <c r="Q78" s="39">
        <f>IFERROR(_xll.qlBlackFormula(IF(O78&lt;$C$4,"Put","Call"),O78,$C$4,$C$10*SQRT($C$7),,$C$11),"")</f>
        <v>4.4178837849682816E-10</v>
      </c>
      <c r="R78" s="40">
        <f>IFERROR(_xll.qlBachelierBlackFormula(IF(O78&lt;$C$4,"Put","Call"),O78,$C$4,$C$12*SQRT($C$7)),"")</f>
        <v>7.1581794008994992E-6</v>
      </c>
      <c r="S78" s="41" t="str">
        <f>IFERROR((_xll.qlBlackFormula(IF(O78&lt;$C$4,"Put","Call"),O78+$C$14,$C$4,$C$9*SQRT($C$7))-
2*_xll.qlBlackFormula(IF(O78&lt;$C$4,"Put","Call"),O78,$C$4,$C$9*SQRT($C$7))+
_xll.qlBlackFormula(IF(O78&lt;$C$4,"Put","Call"),O78-$C$14,$C$4,$C$9*SQRT($C$7)))/$C$14^2,"")</f>
        <v/>
      </c>
      <c r="T78" s="42">
        <f>IFERROR((_xll.qlBlackFormula(IF(O78&lt;$C$4,"Put","Call"),O78+$C$14,$C$4,$C$10*SQRT($C$7),,$C$11)-
2*_xll.qlBlackFormula(IF(O78&lt;$C$4,"Put","Call"),O78,$C$4,$C$10*SQRT($C$7),,$C$11)+
_xll.qlBlackFormula(IF(O78&lt;$C$4,"Put","Call"),O78-$C$14,$C$4,$C$10*SQRT($C$7),,$C$11))/$C$14^2,"")</f>
        <v>2.0742647321399431E-2</v>
      </c>
      <c r="U78" s="43">
        <f>IFERROR((_xll.qlBachelierBlackFormula(IF(O78&lt;$C$4,"Put","Call"),O78+$C$14,$C$4,$C$12*SQRT($C$7))-
2*_xll.qlBachelierBlackFormula(IF(O78&lt;$C$4,"Put","Call"),O78,$C$4,$C$12*SQRT($C$7))+
_xll.qlBachelierBlackFormula(IF(O78&lt;$C$4,"Put","Call"),O78-$C$14,$C$4,$C$12*SQRT($C$7)))/$C$14^2,"")</f>
        <v>6.2159571991037872</v>
      </c>
      <c r="V78" s="61" t="str">
        <f>IFERROR(_xll.qlBachelierBlackFormulaImpliedVol(IF(O78&lt;$C$4,"Put","Call"),O78,$C$4,$C$7,P78),"")</f>
        <v/>
      </c>
      <c r="W78" s="61">
        <f>IFERROR(_xll.qlBachelierBlackFormulaImpliedVol(IF(O78&lt;$C$4,"Put","Call"),O78,$C$4,$C$7,Q78),"")</f>
        <v>1.6417240058937813E-3</v>
      </c>
      <c r="X78" s="61">
        <f>IFERROR(_xll.qlBachelierBlackFormulaImpliedVol(IF(O78&lt;$C$4,"Put","Call"),O78,$C$4,$C$7,R78),"")</f>
        <v>3.1332853432403155E-3</v>
      </c>
      <c r="Y78" s="42"/>
    </row>
    <row r="79" spans="15:25">
      <c r="O79" s="37">
        <f t="shared" si="1"/>
        <v>-2.6000000000000051E-3</v>
      </c>
      <c r="P79" s="38" t="str">
        <f>IFERROR(_xll.qlBlackFormula(IF(O79&lt;$C$4,"Put","Call"),O79,$C$4,$C$9*SQRT($C$7)),"")</f>
        <v/>
      </c>
      <c r="Q79" s="39">
        <f>IFERROR(_xll.qlBlackFormula(IF(O79&lt;$C$4,"Put","Call"),O79,$C$4,$C$10*SQRT($C$7),,$C$11),"")</f>
        <v>8.864858327184126E-10</v>
      </c>
      <c r="R79" s="40">
        <f>IFERROR(_xll.qlBachelierBlackFormula(IF(O79&lt;$C$4,"Put","Call"),O79,$C$4,$C$12*SQRT($C$7)),"")</f>
        <v>7.88965449753371E-6</v>
      </c>
      <c r="S79" s="41" t="str">
        <f>IFERROR((_xll.qlBlackFormula(IF(O79&lt;$C$4,"Put","Call"),O79+$C$14,$C$4,$C$9*SQRT($C$7))-
2*_xll.qlBlackFormula(IF(O79&lt;$C$4,"Put","Call"),O79,$C$4,$C$9*SQRT($C$7))+
_xll.qlBlackFormula(IF(O79&lt;$C$4,"Put","Call"),O79-$C$14,$C$4,$C$9*SQRT($C$7)))/$C$14^2,"")</f>
        <v/>
      </c>
      <c r="T79" s="42">
        <f>IFERROR((_xll.qlBlackFormula(IF(O79&lt;$C$4,"Put","Call"),O79+$C$14,$C$4,$C$10*SQRT($C$7),,$C$11)-
2*_xll.qlBlackFormula(IF(O79&lt;$C$4,"Put","Call"),O79,$C$4,$C$10*SQRT($C$7),,$C$11)+
_xll.qlBlackFormula(IF(O79&lt;$C$4,"Put","Call"),O79-$C$14,$C$4,$C$10*SQRT($C$7),,$C$11))/$C$14^2,"")</f>
        <v>3.6274839131138145E-2</v>
      </c>
      <c r="U79" s="43">
        <f>IFERROR((_xll.qlBachelierBlackFormula(IF(O79&lt;$C$4,"Put","Call"),O79+$C$14,$C$4,$C$12*SQRT($C$7))-
2*_xll.qlBachelierBlackFormula(IF(O79&lt;$C$4,"Put","Call"),O79,$C$4,$C$12*SQRT($C$7))+
_xll.qlBachelierBlackFormula(IF(O79&lt;$C$4,"Put","Call"),O79-$C$14,$C$4,$C$12*SQRT($C$7)))/$C$14^2,"")</f>
        <v>6.7196899696604815</v>
      </c>
      <c r="V79" s="61" t="str">
        <f>IFERROR(_xll.qlBachelierBlackFormulaImpliedVol(IF(O79&lt;$C$4,"Put","Call"),O79,$C$4,$C$7,P79),"")</f>
        <v/>
      </c>
      <c r="W79" s="61">
        <f>IFERROR(_xll.qlBachelierBlackFormulaImpliedVol(IF(O79&lt;$C$4,"Put","Call"),O79,$C$4,$C$7,Q79),"")</f>
        <v>1.6687201388037179E-3</v>
      </c>
      <c r="X79" s="61">
        <f>IFERROR(_xll.qlBachelierBlackFormulaImpliedVol(IF(O79&lt;$C$4,"Put","Call"),O79,$C$4,$C$7,R79),"")</f>
        <v>3.1332853432142712E-3</v>
      </c>
      <c r="Y79" s="42"/>
    </row>
    <row r="80" spans="15:25">
      <c r="O80" s="37">
        <f t="shared" si="1"/>
        <v>-2.5000000000000053E-3</v>
      </c>
      <c r="P80" s="38" t="str">
        <f>IFERROR(_xll.qlBlackFormula(IF(O80&lt;$C$4,"Put","Call"),O80,$C$4,$C$9*SQRT($C$7)),"")</f>
        <v/>
      </c>
      <c r="Q80" s="39">
        <f>IFERROR(_xll.qlBlackFormula(IF(O80&lt;$C$4,"Put","Call"),O80,$C$4,$C$10*SQRT($C$7),,$C$11),"")</f>
        <v>1.7015043193845939E-9</v>
      </c>
      <c r="R80" s="40">
        <f>IFERROR(_xll.qlBachelierBlackFormula(IF(O80&lt;$C$4,"Put","Call"),O80,$C$4,$C$12*SQRT($C$7)),"")</f>
        <v>8.6883543483489849E-6</v>
      </c>
      <c r="S80" s="41" t="str">
        <f>IFERROR((_xll.qlBlackFormula(IF(O80&lt;$C$4,"Put","Call"),O80+$C$14,$C$4,$C$9*SQRT($C$7))-
2*_xll.qlBlackFormula(IF(O80&lt;$C$4,"Put","Call"),O80,$C$4,$C$9*SQRT($C$7))+
_xll.qlBlackFormula(IF(O80&lt;$C$4,"Put","Call"),O80-$C$14,$C$4,$C$9*SQRT($C$7)))/$C$14^2,"")</f>
        <v/>
      </c>
      <c r="T80" s="42">
        <f>IFERROR((_xll.qlBlackFormula(IF(O80&lt;$C$4,"Put","Call"),O80+$C$14,$C$4,$C$10*SQRT($C$7),,$C$11)-
2*_xll.qlBlackFormula(IF(O80&lt;$C$4,"Put","Call"),O80,$C$4,$C$10*SQRT($C$7),,$C$11)+
_xll.qlBlackFormula(IF(O80&lt;$C$4,"Put","Call"),O80-$C$14,$C$4,$C$10*SQRT($C$7),,$C$11))/$C$14^2,"")</f>
        <v>6.0946786455009387E-2</v>
      </c>
      <c r="U80" s="43">
        <f>IFERROR((_xll.qlBachelierBlackFormula(IF(O80&lt;$C$4,"Put","Call"),O80+$C$14,$C$4,$C$12*SQRT($C$7))-
2*_xll.qlBachelierBlackFormula(IF(O80&lt;$C$4,"Put","Call"),O80,$C$4,$C$12*SQRT($C$7))+
_xll.qlBachelierBlackFormula(IF(O80&lt;$C$4,"Put","Call"),O80-$C$14,$C$4,$C$12*SQRT($C$7)))/$C$14^2,"")</f>
        <v>7.2568491200995098</v>
      </c>
      <c r="V80" s="61" t="str">
        <f>IFERROR(_xll.qlBachelierBlackFormulaImpliedVol(IF(O80&lt;$C$4,"Put","Call"),O80,$C$4,$C$7,P80),"")</f>
        <v/>
      </c>
      <c r="W80" s="61">
        <f>IFERROR(_xll.qlBachelierBlackFormulaImpliedVol(IF(O80&lt;$C$4,"Put","Call"),O80,$C$4,$C$7,Q80),"")</f>
        <v>1.695249006576072E-3</v>
      </c>
      <c r="X80" s="61">
        <f>IFERROR(_xll.qlBachelierBlackFormulaImpliedVol(IF(O80&lt;$C$4,"Put","Call"),O80,$C$4,$C$7,R80),"")</f>
        <v>3.1332853431952977E-3</v>
      </c>
      <c r="Y80" s="42"/>
    </row>
    <row r="81" spans="15:25">
      <c r="O81" s="37">
        <f t="shared" si="1"/>
        <v>-2.4000000000000054E-3</v>
      </c>
      <c r="P81" s="38" t="str">
        <f>IFERROR(_xll.qlBlackFormula(IF(O81&lt;$C$4,"Put","Call"),O81,$C$4,$C$9*SQRT($C$7)),"")</f>
        <v/>
      </c>
      <c r="Q81" s="39">
        <f>IFERROR(_xll.qlBlackFormula(IF(O81&lt;$C$4,"Put","Call"),O81,$C$4,$C$10*SQRT($C$7),,$C$11),"")</f>
        <v>3.1368953718579126E-9</v>
      </c>
      <c r="R81" s="40">
        <f>IFERROR(_xll.qlBachelierBlackFormula(IF(O81&lt;$C$4,"Put","Call"),O81,$C$4,$C$12*SQRT($C$7)),"")</f>
        <v>9.5596518207855056E-6</v>
      </c>
      <c r="S81" s="41" t="str">
        <f>IFERROR((_xll.qlBlackFormula(IF(O81&lt;$C$4,"Put","Call"),O81+$C$14,$C$4,$C$9*SQRT($C$7))-
2*_xll.qlBlackFormula(IF(O81&lt;$C$4,"Put","Call"),O81,$C$4,$C$9*SQRT($C$7))+
_xll.qlBlackFormula(IF(O81&lt;$C$4,"Put","Call"),O81-$C$14,$C$4,$C$9*SQRT($C$7)))/$C$14^2,"")</f>
        <v/>
      </c>
      <c r="T81" s="42">
        <f>IFERROR((_xll.qlBlackFormula(IF(O81&lt;$C$4,"Put","Call"),O81+$C$14,$C$4,$C$10*SQRT($C$7),,$C$11)-
2*_xll.qlBlackFormula(IF(O81&lt;$C$4,"Put","Call"),O81,$C$4,$C$10*SQRT($C$7),,$C$11)+
_xll.qlBlackFormula(IF(O81&lt;$C$4,"Put","Call"),O81-$C$14,$C$4,$C$10*SQRT($C$7),,$C$11))/$C$14^2,"")</f>
        <v>9.8758770226330964E-2</v>
      </c>
      <c r="U81" s="43">
        <f>IFERROR((_xll.qlBachelierBlackFormula(IF(O81&lt;$C$4,"Put","Call"),O81+$C$14,$C$4,$C$12*SQRT($C$7))-
2*_xll.qlBachelierBlackFormula(IF(O81&lt;$C$4,"Put","Call"),O81,$C$4,$C$12*SQRT($C$7))+
_xll.qlBachelierBlackFormula(IF(O81&lt;$C$4,"Put","Call"),O81-$C$14,$C$4,$C$12*SQRT($C$7)))/$C$14^2,"")</f>
        <v>7.8289686745221942</v>
      </c>
      <c r="V81" s="61" t="str">
        <f>IFERROR(_xll.qlBachelierBlackFormulaImpliedVol(IF(O81&lt;$C$4,"Put","Call"),O81,$C$4,$C$7,P81),"")</f>
        <v/>
      </c>
      <c r="W81" s="61">
        <f>IFERROR(_xll.qlBachelierBlackFormulaImpliedVol(IF(O81&lt;$C$4,"Put","Call"),O81,$C$4,$C$7,Q81),"")</f>
        <v>1.7213396261107443E-3</v>
      </c>
      <c r="X81" s="61">
        <f>IFERROR(_xll.qlBachelierBlackFormulaImpliedVol(IF(O81&lt;$C$4,"Put","Call"),O81,$C$4,$C$7,R81),"")</f>
        <v>3.1332853431834508E-3</v>
      </c>
      <c r="Y81" s="42"/>
    </row>
    <row r="82" spans="15:25">
      <c r="O82" s="37">
        <f t="shared" si="1"/>
        <v>-2.3000000000000056E-3</v>
      </c>
      <c r="P82" s="38" t="str">
        <f>IFERROR(_xll.qlBlackFormula(IF(O82&lt;$C$4,"Put","Call"),O82,$C$4,$C$9*SQRT($C$7)),"")</f>
        <v/>
      </c>
      <c r="Q82" s="39">
        <f>IFERROR(_xll.qlBlackFormula(IF(O82&lt;$C$4,"Put","Call"),O82,$C$4,$C$10*SQRT($C$7),,$C$11),"")</f>
        <v>5.5750607156677601E-9</v>
      </c>
      <c r="R82" s="40">
        <f>IFERROR(_xll.qlBachelierBlackFormula(IF(O82&lt;$C$4,"Put","Call"),O82,$C$4,$C$12*SQRT($C$7)),"")</f>
        <v>1.0509269399738713E-5</v>
      </c>
      <c r="S82" s="41" t="str">
        <f>IFERROR((_xll.qlBlackFormula(IF(O82&lt;$C$4,"Put","Call"),O82+$C$14,$C$4,$C$9*SQRT($C$7))-
2*_xll.qlBlackFormula(IF(O82&lt;$C$4,"Put","Call"),O82,$C$4,$C$9*SQRT($C$7))+
_xll.qlBlackFormula(IF(O82&lt;$C$4,"Put","Call"),O82-$C$14,$C$4,$C$9*SQRT($C$7)))/$C$14^2,"")</f>
        <v/>
      </c>
      <c r="T82" s="42">
        <f>IFERROR((_xll.qlBlackFormula(IF(O82&lt;$C$4,"Put","Call"),O82+$C$14,$C$4,$C$10*SQRT($C$7),,$C$11)-
2*_xll.qlBlackFormula(IF(O82&lt;$C$4,"Put","Call"),O82,$C$4,$C$10*SQRT($C$7),,$C$11)+
_xll.qlBlackFormula(IF(O82&lt;$C$4,"Put","Call"),O82-$C$14,$C$4,$C$10*SQRT($C$7),,$C$11))/$C$14^2,"")</f>
        <v>0.15485359689949882</v>
      </c>
      <c r="U82" s="43">
        <f>IFERROR((_xll.qlBachelierBlackFormula(IF(O82&lt;$C$4,"Put","Call"),O82+$C$14,$C$4,$C$12*SQRT($C$7))-
2*_xll.qlBachelierBlackFormula(IF(O82&lt;$C$4,"Put","Call"),O82,$C$4,$C$12*SQRT($C$7))+
_xll.qlBachelierBlackFormula(IF(O82&lt;$C$4,"Put","Call"),O82-$C$14,$C$4,$C$12*SQRT($C$7)))/$C$14^2,"")</f>
        <v>8.4375941427966215</v>
      </c>
      <c r="V82" s="61" t="str">
        <f>IFERROR(_xll.qlBachelierBlackFormulaImpliedVol(IF(O82&lt;$C$4,"Put","Call"),O82,$C$4,$C$7,P82),"")</f>
        <v/>
      </c>
      <c r="W82" s="61">
        <f>IFERROR(_xll.qlBachelierBlackFormulaImpliedVol(IF(O82&lt;$C$4,"Put","Call"),O82,$C$4,$C$7,Q82),"")</f>
        <v>1.7470181449511333E-3</v>
      </c>
      <c r="X82" s="61">
        <f>IFERROR(_xll.qlBachelierBlackFormulaImpliedVol(IF(O82&lt;$C$4,"Put","Call"),O82,$C$4,$C$7,R82),"")</f>
        <v>3.1332853431785017E-3</v>
      </c>
      <c r="Y82" s="42"/>
    </row>
    <row r="83" spans="15:25">
      <c r="O83" s="37">
        <f t="shared" si="1"/>
        <v>-2.2000000000000058E-3</v>
      </c>
      <c r="P83" s="38" t="str">
        <f>IFERROR(_xll.qlBlackFormula(IF(O83&lt;$C$4,"Put","Call"),O83,$C$4,$C$9*SQRT($C$7)),"")</f>
        <v/>
      </c>
      <c r="Q83" s="39">
        <f>IFERROR(_xll.qlBlackFormula(IF(O83&lt;$C$4,"Put","Call"),O83,$C$4,$C$10*SQRT($C$7),,$C$11),"")</f>
        <v>9.5822730216129956E-9</v>
      </c>
      <c r="R83" s="40">
        <f>IFERROR(_xll.qlBachelierBlackFormula(IF(O83&lt;$C$4,"Put","Call"),O83,$C$4,$C$12*SQRT($C$7)),"")</f>
        <v>1.1543294637059116E-5</v>
      </c>
      <c r="S83" s="41" t="str">
        <f>IFERROR((_xll.qlBlackFormula(IF(O83&lt;$C$4,"Put","Call"),O83+$C$14,$C$4,$C$9*SQRT($C$7))-
2*_xll.qlBlackFormula(IF(O83&lt;$C$4,"Put","Call"),O83,$C$4,$C$9*SQRT($C$7))+
_xll.qlBlackFormula(IF(O83&lt;$C$4,"Put","Call"),O83-$C$14,$C$4,$C$9*SQRT($C$7)))/$C$14^2,"")</f>
        <v/>
      </c>
      <c r="T83" s="42">
        <f>IFERROR((_xll.qlBlackFormula(IF(O83&lt;$C$4,"Put","Call"),O83+$C$14,$C$4,$C$10*SQRT($C$7),,$C$11)-
2*_xll.qlBlackFormula(IF(O83&lt;$C$4,"Put","Call"),O83,$C$4,$C$10*SQRT($C$7),,$C$11)+
_xll.qlBlackFormula(IF(O83&lt;$C$4,"Put","Call"),O83-$C$14,$C$4,$C$10*SQRT($C$7),,$C$11))/$C$14^2,"")</f>
        <v>0.23563681425119001</v>
      </c>
      <c r="U83" s="43">
        <f>IFERROR((_xll.qlBachelierBlackFormula(IF(O83&lt;$C$4,"Put","Call"),O83+$C$14,$C$4,$C$12*SQRT($C$7))-
2*_xll.qlBachelierBlackFormula(IF(O83&lt;$C$4,"Put","Call"),O83,$C$4,$C$12*SQRT($C$7))+
_xll.qlBachelierBlackFormula(IF(O83&lt;$C$4,"Put","Call"),O83-$C$14,$C$4,$C$12*SQRT($C$7)))/$C$14^2,"")</f>
        <v>9.0842779533559934</v>
      </c>
      <c r="V83" s="61" t="str">
        <f>IFERROR(_xll.qlBachelierBlackFormulaImpliedVol(IF(O83&lt;$C$4,"Put","Call"),O83,$C$4,$C$7,P83),"")</f>
        <v/>
      </c>
      <c r="W83" s="61">
        <f>IFERROR(_xll.qlBachelierBlackFormulaImpliedVol(IF(O83&lt;$C$4,"Put","Call"),O83,$C$4,$C$7,Q83),"")</f>
        <v>1.7723082215390824E-3</v>
      </c>
      <c r="X83" s="61">
        <f>IFERROR(_xll.qlBachelierBlackFormulaImpliedVol(IF(O83&lt;$C$4,"Put","Call"),O83,$C$4,$C$7,R83),"")</f>
        <v>3.1332853431798443E-3</v>
      </c>
      <c r="Y83" s="42"/>
    </row>
    <row r="84" spans="15:25">
      <c r="O84" s="37">
        <f t="shared" si="1"/>
        <v>-2.1000000000000059E-3</v>
      </c>
      <c r="P84" s="38" t="str">
        <f>IFERROR(_xll.qlBlackFormula(IF(O84&lt;$C$4,"Put","Call"),O84,$C$4,$C$9*SQRT($C$7)),"")</f>
        <v/>
      </c>
      <c r="Q84" s="39">
        <f>IFERROR(_xll.qlBlackFormula(IF(O84&lt;$C$4,"Put","Call"),O84,$C$4,$C$10*SQRT($C$7),,$C$11),"")</f>
        <v>1.5972838566180117E-8</v>
      </c>
      <c r="R84" s="40">
        <f>IFERROR(_xll.qlBachelierBlackFormula(IF(O84&lt;$C$4,"Put","Call"),O84,$C$4,$C$12*SQRT($C$7)),"")</f>
        <v>1.2668195652272861E-5</v>
      </c>
      <c r="S84" s="41" t="str">
        <f>IFERROR((_xll.qlBlackFormula(IF(O84&lt;$C$4,"Put","Call"),O84+$C$14,$C$4,$C$9*SQRT($C$7))-
2*_xll.qlBlackFormula(IF(O84&lt;$C$4,"Put","Call"),O84,$C$4,$C$9*SQRT($C$7))+
_xll.qlBlackFormula(IF(O84&lt;$C$4,"Put","Call"),O84-$C$14,$C$4,$C$9*SQRT($C$7)))/$C$14^2,"")</f>
        <v/>
      </c>
      <c r="T84" s="42">
        <f>IFERROR((_xll.qlBlackFormula(IF(O84&lt;$C$4,"Put","Call"),O84+$C$14,$C$4,$C$10*SQRT($C$7),,$C$11)-
2*_xll.qlBlackFormula(IF(O84&lt;$C$4,"Put","Call"),O84,$C$4,$C$10*SQRT($C$7),,$C$11)+
_xll.qlBlackFormula(IF(O84&lt;$C$4,"Put","Call"),O84-$C$14,$C$4,$C$10*SQRT($C$7),,$C$11))/$C$14^2,"")</f>
        <v>0.34887431248217199</v>
      </c>
      <c r="U84" s="43">
        <f>IFERROR((_xll.qlBachelierBlackFormula(IF(O84&lt;$C$4,"Put","Call"),O84+$C$14,$C$4,$C$12*SQRT($C$7))-
2*_xll.qlBachelierBlackFormula(IF(O84&lt;$C$4,"Put","Call"),O84,$C$4,$C$12*SQRT($C$7))+
_xll.qlBachelierBlackFormula(IF(O84&lt;$C$4,"Put","Call"),O84-$C$14,$C$4,$C$12*SQRT($C$7)))/$C$14^2,"")</f>
        <v>9.7705669238872677</v>
      </c>
      <c r="V84" s="61" t="str">
        <f>IFERROR(_xll.qlBachelierBlackFormulaImpliedVol(IF(O84&lt;$C$4,"Put","Call"),O84,$C$4,$C$7,P84),"")</f>
        <v/>
      </c>
      <c r="W84" s="61">
        <f>IFERROR(_xll.qlBachelierBlackFormulaImpliedVol(IF(O84&lt;$C$4,"Put","Call"),O84,$C$4,$C$7,Q84),"")</f>
        <v>1.7972313430842882E-3</v>
      </c>
      <c r="X84" s="61">
        <f>IFERROR(_xll.qlBachelierBlackFormulaImpliedVol(IF(O84&lt;$C$4,"Put","Call"),O84,$C$4,$C$7,R84),"")</f>
        <v>3.1332853431866605E-3</v>
      </c>
      <c r="Y84" s="42"/>
    </row>
    <row r="85" spans="15:25">
      <c r="O85" s="37">
        <f t="shared" si="1"/>
        <v>-2.0000000000000061E-3</v>
      </c>
      <c r="P85" s="38" t="str">
        <f>IFERROR(_xll.qlBlackFormula(IF(O85&lt;$C$4,"Put","Call"),O85,$C$4,$C$9*SQRT($C$7)),"")</f>
        <v/>
      </c>
      <c r="Q85" s="39">
        <f>IFERROR(_xll.qlBlackFormula(IF(O85&lt;$C$4,"Put","Call"),O85,$C$4,$C$10*SQRT($C$7),,$C$11),"")</f>
        <v>2.5886746690628026E-8</v>
      </c>
      <c r="R85" s="40">
        <f>IFERROR(_xll.qlBachelierBlackFormula(IF(O85&lt;$C$4,"Put","Call"),O85,$C$4,$C$12*SQRT($C$7)),"")</f>
        <v>1.3890836622980005E-5</v>
      </c>
      <c r="S85" s="41" t="str">
        <f>IFERROR((_xll.qlBlackFormula(IF(O85&lt;$C$4,"Put","Call"),O85+$C$14,$C$4,$C$9*SQRT($C$7))-
2*_xll.qlBlackFormula(IF(O85&lt;$C$4,"Put","Call"),O85,$C$4,$C$9*SQRT($C$7))+
_xll.qlBlackFormula(IF(O85&lt;$C$4,"Put","Call"),O85-$C$14,$C$4,$C$9*SQRT($C$7)))/$C$14^2,"")</f>
        <v/>
      </c>
      <c r="T85" s="42">
        <f>IFERROR((_xll.qlBlackFormula(IF(O85&lt;$C$4,"Put","Call"),O85+$C$14,$C$4,$C$10*SQRT($C$7),,$C$11)-
2*_xll.qlBlackFormula(IF(O85&lt;$C$4,"Put","Call"),O85,$C$4,$C$10*SQRT($C$7),,$C$11)+
_xll.qlBlackFormula(IF(O85&lt;$C$4,"Put","Call"),O85-$C$14,$C$4,$C$10*SQRT($C$7),,$C$11))/$C$14^2,"")</f>
        <v>0.50371314723852645</v>
      </c>
      <c r="U85" s="43">
        <f>IFERROR((_xll.qlBachelierBlackFormula(IF(O85&lt;$C$4,"Put","Call"),O85+$C$14,$C$4,$C$12*SQRT($C$7))-
2*_xll.qlBachelierBlackFormula(IF(O85&lt;$C$4,"Put","Call"),O85,$C$4,$C$12*SQRT($C$7))+
_xll.qlBachelierBlackFormula(IF(O85&lt;$C$4,"Put","Call"),O85-$C$14,$C$4,$C$12*SQRT($C$7)))/$C$14^2,"")</f>
        <v>10.498004890521425</v>
      </c>
      <c r="V85" s="61" t="str">
        <f>IFERROR(_xll.qlBachelierBlackFormulaImpliedVol(IF(O85&lt;$C$4,"Put","Call"),O85,$C$4,$C$7,P85),"")</f>
        <v/>
      </c>
      <c r="W85" s="61">
        <f>IFERROR(_xll.qlBachelierBlackFormulaImpliedVol(IF(O85&lt;$C$4,"Put","Call"),O85,$C$4,$C$7,Q85),"")</f>
        <v>1.821807093442891E-3</v>
      </c>
      <c r="X85" s="61">
        <f>IFERROR(_xll.qlBachelierBlackFormulaImpliedVol(IF(O85&lt;$C$4,"Put","Call"),O85,$C$4,$C$7,R85),"")</f>
        <v>3.1332853431979323E-3</v>
      </c>
      <c r="Y85" s="42"/>
    </row>
    <row r="86" spans="15:25">
      <c r="O86" s="37">
        <f t="shared" si="1"/>
        <v>-1.9000000000000061E-3</v>
      </c>
      <c r="P86" s="38" t="str">
        <f>IFERROR(_xll.qlBlackFormula(IF(O86&lt;$C$4,"Put","Call"),O86,$C$4,$C$9*SQRT($C$7)),"")</f>
        <v/>
      </c>
      <c r="Q86" s="39">
        <f>IFERROR(_xll.qlBlackFormula(IF(O86&lt;$C$4,"Put","Call"),O86,$C$4,$C$10*SQRT($C$7),,$C$11),"")</f>
        <v>4.0881158701149255E-8</v>
      </c>
      <c r="R86" s="40">
        <f>IFERROR(_xll.qlBachelierBlackFormula(IF(O86&lt;$C$4,"Put","Call"),O86,$C$4,$C$12*SQRT($C$7)),"")</f>
        <v>1.5218493198706392E-5</v>
      </c>
      <c r="S86" s="41" t="str">
        <f>IFERROR((_xll.qlBlackFormula(IF(O86&lt;$C$4,"Put","Call"),O86+$C$14,$C$4,$C$9*SQRT($C$7))-
2*_xll.qlBlackFormula(IF(O86&lt;$C$4,"Put","Call"),O86,$C$4,$C$9*SQRT($C$7))+
_xll.qlBlackFormula(IF(O86&lt;$C$4,"Put","Call"),O86-$C$14,$C$4,$C$9*SQRT($C$7)))/$C$14^2,"")</f>
        <v/>
      </c>
      <c r="T86" s="42">
        <f>IFERROR((_xll.qlBlackFormula(IF(O86&lt;$C$4,"Put","Call"),O86+$C$14,$C$4,$C$10*SQRT($C$7),,$C$11)-
2*_xll.qlBlackFormula(IF(O86&lt;$C$4,"Put","Call"),O86,$C$4,$C$10*SQRT($C$7),,$C$11)+
_xll.qlBlackFormula(IF(O86&lt;$C$4,"Put","Call"),O86-$C$14,$C$4,$C$10*SQRT($C$7),,$C$11))/$C$14^2,"")</f>
        <v>0.71067295140563103</v>
      </c>
      <c r="U86" s="43">
        <f>IFERROR((_xll.qlBachelierBlackFormula(IF(O86&lt;$C$4,"Put","Call"),O86+$C$14,$C$4,$C$12*SQRT($C$7))-
2*_xll.qlBachelierBlackFormula(IF(O86&lt;$C$4,"Put","Call"),O86,$C$4,$C$12*SQRT($C$7))+
_xll.qlBachelierBlackFormula(IF(O86&lt;$C$4,"Put","Call"),O86-$C$14,$C$4,$C$12*SQRT($C$7)))/$C$14^2,"")</f>
        <v>11.268117054664614</v>
      </c>
      <c r="V86" s="61" t="str">
        <f>IFERROR(_xll.qlBachelierBlackFormulaImpliedVol(IF(O86&lt;$C$4,"Put","Call"),O86,$C$4,$C$7,P86),"")</f>
        <v/>
      </c>
      <c r="W86" s="61">
        <f>IFERROR(_xll.qlBachelierBlackFormulaImpliedVol(IF(O86&lt;$C$4,"Put","Call"),O86,$C$4,$C$7,Q86),"")</f>
        <v>1.8460533799880131E-3</v>
      </c>
      <c r="X86" s="61">
        <f>IFERROR(_xll.qlBachelierBlackFormulaImpliedVol(IF(O86&lt;$C$4,"Put","Call"),O86,$C$4,$C$7,R86),"")</f>
        <v>3.1332853432125018E-3</v>
      </c>
      <c r="Y86" s="42"/>
    </row>
    <row r="87" spans="15:25">
      <c r="O87" s="37">
        <f t="shared" si="1"/>
        <v>-1.800000000000006E-3</v>
      </c>
      <c r="P87" s="38" t="str">
        <f>IFERROR(_xll.qlBlackFormula(IF(O87&lt;$C$4,"Put","Call"),O87,$C$4,$C$9*SQRT($C$7)),"")</f>
        <v/>
      </c>
      <c r="Q87" s="39">
        <f>IFERROR(_xll.qlBlackFormula(IF(O87&lt;$C$4,"Put","Call"),O87,$C$4,$C$10*SQRT($C$7),,$C$11),"")</f>
        <v>6.3035519104735583E-8</v>
      </c>
      <c r="R87" s="40">
        <f>IFERROR(_xll.qlBachelierBlackFormula(IF(O87&lt;$C$4,"Put","Call"),O87,$C$4,$C$12*SQRT($C$7)),"")</f>
        <v>1.6658867767337779E-5</v>
      </c>
      <c r="S87" s="41" t="str">
        <f>IFERROR((_xll.qlBlackFormula(IF(O87&lt;$C$4,"Put","Call"),O87+$C$14,$C$4,$C$9*SQRT($C$7))-
2*_xll.qlBlackFormula(IF(O87&lt;$C$4,"Put","Call"),O87,$C$4,$C$9*SQRT($C$7))+
_xll.qlBlackFormula(IF(O87&lt;$C$4,"Put","Call"),O87-$C$14,$C$4,$C$9*SQRT($C$7)))/$C$14^2,"")</f>
        <v/>
      </c>
      <c r="T87" s="42">
        <f>IFERROR((_xll.qlBlackFormula(IF(O87&lt;$C$4,"Put","Call"),O87+$C$14,$C$4,$C$10*SQRT($C$7),,$C$11)-
2*_xll.qlBlackFormula(IF(O87&lt;$C$4,"Put","Call"),O87,$C$4,$C$10*SQRT($C$7),,$C$11)+
_xll.qlBlackFormula(IF(O87&lt;$C$4,"Put","Call"),O87-$C$14,$C$4,$C$10*SQRT($C$7),,$C$11))/$C$14^2,"")</f>
        <v>0.98155619535552907</v>
      </c>
      <c r="U87" s="43">
        <f>IFERROR((_xll.qlBachelierBlackFormula(IF(O87&lt;$C$4,"Put","Call"),O87+$C$14,$C$4,$C$12*SQRT($C$7))-
2*_xll.qlBachelierBlackFormula(IF(O87&lt;$C$4,"Put","Call"),O87,$C$4,$C$12*SQRT($C$7))+
_xll.qlBachelierBlackFormula(IF(O87&lt;$C$4,"Put","Call"),O87-$C$14,$C$4,$C$12*SQRT($C$7)))/$C$14^2,"")</f>
        <v>12.082412232717644</v>
      </c>
      <c r="V87" s="61" t="str">
        <f>IFERROR(_xll.qlBachelierBlackFormulaImpliedVol(IF(O87&lt;$C$4,"Put","Call"),O87,$C$4,$C$7,P87),"")</f>
        <v/>
      </c>
      <c r="W87" s="61">
        <f>IFERROR(_xll.qlBachelierBlackFormulaImpliedVol(IF(O87&lt;$C$4,"Put","Call"),O87,$C$4,$C$7,Q87),"")</f>
        <v>1.8699866269939263E-3</v>
      </c>
      <c r="X87" s="61">
        <f>IFERROR(_xll.qlBachelierBlackFormulaImpliedVol(IF(O87&lt;$C$4,"Put","Call"),O87,$C$4,$C$7,R87),"")</f>
        <v>3.1332853432291313E-3</v>
      </c>
      <c r="Y87" s="42"/>
    </row>
    <row r="88" spans="15:25">
      <c r="O88" s="37">
        <f t="shared" si="1"/>
        <v>-1.700000000000006E-3</v>
      </c>
      <c r="P88" s="38" t="str">
        <f>IFERROR(_xll.qlBlackFormula(IF(O88&lt;$C$4,"Put","Call"),O88,$C$4,$C$9*SQRT($C$7)),"")</f>
        <v/>
      </c>
      <c r="Q88" s="39">
        <f>IFERROR(_xll.qlBlackFormula(IF(O88&lt;$C$4,"Put","Call"),O88,$C$4,$C$10*SQRT($C$7),,$C$11),"")</f>
        <v>9.5069458284572269E-8</v>
      </c>
      <c r="R88" s="40">
        <f>IFERROR(_xll.qlBachelierBlackFormula(IF(O88&lt;$C$4,"Put","Call"),O88,$C$4,$C$12*SQRT($C$7)),"")</f>
        <v>1.822010449875222E-5</v>
      </c>
      <c r="S88" s="41" t="str">
        <f>IFERROR((_xll.qlBlackFormula(IF(O88&lt;$C$4,"Put","Call"),O88+$C$14,$C$4,$C$9*SQRT($C$7))-
2*_xll.qlBlackFormula(IF(O88&lt;$C$4,"Put","Call"),O88,$C$4,$C$9*SQRT($C$7))+
_xll.qlBlackFormula(IF(O88&lt;$C$4,"Put","Call"),O88-$C$14,$C$4,$C$9*SQRT($C$7)))/$C$14^2,"")</f>
        <v/>
      </c>
      <c r="T88" s="42">
        <f>IFERROR((_xll.qlBlackFormula(IF(O88&lt;$C$4,"Put","Call"),O88+$C$14,$C$4,$C$10*SQRT($C$7),,$C$11)-
2*_xll.qlBlackFormula(IF(O88&lt;$C$4,"Put","Call"),O88,$C$4,$C$10*SQRT($C$7),,$C$11)+
_xll.qlBlackFormula(IF(O88&lt;$C$4,"Put","Call"),O88-$C$14,$C$4,$C$10*SQRT($C$7),,$C$11))/$C$14^2,"")</f>
        <v>1.3293055280168271</v>
      </c>
      <c r="U88" s="43">
        <f>IFERROR((_xll.qlBachelierBlackFormula(IF(O88&lt;$C$4,"Put","Call"),O88+$C$14,$C$4,$C$12*SQRT($C$7))-
2*_xll.qlBachelierBlackFormula(IF(O88&lt;$C$4,"Put","Call"),O88,$C$4,$C$12*SQRT($C$7))+
_xll.qlBachelierBlackFormula(IF(O88&lt;$C$4,"Put","Call"),O88-$C$14,$C$4,$C$12*SQRT($C$7)))/$C$14^2,"")</f>
        <v>12.94236106361233</v>
      </c>
      <c r="V88" s="61" t="str">
        <f>IFERROR(_xll.qlBachelierBlackFormulaImpliedVol(IF(O88&lt;$C$4,"Put","Call"),O88,$C$4,$C$7,P88),"")</f>
        <v/>
      </c>
      <c r="W88" s="61">
        <f>IFERROR(_xll.qlBachelierBlackFormulaImpliedVol(IF(O88&lt;$C$4,"Put","Call"),O88,$C$4,$C$7,Q88),"")</f>
        <v>1.8936219413372203E-3</v>
      </c>
      <c r="X88" s="61">
        <f>IFERROR(_xll.qlBachelierBlackFormulaImpliedVol(IF(O88&lt;$C$4,"Put","Call"),O88,$C$4,$C$7,R88),"")</f>
        <v>3.1332853432466624E-3</v>
      </c>
      <c r="Y88" s="42"/>
    </row>
    <row r="89" spans="15:25">
      <c r="O89" s="37">
        <f t="shared" si="1"/>
        <v>-1.6000000000000059E-3</v>
      </c>
      <c r="P89" s="38" t="str">
        <f>IFERROR(_xll.qlBlackFormula(IF(O89&lt;$C$4,"Put","Call"),O89,$C$4,$C$9*SQRT($C$7)),"")</f>
        <v/>
      </c>
      <c r="Q89" s="39">
        <f>IFERROR(_xll.qlBlackFormula(IF(O89&lt;$C$4,"Put","Call"),O89,$C$4,$C$10*SQRT($C$7),,$C$11),"")</f>
        <v>1.4047203458837593E-7</v>
      </c>
      <c r="R89" s="40">
        <f>IFERROR(_xll.qlBachelierBlackFormula(IF(O89&lt;$C$4,"Put","Call"),O89,$C$4,$C$12*SQRT($C$7)),"")</f>
        <v>1.9910804085841643E-5</v>
      </c>
      <c r="S89" s="41" t="str">
        <f>IFERROR((_xll.qlBlackFormula(IF(O89&lt;$C$4,"Put","Call"),O89+$C$14,$C$4,$C$9*SQRT($C$7))-
2*_xll.qlBlackFormula(IF(O89&lt;$C$4,"Put","Call"),O89,$C$4,$C$9*SQRT($C$7))+
_xll.qlBlackFormula(IF(O89&lt;$C$4,"Put","Call"),O89-$C$14,$C$4,$C$9*SQRT($C$7)))/$C$14^2,"")</f>
        <v/>
      </c>
      <c r="T89" s="42">
        <f>IFERROR((_xll.qlBlackFormula(IF(O89&lt;$C$4,"Put","Call"),O89+$C$14,$C$4,$C$10*SQRT($C$7),,$C$11)-
2*_xll.qlBlackFormula(IF(O89&lt;$C$4,"Put","Call"),O89,$C$4,$C$10*SQRT($C$7),,$C$11)+
_xll.qlBlackFormula(IF(O89&lt;$C$4,"Put","Call"),O89-$C$14,$C$4,$C$10*SQRT($C$7),,$C$11))/$C$14^2,"")</f>
        <v>1.7677938411351461</v>
      </c>
      <c r="U89" s="43">
        <f>IFERROR((_xll.qlBachelierBlackFormula(IF(O89&lt;$C$4,"Put","Call"),O89+$C$14,$C$4,$C$12*SQRT($C$7))-
2*_xll.qlBachelierBlackFormula(IF(O89&lt;$C$4,"Put","Call"),O89,$C$4,$C$12*SQRT($C$7))+
_xll.qlBachelierBlackFormula(IF(O89&lt;$C$4,"Put","Call"),O89-$C$14,$C$4,$C$12*SQRT($C$7)))/$C$14^2,"")</f>
        <v>13.849402608892211</v>
      </c>
      <c r="V89" s="61" t="str">
        <f>IFERROR(_xll.qlBachelierBlackFormulaImpliedVol(IF(O89&lt;$C$4,"Put","Call"),O89,$C$4,$C$7,P89),"")</f>
        <v/>
      </c>
      <c r="W89" s="61">
        <f>IFERROR(_xll.qlBachelierBlackFormulaImpliedVol(IF(O89&lt;$C$4,"Put","Call"),O89,$C$4,$C$7,Q89),"")</f>
        <v>1.9169732552221529E-3</v>
      </c>
      <c r="X89" s="61">
        <f>IFERROR(_xll.qlBachelierBlackFormulaImpliedVol(IF(O89&lt;$C$4,"Put","Call"),O89,$C$4,$C$7,R89),"")</f>
        <v>3.1332853432639212E-3</v>
      </c>
      <c r="Y89" s="42"/>
    </row>
    <row r="90" spans="15:25">
      <c r="O90" s="37">
        <f t="shared" si="1"/>
        <v>-1.5000000000000059E-3</v>
      </c>
      <c r="P90" s="38" t="str">
        <f>IFERROR(_xll.qlBlackFormula(IF(O90&lt;$C$4,"Put","Call"),O90,$C$4,$C$9*SQRT($C$7)),"")</f>
        <v/>
      </c>
      <c r="Q90" s="39">
        <f>IFERROR(_xll.qlBlackFormula(IF(O90&lt;$C$4,"Put","Call"),O90,$C$4,$C$10*SQRT($C$7),,$C$11),"")</f>
        <v>2.0364027172214569E-7</v>
      </c>
      <c r="R90" s="40">
        <f>IFERROR(_xll.qlBachelierBlackFormula(IF(O90&lt;$C$4,"Put","Call"),O90,$C$4,$C$12*SQRT($C$7)),"")</f>
        <v>2.1740038098939793E-5</v>
      </c>
      <c r="S90" s="41" t="str">
        <f>IFERROR((_xll.qlBlackFormula(IF(O90&lt;$C$4,"Put","Call"),O90+$C$14,$C$4,$C$9*SQRT($C$7))-
2*_xll.qlBlackFormula(IF(O90&lt;$C$4,"Put","Call"),O90,$C$4,$C$9*SQRT($C$7))+
_xll.qlBlackFormula(IF(O90&lt;$C$4,"Put","Call"),O90-$C$14,$C$4,$C$9*SQRT($C$7)))/$C$14^2,"")</f>
        <v/>
      </c>
      <c r="T90" s="42">
        <f>IFERROR((_xll.qlBlackFormula(IF(O90&lt;$C$4,"Put","Call"),O90+$C$14,$C$4,$C$10*SQRT($C$7),,$C$11)-
2*_xll.qlBlackFormula(IF(O90&lt;$C$4,"Put","Call"),O90,$C$4,$C$10*SQRT($C$7),,$C$11)+
_xll.qlBlackFormula(IF(O90&lt;$C$4,"Put","Call"),O90-$C$14,$C$4,$C$10*SQRT($C$7),,$C$11))/$C$14^2,"")</f>
        <v>2.3115738563701229</v>
      </c>
      <c r="U90" s="43">
        <f>IFERROR((_xll.qlBachelierBlackFormula(IF(O90&lt;$C$4,"Put","Call"),O90+$C$14,$C$4,$C$12*SQRT($C$7))-
2*_xll.qlBachelierBlackFormula(IF(O90&lt;$C$4,"Put","Call"),O90,$C$4,$C$12*SQRT($C$7))+
_xll.qlBachelierBlackFormula(IF(O90&lt;$C$4,"Put","Call"),O90-$C$14,$C$4,$C$12*SQRT($C$7)))/$C$14^2,"")</f>
        <v>14.80492483707345</v>
      </c>
      <c r="V90" s="61" t="str">
        <f>IFERROR(_xll.qlBachelierBlackFormulaImpliedVol(IF(O90&lt;$C$4,"Put","Call"),O90,$C$4,$C$7,P90),"")</f>
        <v/>
      </c>
      <c r="W90" s="61">
        <f>IFERROR(_xll.qlBachelierBlackFormulaImpliedVol(IF(O90&lt;$C$4,"Put","Call"),O90,$C$4,$C$7,Q90),"")</f>
        <v>1.9400534496821259E-3</v>
      </c>
      <c r="X90" s="61">
        <f>IFERROR(_xll.qlBachelierBlackFormulaImpliedVol(IF(O90&lt;$C$4,"Put","Call"),O90,$C$4,$C$7,R90),"")</f>
        <v>3.1332853432799587E-3</v>
      </c>
      <c r="Y90" s="42"/>
    </row>
    <row r="91" spans="15:25">
      <c r="O91" s="37">
        <f t="shared" si="1"/>
        <v>-1.4000000000000058E-3</v>
      </c>
      <c r="P91" s="38" t="str">
        <f>IFERROR(_xll.qlBlackFormula(IF(O91&lt;$C$4,"Put","Call"),O91,$C$4,$C$9*SQRT($C$7)),"")</f>
        <v/>
      </c>
      <c r="Q91" s="39">
        <f>IFERROR(_xll.qlBlackFormula(IF(O91&lt;$C$4,"Put","Call"),O91,$C$4,$C$10*SQRT($C$7),,$C$11),"")</f>
        <v>2.9002441780982547E-7</v>
      </c>
      <c r="R91" s="40">
        <f>IFERROR(_xll.qlBachelierBlackFormula(IF(O91&lt;$C$4,"Put","Call"),O91,$C$4,$C$12*SQRT($C$7)),"")</f>
        <v>2.3717362865655956E-5</v>
      </c>
      <c r="S91" s="41" t="str">
        <f>IFERROR((_xll.qlBlackFormula(IF(O91&lt;$C$4,"Put","Call"),O91+$C$14,$C$4,$C$9*SQRT($C$7))-
2*_xll.qlBlackFormula(IF(O91&lt;$C$4,"Put","Call"),O91,$C$4,$C$9*SQRT($C$7))+
_xll.qlBlackFormula(IF(O91&lt;$C$4,"Put","Call"),O91-$C$14,$C$4,$C$9*SQRT($C$7)))/$C$14^2,"")</f>
        <v/>
      </c>
      <c r="T91" s="42">
        <f>IFERROR((_xll.qlBlackFormula(IF(O91&lt;$C$4,"Put","Call"),O91+$C$14,$C$4,$C$10*SQRT($C$7),,$C$11)-
2*_xll.qlBlackFormula(IF(O91&lt;$C$4,"Put","Call"),O91,$C$4,$C$10*SQRT($C$7),,$C$11)+
_xll.qlBlackFormula(IF(O91&lt;$C$4,"Put","Call"),O91-$C$14,$C$4,$C$10*SQRT($C$7),,$C$11))/$C$14^2,"")</f>
        <v>2.9755693199527311</v>
      </c>
      <c r="U91" s="43">
        <f>IFERROR((_xll.qlBachelierBlackFormula(IF(O91&lt;$C$4,"Put","Call"),O91+$C$14,$C$4,$C$12*SQRT($C$7))-
2*_xll.qlBachelierBlackFormula(IF(O91&lt;$C$4,"Put","Call"),O91,$C$4,$C$12*SQRT($C$7))+
_xll.qlBachelierBlackFormula(IF(O91&lt;$C$4,"Put","Call"),O91-$C$14,$C$4,$C$12*SQRT($C$7)))/$C$14^2,"")</f>
        <v>15.810258999346058</v>
      </c>
      <c r="V91" s="61" t="str">
        <f>IFERROR(_xll.qlBachelierBlackFormulaImpliedVol(IF(O91&lt;$C$4,"Put","Call"),O91,$C$4,$C$7,P91),"")</f>
        <v/>
      </c>
      <c r="W91" s="61">
        <f>IFERROR(_xll.qlBachelierBlackFormulaImpliedVol(IF(O91&lt;$C$4,"Put","Call"),O91,$C$4,$C$7,Q91),"")</f>
        <v>1.9628744619425921E-3</v>
      </c>
      <c r="X91" s="61">
        <f>IFERROR(_xll.qlBachelierBlackFormulaImpliedVol(IF(O91&lt;$C$4,"Put","Call"),O91,$C$4,$C$7,R91),"")</f>
        <v>3.1332853432939466E-3</v>
      </c>
      <c r="Y91" s="42"/>
    </row>
    <row r="92" spans="15:25">
      <c r="O92" s="37">
        <f t="shared" si="1"/>
        <v>-1.3000000000000058E-3</v>
      </c>
      <c r="P92" s="38" t="str">
        <f>IFERROR(_xll.qlBlackFormula(IF(O92&lt;$C$4,"Put","Call"),O92,$C$4,$C$9*SQRT($C$7)),"")</f>
        <v/>
      </c>
      <c r="Q92" s="39">
        <f>IFERROR(_xll.qlBlackFormula(IF(O92&lt;$C$4,"Put","Call"),O92,$C$4,$C$10*SQRT($C$7),,$C$11),"")</f>
        <v>4.0627691354217841E-7</v>
      </c>
      <c r="R92" s="40">
        <f>IFERROR(_xll.qlBachelierBlackFormula(IF(O92&lt;$C$4,"Put","Call"),O92,$C$4,$C$12*SQRT($C$7)),"")</f>
        <v>2.5852832784421537E-5</v>
      </c>
      <c r="S92" s="41" t="str">
        <f>IFERROR((_xll.qlBlackFormula(IF(O92&lt;$C$4,"Put","Call"),O92+$C$14,$C$4,$C$9*SQRT($C$7))-
2*_xll.qlBlackFormula(IF(O92&lt;$C$4,"Put","Call"),O92,$C$4,$C$9*SQRT($C$7))+
_xll.qlBlackFormula(IF(O92&lt;$C$4,"Put","Call"),O92-$C$14,$C$4,$C$9*SQRT($C$7)))/$C$14^2,"")</f>
        <v/>
      </c>
      <c r="T92" s="42">
        <f>IFERROR((_xll.qlBlackFormula(IF(O92&lt;$C$4,"Put","Call"),O92+$C$14,$C$4,$C$10*SQRT($C$7),,$C$11)-
2*_xll.qlBlackFormula(IF(O92&lt;$C$4,"Put","Call"),O92,$C$4,$C$10*SQRT($C$7),,$C$11)+
_xll.qlBlackFormula(IF(O92&lt;$C$4,"Put","Call"),O92-$C$14,$C$4,$C$10*SQRT($C$7),,$C$11))/$C$14^2,"")</f>
        <v>3.7747450259658417</v>
      </c>
      <c r="U92" s="43">
        <f>IFERROR((_xll.qlBachelierBlackFormula(IF(O92&lt;$C$4,"Put","Call"),O92+$C$14,$C$4,$C$12*SQRT($C$7))-
2*_xll.qlBachelierBlackFormula(IF(O92&lt;$C$4,"Put","Call"),O92,$C$4,$C$12*SQRT($C$7))+
_xll.qlBachelierBlackFormula(IF(O92&lt;$C$4,"Put","Call"),O92-$C$14,$C$4,$C$12*SQRT($C$7)))/$C$14^2,"")</f>
        <v>16.866671904633424</v>
      </c>
      <c r="V92" s="61" t="str">
        <f>IFERROR(_xll.qlBachelierBlackFormulaImpliedVol(IF(O92&lt;$C$4,"Put","Call"),O92,$C$4,$C$7,P92),"")</f>
        <v/>
      </c>
      <c r="W92" s="61">
        <f>IFERROR(_xll.qlBachelierBlackFormulaImpliedVol(IF(O92&lt;$C$4,"Put","Call"),O92,$C$4,$C$7,Q92),"")</f>
        <v>1.9854473791239904E-3</v>
      </c>
      <c r="X92" s="61">
        <f>IFERROR(_xll.qlBachelierBlackFormulaImpliedVol(IF(O92&lt;$C$4,"Put","Call"),O92,$C$4,$C$7,R92),"")</f>
        <v>3.1332853433053047E-3</v>
      </c>
      <c r="Y92" s="42"/>
    </row>
    <row r="93" spans="15:25">
      <c r="O93" s="37">
        <f t="shared" si="1"/>
        <v>-1.2000000000000057E-3</v>
      </c>
      <c r="P93" s="38" t="str">
        <f>IFERROR(_xll.qlBlackFormula(IF(O93&lt;$C$4,"Put","Call"),O93,$C$4,$C$9*SQRT($C$7)),"")</f>
        <v/>
      </c>
      <c r="Q93" s="39">
        <f>IFERROR(_xll.qlBlackFormula(IF(O93&lt;$C$4,"Put","Call"),O93,$C$4,$C$10*SQRT($C$7),,$C$11),"")</f>
        <v>5.6040172987290683E-7</v>
      </c>
      <c r="R93" s="40">
        <f>IFERROR(_xll.qlBachelierBlackFormula(IF(O93&lt;$C$4,"Put","Call"),O93,$C$4,$C$12*SQRT($C$7)),"")</f>
        <v>2.8157012976660201E-5</v>
      </c>
      <c r="S93" s="41" t="str">
        <f>IFERROR((_xll.qlBlackFormula(IF(O93&lt;$C$4,"Put","Call"),O93+$C$14,$C$4,$C$9*SQRT($C$7))-
2*_xll.qlBlackFormula(IF(O93&lt;$C$4,"Put","Call"),O93,$C$4,$C$9*SQRT($C$7))+
_xll.qlBlackFormula(IF(O93&lt;$C$4,"Put","Call"),O93-$C$14,$C$4,$C$9*SQRT($C$7)))/$C$14^2,"")</f>
        <v/>
      </c>
      <c r="T93" s="42">
        <f>IFERROR((_xll.qlBlackFormula(IF(O93&lt;$C$4,"Put","Call"),O93+$C$14,$C$4,$C$10*SQRT($C$7),,$C$11)-
2*_xll.qlBlackFormula(IF(O93&lt;$C$4,"Put","Call"),O93,$C$4,$C$10*SQRT($C$7),,$C$11)+
_xll.qlBlackFormula(IF(O93&lt;$C$4,"Put","Call"),O93-$C$14,$C$4,$C$10*SQRT($C$7),,$C$11))/$C$14^2,"")</f>
        <v>4.7237466429002186</v>
      </c>
      <c r="U93" s="43">
        <f>IFERROR((_xll.qlBachelierBlackFormula(IF(O93&lt;$C$4,"Put","Call"),O93+$C$14,$C$4,$C$12*SQRT($C$7))-
2*_xll.qlBachelierBlackFormula(IF(O93&lt;$C$4,"Put","Call"),O93,$C$4,$C$12*SQRT($C$7))+
_xll.qlBachelierBlackFormula(IF(O93&lt;$C$4,"Put","Call"),O93-$C$14,$C$4,$C$12*SQRT($C$7)))/$C$14^2,"")</f>
        <v>17.975353302189522</v>
      </c>
      <c r="V93" s="61" t="str">
        <f>IFERROR(_xll.qlBachelierBlackFormulaImpliedVol(IF(O93&lt;$C$4,"Put","Call"),O93,$C$4,$C$7,P93),"")</f>
        <v/>
      </c>
      <c r="W93" s="61">
        <f>IFERROR(_xll.qlBachelierBlackFormulaImpliedVol(IF(O93&lt;$C$4,"Put","Call"),O93,$C$4,$C$7,Q93),"")</f>
        <v>2.007782520356053E-3</v>
      </c>
      <c r="X93" s="61">
        <f>IFERROR(_xll.qlBachelierBlackFormulaImpliedVol(IF(O93&lt;$C$4,"Put","Call"),O93,$C$4,$C$7,R93),"")</f>
        <v>3.1332853433136782E-3</v>
      </c>
      <c r="Y93" s="42"/>
    </row>
    <row r="94" spans="15:25">
      <c r="O94" s="37">
        <f t="shared" si="1"/>
        <v>-1.1000000000000057E-3</v>
      </c>
      <c r="P94" s="38" t="str">
        <f>IFERROR(_xll.qlBlackFormula(IF(O94&lt;$C$4,"Put","Call"),O94,$C$4,$C$9*SQRT($C$7)),"")</f>
        <v/>
      </c>
      <c r="Q94" s="39">
        <f>IFERROR(_xll.qlBlackFormula(IF(O94&lt;$C$4,"Put","Call"),O94,$C$4,$C$10*SQRT($C$7),,$C$11),"")</f>
        <v>7.6190053430674186E-7</v>
      </c>
      <c r="R94" s="40">
        <f>IFERROR(_xll.qlBachelierBlackFormula(IF(O94&lt;$C$4,"Put","Call"),O94,$C$4,$C$12*SQRT($C$7)),"")</f>
        <v>3.0640991179459328E-5</v>
      </c>
      <c r="S94" s="41" t="str">
        <f>IFERROR((_xll.qlBlackFormula(IF(O94&lt;$C$4,"Put","Call"),O94+$C$14,$C$4,$C$9*SQRT($C$7))-
2*_xll.qlBlackFormula(IF(O94&lt;$C$4,"Put","Call"),O94,$C$4,$C$9*SQRT($C$7))+
_xll.qlBlackFormula(IF(O94&lt;$C$4,"Put","Call"),O94-$C$14,$C$4,$C$9*SQRT($C$7)))/$C$14^2,"")</f>
        <v/>
      </c>
      <c r="T94" s="42">
        <f>IFERROR((_xll.qlBlackFormula(IF(O94&lt;$C$4,"Put","Call"),O94+$C$14,$C$4,$C$10*SQRT($C$7),,$C$11)-
2*_xll.qlBlackFormula(IF(O94&lt;$C$4,"Put","Call"),O94,$C$4,$C$10*SQRT($C$7),,$C$11)+
_xll.qlBlackFormula(IF(O94&lt;$C$4,"Put","Call"),O94-$C$14,$C$4,$C$10*SQRT($C$7),,$C$11))/$C$14^2,"")</f>
        <v>5.836542066775638</v>
      </c>
      <c r="U94" s="43">
        <f>IFERROR((_xll.qlBachelierBlackFormula(IF(O94&lt;$C$4,"Put","Call"),O94+$C$14,$C$4,$C$12*SQRT($C$7))-
2*_xll.qlBachelierBlackFormula(IF(O94&lt;$C$4,"Put","Call"),O94,$C$4,$C$12*SQRT($C$7))+
_xll.qlBachelierBlackFormula(IF(O94&lt;$C$4,"Put","Call"),O94-$C$14,$C$4,$C$12*SQRT($C$7)))/$C$14^2,"")</f>
        <v>19.137407614557358</v>
      </c>
      <c r="V94" s="61" t="str">
        <f>IFERROR(_xll.qlBachelierBlackFormulaImpliedVol(IF(O94&lt;$C$4,"Put","Call"),O94,$C$4,$C$7,P94),"")</f>
        <v/>
      </c>
      <c r="W94" s="61">
        <f>IFERROR(_xll.qlBachelierBlackFormulaImpliedVol(IF(O94&lt;$C$4,"Put","Call"),O94,$C$4,$C$7,Q94),"")</f>
        <v>2.0298895089958372E-3</v>
      </c>
      <c r="X94" s="61">
        <f>IFERROR(_xll.qlBachelierBlackFormulaImpliedVol(IF(O94&lt;$C$4,"Put","Call"),O94,$C$4,$C$7,R94),"")</f>
        <v>3.1332853433189371E-3</v>
      </c>
      <c r="Y94" s="42"/>
    </row>
    <row r="95" spans="15:25">
      <c r="O95" s="37">
        <f t="shared" si="1"/>
        <v>-1.0000000000000057E-3</v>
      </c>
      <c r="P95" s="38" t="str">
        <f>IFERROR(_xll.qlBlackFormula(IF(O95&lt;$C$4,"Put","Call"),O95,$C$4,$C$9*SQRT($C$7)),"")</f>
        <v/>
      </c>
      <c r="Q95" s="39">
        <f>IFERROR(_xll.qlBlackFormula(IF(O95&lt;$C$4,"Put","Call"),O95,$C$4,$C$10*SQRT($C$7),,$C$11),"")</f>
        <v>1.0219120748847639E-6</v>
      </c>
      <c r="R95" s="40">
        <f>IFERROR(_xll.qlBachelierBlackFormula(IF(O95&lt;$C$4,"Put","Call"),O95,$C$4,$C$12*SQRT($C$7)),"")</f>
        <v>3.3316388778015211E-5</v>
      </c>
      <c r="S95" s="41" t="str">
        <f>IFERROR((_xll.qlBlackFormula(IF(O95&lt;$C$4,"Put","Call"),O95+$C$14,$C$4,$C$9*SQRT($C$7))-
2*_xll.qlBlackFormula(IF(O95&lt;$C$4,"Put","Call"),O95,$C$4,$C$9*SQRT($C$7))+
_xll.qlBlackFormula(IF(O95&lt;$C$4,"Put","Call"),O95-$C$14,$C$4,$C$9*SQRT($C$7)))/$C$14^2,"")</f>
        <v/>
      </c>
      <c r="T95" s="42">
        <f>IFERROR((_xll.qlBlackFormula(IF(O95&lt;$C$4,"Put","Call"),O95+$C$14,$C$4,$C$10*SQRT($C$7),,$C$11)-
2*_xll.qlBlackFormula(IF(O95&lt;$C$4,"Put","Call"),O95,$C$4,$C$10*SQRT($C$7),,$C$11)+
_xll.qlBlackFormula(IF(O95&lt;$C$4,"Put","Call"),O95-$C$14,$C$4,$C$10*SQRT($C$7),,$C$11))/$C$14^2,"")</f>
        <v>7.1260657812289736</v>
      </c>
      <c r="U95" s="43">
        <f>IFERROR((_xll.qlBachelierBlackFormula(IF(O95&lt;$C$4,"Put","Call"),O95+$C$14,$C$4,$C$12*SQRT($C$7))-
2*_xll.qlBachelierBlackFormula(IF(O95&lt;$C$4,"Put","Call"),O95,$C$4,$C$12*SQRT($C$7))+
_xll.qlBachelierBlackFormula(IF(O95&lt;$C$4,"Put","Call"),O95-$C$14,$C$4,$C$12*SQRT($C$7)))/$C$14^2,"")</f>
        <v>20.353842526341094</v>
      </c>
      <c r="V95" s="61" t="str">
        <f>IFERROR(_xll.qlBachelierBlackFormulaImpliedVol(IF(O95&lt;$C$4,"Put","Call"),O95,$C$4,$C$7,P95),"")</f>
        <v/>
      </c>
      <c r="W95" s="61">
        <f>IFERROR(_xll.qlBachelierBlackFormulaImpliedVol(IF(O95&lt;$C$4,"Put","Call"),O95,$C$4,$C$7,Q95),"")</f>
        <v>2.0517773363675873E-3</v>
      </c>
      <c r="X95" s="61">
        <f>IFERROR(_xll.qlBachelierBlackFormulaImpliedVol(IF(O95&lt;$C$4,"Put","Call"),O95,$C$4,$C$7,R95),"")</f>
        <v>3.1332853433211796E-3</v>
      </c>
      <c r="Y95" s="42"/>
    </row>
    <row r="96" spans="15:25">
      <c r="O96" s="37">
        <f t="shared" si="1"/>
        <v>-9.0000000000000561E-4</v>
      </c>
      <c r="P96" s="38" t="str">
        <f>IFERROR(_xll.qlBlackFormula(IF(O96&lt;$C$4,"Put","Call"),O96,$C$4,$C$9*SQRT($C$7)),"")</f>
        <v/>
      </c>
      <c r="Q96" s="39">
        <f>IFERROR(_xll.qlBlackFormula(IF(O96&lt;$C$4,"Put","Call"),O96,$C$4,$C$10*SQRT($C$7),,$C$11),"")</f>
        <v>1.3533412310400066E-6</v>
      </c>
      <c r="R96" s="40">
        <f>IFERROR(_xll.qlBachelierBlackFormula(IF(O96&lt;$C$4,"Put","Call"),O96,$C$4,$C$12*SQRT($C$7)),"")</f>
        <v>3.6195370874969639E-5</v>
      </c>
      <c r="S96" s="41" t="str">
        <f>IFERROR((_xll.qlBlackFormula(IF(O96&lt;$C$4,"Put","Call"),O96+$C$14,$C$4,$C$9*SQRT($C$7))-
2*_xll.qlBlackFormula(IF(O96&lt;$C$4,"Put","Call"),O96,$C$4,$C$9*SQRT($C$7))+
_xll.qlBlackFormula(IF(O96&lt;$C$4,"Put","Call"),O96-$C$14,$C$4,$C$9*SQRT($C$7)))/$C$14^2,"")</f>
        <v/>
      </c>
      <c r="T96" s="42">
        <f>IFERROR((_xll.qlBlackFormula(IF(O96&lt;$C$4,"Put","Call"),O96+$C$14,$C$4,$C$10*SQRT($C$7),,$C$11)-
2*_xll.qlBlackFormula(IF(O96&lt;$C$4,"Put","Call"),O96,$C$4,$C$10*SQRT($C$7),,$C$11)+
_xll.qlBlackFormula(IF(O96&lt;$C$4,"Put","Call"),O96-$C$14,$C$4,$C$10*SQRT($C$7),,$C$11))/$C$14^2,"")</f>
        <v>8.6038770864962437</v>
      </c>
      <c r="U96" s="43">
        <f>IFERROR((_xll.qlBachelierBlackFormula(IF(O96&lt;$C$4,"Put","Call"),O96+$C$14,$C$4,$C$12*SQRT($C$7))-
2*_xll.qlBachelierBlackFormula(IF(O96&lt;$C$4,"Put","Call"),O96,$C$4,$C$12*SQRT($C$7))+
_xll.qlBachelierBlackFormula(IF(O96&lt;$C$4,"Put","Call"),O96-$C$14,$C$4,$C$12*SQRT($C$7)))/$C$14^2,"")</f>
        <v>21.625560202168451</v>
      </c>
      <c r="V96" s="61" t="str">
        <f>IFERROR(_xll.qlBachelierBlackFormulaImpliedVol(IF(O96&lt;$C$4,"Put","Call"),O96,$C$4,$C$7,P96),"")</f>
        <v/>
      </c>
      <c r="W96" s="61">
        <f>IFERROR(_xll.qlBachelierBlackFormulaImpliedVol(IF(O96&lt;$C$4,"Put","Call"),O96,$C$4,$C$7,Q96),"")</f>
        <v>2.0734544182033307E-3</v>
      </c>
      <c r="X96" s="61">
        <f>IFERROR(_xll.qlBachelierBlackFormulaImpliedVol(IF(O96&lt;$C$4,"Put","Call"),O96,$C$4,$C$7,R96),"")</f>
        <v>3.1332853433206865E-3</v>
      </c>
      <c r="Y96" s="42"/>
    </row>
    <row r="97" spans="15:25">
      <c r="O97" s="37">
        <f t="shared" si="1"/>
        <v>-8.0000000000000557E-4</v>
      </c>
      <c r="P97" s="38" t="str">
        <f>IFERROR(_xll.qlBlackFormula(IF(O97&lt;$C$4,"Put","Call"),O97,$C$4,$C$9*SQRT($C$7)),"")</f>
        <v/>
      </c>
      <c r="Q97" s="39">
        <f>IFERROR(_xll.qlBlackFormula(IF(O97&lt;$C$4,"Put","Call"),O97,$C$4,$C$10*SQRT($C$7),,$C$11),"")</f>
        <v>1.7709743627037764E-6</v>
      </c>
      <c r="R97" s="40">
        <f>IFERROR(_xll.qlBachelierBlackFormula(IF(O97&lt;$C$4,"Put","Call"),O97,$C$4,$C$12*SQRT($C$7)),"")</f>
        <v>3.9290655292109649E-5</v>
      </c>
      <c r="S97" s="41" t="str">
        <f>IFERROR((_xll.qlBlackFormula(IF(O97&lt;$C$4,"Put","Call"),O97+$C$14,$C$4,$C$9*SQRT($C$7))-
2*_xll.qlBlackFormula(IF(O97&lt;$C$4,"Put","Call"),O97,$C$4,$C$9*SQRT($C$7))+
_xll.qlBlackFormula(IF(O97&lt;$C$4,"Put","Call"),O97-$C$14,$C$4,$C$9*SQRT($C$7)))/$C$14^2,"")</f>
        <v/>
      </c>
      <c r="T97" s="42">
        <f>IFERROR((_xll.qlBlackFormula(IF(O97&lt;$C$4,"Put","Call"),O97+$C$14,$C$4,$C$10*SQRT($C$7),,$C$11)-
2*_xll.qlBlackFormula(IF(O97&lt;$C$4,"Put","Call"),O97,$C$4,$C$10*SQRT($C$7),,$C$11)+
_xll.qlBlackFormula(IF(O97&lt;$C$4,"Put","Call"),O97-$C$14,$C$4,$C$10*SQRT($C$7),,$C$11))/$C$14^2,"")</f>
        <v>10.279856454194649</v>
      </c>
      <c r="U97" s="43">
        <f>IFERROR((_xll.qlBachelierBlackFormula(IF(O97&lt;$C$4,"Put","Call"),O97+$C$14,$C$4,$C$12*SQRT($C$7))-
2*_xll.qlBachelierBlackFormula(IF(O97&lt;$C$4,"Put","Call"),O97,$C$4,$C$12*SQRT($C$7))+
_xll.qlBachelierBlackFormula(IF(O97&lt;$C$4,"Put","Call"),O97-$C$14,$C$4,$C$12*SQRT($C$7)))/$C$14^2,"")</f>
        <v>22.953342134965361</v>
      </c>
      <c r="V97" s="61" t="str">
        <f>IFERROR(_xll.qlBachelierBlackFormulaImpliedVol(IF(O97&lt;$C$4,"Put","Call"),O97,$C$4,$C$7,P97),"")</f>
        <v/>
      </c>
      <c r="W97" s="61">
        <f>IFERROR(_xll.qlBachelierBlackFormulaImpliedVol(IF(O97&lt;$C$4,"Put","Call"),O97,$C$4,$C$7,Q97),"")</f>
        <v>2.0949286447804571E-3</v>
      </c>
      <c r="X97" s="61">
        <f>IFERROR(_xll.qlBachelierBlackFormulaImpliedVol(IF(O97&lt;$C$4,"Put","Call"),O97,$C$4,$C$7,R97),"")</f>
        <v>3.1332853433179088E-3</v>
      </c>
      <c r="Y97" s="42"/>
    </row>
    <row r="98" spans="15:25">
      <c r="O98" s="37">
        <f t="shared" si="1"/>
        <v>-7.0000000000000552E-4</v>
      </c>
      <c r="P98" s="38" t="str">
        <f>IFERROR(_xll.qlBlackFormula(IF(O98&lt;$C$4,"Put","Call"),O98,$C$4,$C$9*SQRT($C$7)),"")</f>
        <v/>
      </c>
      <c r="Q98" s="39">
        <f>IFERROR(_xll.qlBlackFormula(IF(O98&lt;$C$4,"Put","Call"),O98,$C$4,$C$10*SQRT($C$7),,$C$11),"")</f>
        <v>2.2915778802685489E-6</v>
      </c>
      <c r="R98" s="40">
        <f>IFERROR(_xll.qlBachelierBlackFormula(IF(O98&lt;$C$4,"Put","Call"),O98,$C$4,$C$12*SQRT($C$7)),"")</f>
        <v>4.2615520398805805E-5</v>
      </c>
      <c r="S98" s="41" t="str">
        <f>IFERROR((_xll.qlBlackFormula(IF(O98&lt;$C$4,"Put","Call"),O98+$C$14,$C$4,$C$9*SQRT($C$7))-
2*_xll.qlBlackFormula(IF(O98&lt;$C$4,"Put","Call"),O98,$C$4,$C$9*SQRT($C$7))+
_xll.qlBlackFormula(IF(O98&lt;$C$4,"Put","Call"),O98-$C$14,$C$4,$C$9*SQRT($C$7)))/$C$14^2,"")</f>
        <v/>
      </c>
      <c r="T98" s="42">
        <f>IFERROR((_xll.qlBlackFormula(IF(O98&lt;$C$4,"Put","Call"),O98+$C$14,$C$4,$C$10*SQRT($C$7),,$C$11)-
2*_xll.qlBlackFormula(IF(O98&lt;$C$4,"Put","Call"),O98,$C$4,$C$10*SQRT($C$7),,$C$11)+
_xll.qlBlackFormula(IF(O98&lt;$C$4,"Put","Call"),O98-$C$14,$C$4,$C$10*SQRT($C$7),,$C$11))/$C$14^2,"")</f>
        <v>12.16193149945863</v>
      </c>
      <c r="U98" s="43">
        <f>IFERROR((_xll.qlBachelierBlackFormula(IF(O98&lt;$C$4,"Put","Call"),O98+$C$14,$C$4,$C$12*SQRT($C$7))-
2*_xll.qlBachelierBlackFormula(IF(O98&lt;$C$4,"Put","Call"),O98,$C$4,$C$12*SQRT($C$7))+
_xll.qlBachelierBlackFormula(IF(O98&lt;$C$4,"Put","Call"),O98-$C$14,$C$4,$C$12*SQRT($C$7)))/$C$14^2,"")</f>
        <v>24.337845459668564</v>
      </c>
      <c r="V98" s="61" t="str">
        <f>IFERROR(_xll.qlBachelierBlackFormulaImpliedVol(IF(O98&lt;$C$4,"Put","Call"),O98,$C$4,$C$7,P98),"")</f>
        <v/>
      </c>
      <c r="W98" s="61">
        <f>IFERROR(_xll.qlBachelierBlackFormulaImpliedVol(IF(O98&lt;$C$4,"Put","Call"),O98,$C$4,$C$7,Q98),"")</f>
        <v>2.1162074255923671E-3</v>
      </c>
      <c r="X98" s="61">
        <f>IFERROR(_xll.qlBachelierBlackFormulaImpliedVol(IF(O98&lt;$C$4,"Put","Call"),O98,$C$4,$C$7,R98),"")</f>
        <v>3.133285343313402E-3</v>
      </c>
      <c r="Y98" s="42"/>
    </row>
    <row r="99" spans="15:25">
      <c r="O99" s="37">
        <f t="shared" si="1"/>
        <v>-6.0000000000000548E-4</v>
      </c>
      <c r="P99" s="38" t="str">
        <f>IFERROR(_xll.qlBlackFormula(IF(O99&lt;$C$4,"Put","Call"),O99,$C$4,$C$9*SQRT($C$7)),"")</f>
        <v/>
      </c>
      <c r="Q99" s="39">
        <f>IFERROR(_xll.qlBlackFormula(IF(O99&lt;$C$4,"Put","Call"),O99,$C$4,$C$10*SQRT($C$7),,$C$11),"")</f>
        <v>2.9339773412158351E-6</v>
      </c>
      <c r="R99" s="40">
        <f>IFERROR(_xll.qlBachelierBlackFormula(IF(O99&lt;$C$4,"Put","Call"),O99,$C$4,$C$12*SQRT($C$7)),"")</f>
        <v>4.618381166107818E-5</v>
      </c>
      <c r="S99" s="41" t="str">
        <f>IFERROR((_xll.qlBlackFormula(IF(O99&lt;$C$4,"Put","Call"),O99+$C$14,$C$4,$C$9*SQRT($C$7))-
2*_xll.qlBlackFormula(IF(O99&lt;$C$4,"Put","Call"),O99,$C$4,$C$9*SQRT($C$7))+
_xll.qlBlackFormula(IF(O99&lt;$C$4,"Put","Call"),O99-$C$14,$C$4,$C$9*SQRT($C$7)))/$C$14^2,"")</f>
        <v/>
      </c>
      <c r="T99" s="42">
        <f>IFERROR((_xll.qlBlackFormula(IF(O99&lt;$C$4,"Put","Call"),O99+$C$14,$C$4,$C$10*SQRT($C$7),,$C$11)-
2*_xll.qlBlackFormula(IF(O99&lt;$C$4,"Put","Call"),O99,$C$4,$C$10*SQRT($C$7),,$C$11)+
_xll.qlBlackFormula(IF(O99&lt;$C$4,"Put","Call"),O99-$C$14,$C$4,$C$10*SQRT($C$7),,$C$11))/$C$14^2,"")</f>
        <v>14.255857568913362</v>
      </c>
      <c r="U99" s="43">
        <f>IFERROR((_xll.qlBachelierBlackFormula(IF(O99&lt;$C$4,"Put","Call"),O99+$C$14,$C$4,$C$12*SQRT($C$7))-
2*_xll.qlBachelierBlackFormula(IF(O99&lt;$C$4,"Put","Call"),O99,$C$4,$C$12*SQRT($C$7))+
_xll.qlBachelierBlackFormula(IF(O99&lt;$C$4,"Put","Call"),O99-$C$14,$C$4,$C$12*SQRT($C$7)))/$C$14^2,"")</f>
        <v>25.779587584659829</v>
      </c>
      <c r="V99" s="61" t="str">
        <f>IFERROR(_xll.qlBachelierBlackFormulaImpliedVol(IF(O99&lt;$C$4,"Put","Call"),O99,$C$4,$C$7,P99),"")</f>
        <v/>
      </c>
      <c r="W99" s="61">
        <f>IFERROR(_xll.qlBachelierBlackFormulaImpliedVol(IF(O99&lt;$C$4,"Put","Call"),O99,$C$4,$C$7,Q99),"")</f>
        <v>2.1372977292639958E-3</v>
      </c>
      <c r="X99" s="61">
        <f>IFERROR(_xll.qlBachelierBlackFormulaImpliedVol(IF(O99&lt;$C$4,"Put","Call"),O99,$C$4,$C$7,R99),"")</f>
        <v>3.1332853433077698E-3</v>
      </c>
      <c r="Y99" s="42"/>
    </row>
    <row r="100" spans="15:25">
      <c r="O100" s="37">
        <f t="shared" si="1"/>
        <v>-5.0000000000000543E-4</v>
      </c>
      <c r="P100" s="38" t="str">
        <f>IFERROR(_xll.qlBlackFormula(IF(O100&lt;$C$4,"Put","Call"),O100,$C$4,$C$9*SQRT($C$7)),"")</f>
        <v/>
      </c>
      <c r="Q100" s="39">
        <f>IFERROR(_xll.qlBlackFormula(IF(O100&lt;$C$4,"Put","Call"),O100,$C$4,$C$10*SQRT($C$7),,$C$11),"")</f>
        <v>3.7191148347961211E-6</v>
      </c>
      <c r="R100" s="40">
        <f>IFERROR(_xll.qlBachelierBlackFormula(IF(O100&lt;$C$4,"Put","Call"),O100,$C$4,$C$12*SQRT($C$7)),"")</f>
        <v>5.0009946805305979E-5</v>
      </c>
      <c r="S100" s="41" t="str">
        <f>IFERROR((_xll.qlBlackFormula(IF(O100&lt;$C$4,"Put","Call"),O100+$C$14,$C$4,$C$9*SQRT($C$7))-
2*_xll.qlBlackFormula(IF(O100&lt;$C$4,"Put","Call"),O100,$C$4,$C$9*SQRT($C$7))+
_xll.qlBlackFormula(IF(O100&lt;$C$4,"Put","Call"),O100-$C$14,$C$4,$C$9*SQRT($C$7)))/$C$14^2,"")</f>
        <v/>
      </c>
      <c r="T100" s="42">
        <f>IFERROR((_xll.qlBlackFormula(IF(O100&lt;$C$4,"Put","Call"),O100+$C$14,$C$4,$C$10*SQRT($C$7),,$C$11)-
2*_xll.qlBlackFormula(IF(O100&lt;$C$4,"Put","Call"),O100,$C$4,$C$10*SQRT($C$7),,$C$11)+
_xll.qlBlackFormula(IF(O100&lt;$C$4,"Put","Call"),O100-$C$14,$C$4,$C$10*SQRT($C$7),,$C$11))/$C$14^2,"")</f>
        <v>16.565034493566927</v>
      </c>
      <c r="U100" s="43">
        <f>IFERROR((_xll.qlBachelierBlackFormula(IF(O100&lt;$C$4,"Put","Call"),O100+$C$14,$C$4,$C$12*SQRT($C$7))-
2*_xll.qlBachelierBlackFormula(IF(O100&lt;$C$4,"Put","Call"),O100,$C$4,$C$12*SQRT($C$7))+
_xll.qlBachelierBlackFormula(IF(O100&lt;$C$4,"Put","Call"),O100-$C$14,$C$4,$C$12*SQRT($C$7)))/$C$14^2,"")</f>
        <v>27.278935973160461</v>
      </c>
      <c r="V100" s="61" t="str">
        <f>IFERROR(_xll.qlBachelierBlackFormulaImpliedVol(IF(O100&lt;$C$4,"Put","Call"),O100,$C$4,$C$7,P100),"")</f>
        <v/>
      </c>
      <c r="W100" s="61">
        <f>IFERROR(_xll.qlBachelierBlackFormulaImpliedVol(IF(O100&lt;$C$4,"Put","Call"),O100,$C$4,$C$7,Q100),"")</f>
        <v>2.1582061193158421E-3</v>
      </c>
      <c r="X100" s="61">
        <f>IFERROR(_xll.qlBachelierBlackFormulaImpliedVol(IF(O100&lt;$C$4,"Put","Call"),O100,$C$4,$C$7,R100),"")</f>
        <v>3.1332853433016349E-3</v>
      </c>
      <c r="Y100" s="42"/>
    </row>
    <row r="101" spans="15:25">
      <c r="O101" s="37">
        <f t="shared" si="1"/>
        <v>-4.0000000000000544E-4</v>
      </c>
      <c r="P101" s="38" t="str">
        <f>IFERROR(_xll.qlBlackFormula(IF(O101&lt;$C$4,"Put","Call"),O101,$C$4,$C$9*SQRT($C$7)),"")</f>
        <v/>
      </c>
      <c r="Q101" s="39">
        <f>IFERROR(_xll.qlBlackFormula(IF(O101&lt;$C$4,"Put","Call"),O101,$C$4,$C$10*SQRT($C$7),,$C$11),"")</f>
        <v>4.6700829232472764E-6</v>
      </c>
      <c r="R101" s="40">
        <f>IFERROR(_xll.qlBachelierBlackFormula(IF(O101&lt;$C$4,"Put","Call"),O101,$C$4,$C$12*SQRT($C$7)),"")</f>
        <v>5.4108919491413623E-5</v>
      </c>
      <c r="S101" s="41" t="str">
        <f>IFERROR((_xll.qlBlackFormula(IF(O101&lt;$C$4,"Put","Call"),O101+$C$14,$C$4,$C$9*SQRT($C$7))-
2*_xll.qlBlackFormula(IF(O101&lt;$C$4,"Put","Call"),O101,$C$4,$C$9*SQRT($C$7))+
_xll.qlBlackFormula(IF(O101&lt;$C$4,"Put","Call"),O101-$C$14,$C$4,$C$9*SQRT($C$7)))/$C$14^2,"")</f>
        <v/>
      </c>
      <c r="T101" s="42">
        <f>IFERROR((_xll.qlBlackFormula(IF(O101&lt;$C$4,"Put","Call"),O101+$C$14,$C$4,$C$10*SQRT($C$7),,$C$11)-
2*_xll.qlBlackFormula(IF(O101&lt;$C$4,"Put","Call"),O101,$C$4,$C$10*SQRT($C$7),,$C$11)+
_xll.qlBlackFormula(IF(O101&lt;$C$4,"Put","Call"),O101-$C$14,$C$4,$C$10*SQRT($C$7),,$C$11))/$C$14^2,"")</f>
        <v>19.090402320748584</v>
      </c>
      <c r="U101" s="43">
        <f>IFERROR((_xll.qlBachelierBlackFormula(IF(O101&lt;$C$4,"Put","Call"),O101+$C$14,$C$4,$C$12*SQRT($C$7))-
2*_xll.qlBachelierBlackFormula(IF(O101&lt;$C$4,"Put","Call"),O101,$C$4,$C$12*SQRT($C$7))+
_xll.qlBachelierBlackFormula(IF(O101&lt;$C$4,"Put","Call"),O101-$C$14,$C$4,$C$12*SQRT($C$7)))/$C$14^2,"")</f>
        <v>28.836099984609966</v>
      </c>
      <c r="V101" s="61" t="str">
        <f>IFERROR(_xll.qlBachelierBlackFormulaImpliedVol(IF(O101&lt;$C$4,"Put","Call"),O101,$C$4,$C$7,P101),"")</f>
        <v/>
      </c>
      <c r="W101" s="61">
        <f>IFERROR(_xll.qlBachelierBlackFormulaImpliedVol(IF(O101&lt;$C$4,"Put","Call"),O101,$C$4,$C$7,Q101),"")</f>
        <v>2.1789387862914005E-3</v>
      </c>
      <c r="X101" s="61">
        <f>IFERROR(_xll.qlBachelierBlackFormulaImpliedVol(IF(O101&lt;$C$4,"Put","Call"),O101,$C$4,$C$7,R101),"")</f>
        <v>3.133285343295576E-3</v>
      </c>
      <c r="Y101" s="42"/>
    </row>
    <row r="102" spans="15:25">
      <c r="O102" s="37">
        <f t="shared" si="1"/>
        <v>-3.0000000000000545E-4</v>
      </c>
      <c r="P102" s="38" t="str">
        <f>IFERROR(_xll.qlBlackFormula(IF(O102&lt;$C$4,"Put","Call"),O102,$C$4,$C$9*SQRT($C$7)),"")</f>
        <v/>
      </c>
      <c r="Q102" s="39">
        <f>IFERROR(_xll.qlBlackFormula(IF(O102&lt;$C$4,"Put","Call"),O102,$C$4,$C$10*SQRT($C$7),,$C$11),"")</f>
        <v>5.8121339457781459E-6</v>
      </c>
      <c r="R102" s="40">
        <f>IFERROR(_xll.qlBachelierBlackFormula(IF(O102&lt;$C$4,"Put","Call"),O102,$C$4,$C$12*SQRT($C$7)),"")</f>
        <v>5.849630139190021E-5</v>
      </c>
      <c r="S102" s="41" t="str">
        <f>IFERROR((_xll.qlBlackFormula(IF(O102&lt;$C$4,"Put","Call"),O102+$C$14,$C$4,$C$9*SQRT($C$7))-
2*_xll.qlBlackFormula(IF(O102&lt;$C$4,"Put","Call"),O102,$C$4,$C$9*SQRT($C$7))+
_xll.qlBlackFormula(IF(O102&lt;$C$4,"Put","Call"),O102-$C$14,$C$4,$C$9*SQRT($C$7)))/$C$14^2,"")</f>
        <v/>
      </c>
      <c r="T102" s="42">
        <f>IFERROR((_xll.qlBlackFormula(IF(O102&lt;$C$4,"Put","Call"),O102+$C$14,$C$4,$C$10*SQRT($C$7),,$C$11)-
2*_xll.qlBlackFormula(IF(O102&lt;$C$4,"Put","Call"),O102,$C$4,$C$10*SQRT($C$7),,$C$11)+
_xll.qlBlackFormula(IF(O102&lt;$C$4,"Put","Call"),O102-$C$14,$C$4,$C$10*SQRT($C$7),,$C$11))/$C$14^2,"")</f>
        <v>21.83036038180472</v>
      </c>
      <c r="U102" s="43">
        <f>IFERROR((_xll.qlBachelierBlackFormula(IF(O102&lt;$C$4,"Put","Call"),O102+$C$14,$C$4,$C$12*SQRT($C$7))-
2*_xll.qlBachelierBlackFormula(IF(O102&lt;$C$4,"Put","Call"),O102,$C$4,$C$12*SQRT($C$7))+
_xll.qlBachelierBlackFormula(IF(O102&lt;$C$4,"Put","Call"),O102-$C$14,$C$4,$C$12*SQRT($C$7)))/$C$14^2,"")</f>
        <v>30.451118487656235</v>
      </c>
      <c r="V102" s="61" t="str">
        <f>IFERROR(_xll.qlBachelierBlackFormulaImpliedVol(IF(O102&lt;$C$4,"Put","Call"),O102,$C$4,$C$7,P102),"")</f>
        <v/>
      </c>
      <c r="W102" s="61">
        <f>IFERROR(_xll.qlBachelierBlackFormulaImpliedVol(IF(O102&lt;$C$4,"Put","Call"),O102,$C$4,$C$7,Q102),"")</f>
        <v>2.1995015766914975E-3</v>
      </c>
      <c r="X102" s="61">
        <f>IFERROR(_xll.qlBachelierBlackFormulaImpliedVol(IF(O102&lt;$C$4,"Put","Call"),O102,$C$4,$C$7,R102),"")</f>
        <v>3.1332853432900721E-3</v>
      </c>
      <c r="Y102" s="42"/>
    </row>
    <row r="103" spans="15:25">
      <c r="O103" s="37">
        <f t="shared" si="1"/>
        <v>-2.0000000000000546E-4</v>
      </c>
      <c r="P103" s="38" t="str">
        <f>IFERROR(_xll.qlBlackFormula(IF(O103&lt;$C$4,"Put","Call"),O103,$C$4,$C$9*SQRT($C$7)),"")</f>
        <v/>
      </c>
      <c r="Q103" s="39">
        <f>IFERROR(_xll.qlBlackFormula(IF(O103&lt;$C$4,"Put","Call"),O103,$C$4,$C$10*SQRT($C$7),,$C$11),"")</f>
        <v>7.1726640397892387E-6</v>
      </c>
      <c r="R103" s="40">
        <f>IFERROR(_xll.qlBachelierBlackFormula(IF(O103&lt;$C$4,"Put","Call"),O103,$C$4,$C$12*SQRT($C$7)),"")</f>
        <v>6.3188242575329607E-5</v>
      </c>
      <c r="S103" s="41" t="str">
        <f>IFERROR((_xll.qlBlackFormula(IF(O103&lt;$C$4,"Put","Call"),O103+$C$14,$C$4,$C$9*SQRT($C$7))-
2*_xll.qlBlackFormula(IF(O103&lt;$C$4,"Put","Call"),O103,$C$4,$C$9*SQRT($C$7))+
_xll.qlBlackFormula(IF(O103&lt;$C$4,"Put","Call"),O103-$C$14,$C$4,$C$9*SQRT($C$7)))/$C$14^2,"")</f>
        <v/>
      </c>
      <c r="T103" s="42">
        <f>IFERROR((_xll.qlBlackFormula(IF(O103&lt;$C$4,"Put","Call"),O103+$C$14,$C$4,$C$10*SQRT($C$7),,$C$11)-
2*_xll.qlBlackFormula(IF(O103&lt;$C$4,"Put","Call"),O103,$C$4,$C$10*SQRT($C$7),,$C$11)+
_xll.qlBlackFormula(IF(O103&lt;$C$4,"Put","Call"),O103-$C$14,$C$4,$C$10*SQRT($C$7),,$C$11))/$C$14^2,"")</f>
        <v>24.780770764933937</v>
      </c>
      <c r="U103" s="43">
        <f>IFERROR((_xll.qlBachelierBlackFormula(IF(O103&lt;$C$4,"Put","Call"),O103+$C$14,$C$4,$C$12*SQRT($C$7))-
2*_xll.qlBachelierBlackFormula(IF(O103&lt;$C$4,"Put","Call"),O103,$C$4,$C$12*SQRT($C$7))+
_xll.qlBachelierBlackFormula(IF(O103&lt;$C$4,"Put","Call"),O103-$C$14,$C$4,$C$12*SQRT($C$7)))/$C$14^2,"")</f>
        <v>32.123851430483633</v>
      </c>
      <c r="V103" s="61" t="str">
        <f>IFERROR(_xll.qlBachelierBlackFormulaImpliedVol(IF(O103&lt;$C$4,"Put","Call"),O103,$C$4,$C$7,P103),"")</f>
        <v/>
      </c>
      <c r="W103" s="61">
        <f>IFERROR(_xll.qlBachelierBlackFormulaImpliedVol(IF(O103&lt;$C$4,"Put","Call"),O103,$C$4,$C$7,Q103),"")</f>
        <v>2.2199000190923457E-3</v>
      </c>
      <c r="X103" s="61">
        <f>IFERROR(_xll.qlBachelierBlackFormulaImpliedVol(IF(O103&lt;$C$4,"Put","Call"),O103,$C$4,$C$7,R103),"")</f>
        <v>3.1332853432855115E-3</v>
      </c>
      <c r="Y103" s="42"/>
    </row>
    <row r="104" spans="15:25">
      <c r="O104" s="37">
        <f t="shared" si="1"/>
        <v>-1.0000000000000545E-4</v>
      </c>
      <c r="P104" s="38" t="str">
        <f>IFERROR(_xll.qlBlackFormula(IF(O104&lt;$C$4,"Put","Call"),O104,$C$4,$C$9*SQRT($C$7)),"")</f>
        <v/>
      </c>
      <c r="Q104" s="39">
        <f>IFERROR(_xll.qlBlackFormula(IF(O104&lt;$C$4,"Put","Call"),O104,$C$4,$C$10*SQRT($C$7),,$C$11),"")</f>
        <v>8.7811717743423184E-6</v>
      </c>
      <c r="R104" s="40">
        <f>IFERROR(_xll.qlBachelierBlackFormula(IF(O104&lt;$C$4,"Put","Call"),O104,$C$4,$C$12*SQRT($C$7)),"")</f>
        <v>6.82014700959467E-5</v>
      </c>
      <c r="S104" s="41" t="str">
        <f>IFERROR((_xll.qlBlackFormula(IF(O104&lt;$C$4,"Put","Call"),O104+$C$14,$C$4,$C$9*SQRT($C$7))-
2*_xll.qlBlackFormula(IF(O104&lt;$C$4,"Put","Call"),O104,$C$4,$C$9*SQRT($C$7))+
_xll.qlBlackFormula(IF(O104&lt;$C$4,"Put","Call"),O104-$C$14,$C$4,$C$9*SQRT($C$7)))/$C$14^2,"")</f>
        <v/>
      </c>
      <c r="T104" s="42">
        <f>IFERROR((_xll.qlBlackFormula(IF(O104&lt;$C$4,"Put","Call"),O104+$C$14,$C$4,$C$10*SQRT($C$7),,$C$11)-
2*_xll.qlBlackFormula(IF(O104&lt;$C$4,"Put","Call"),O104,$C$4,$C$10*SQRT($C$7),,$C$11)+
_xll.qlBlackFormula(IF(O104&lt;$C$4,"Put","Call"),O104-$C$14,$C$4,$C$10*SQRT($C$7),,$C$11))/$C$14^2,"")</f>
        <v>27.93499241334537</v>
      </c>
      <c r="U104" s="43">
        <f>IFERROR((_xll.qlBachelierBlackFormula(IF(O104&lt;$C$4,"Put","Call"),O104+$C$14,$C$4,$C$12*SQRT($C$7))-
2*_xll.qlBachelierBlackFormula(IF(O104&lt;$C$4,"Put","Call"),O104,$C$4,$C$12*SQRT($C$7))+
_xll.qlBachelierBlackFormula(IF(O104&lt;$C$4,"Put","Call"),O104-$C$14,$C$4,$C$12*SQRT($C$7)))/$C$14^2,"")</f>
        <v>33.853969324051938</v>
      </c>
      <c r="V104" s="61" t="str">
        <f>IFERROR(_xll.qlBachelierBlackFormulaImpliedVol(IF(O104&lt;$C$4,"Put","Call"),O104,$C$4,$C$7,P104),"")</f>
        <v/>
      </c>
      <c r="W104" s="61">
        <f>IFERROR(_xll.qlBachelierBlackFormulaImpliedVol(IF(O104&lt;$C$4,"Put","Call"),O104,$C$4,$C$7,Q104),"")</f>
        <v>2.2401393477765172E-3</v>
      </c>
      <c r="X104" s="61">
        <f>IFERROR(_xll.qlBachelierBlackFormulaImpliedVol(IF(O104&lt;$C$4,"Put","Call"),O104,$C$4,$C$7,R104),"")</f>
        <v>3.133285343282144E-3</v>
      </c>
      <c r="Y104" s="42"/>
    </row>
    <row r="105" spans="15:25">
      <c r="O105" s="37">
        <f t="shared" si="1"/>
        <v>-5.4481159167396598E-18</v>
      </c>
      <c r="P105" s="38" t="str">
        <f>IFERROR(_xll.qlBlackFormula(IF(O105&lt;$C$4,"Put","Call"),O105,$C$4,$C$9*SQRT($C$7)),"")</f>
        <v/>
      </c>
      <c r="Q105" s="39">
        <f>IFERROR(_xll.qlBlackFormula(IF(O105&lt;$C$4,"Put","Call"),O105,$C$4,$C$10*SQRT($C$7),,$C$11),"")</f>
        <v>1.0669191807468795E-5</v>
      </c>
      <c r="R105" s="40">
        <f>IFERROR(_xll.qlBachelierBlackFormula(IF(O105&lt;$C$4,"Put","Call"),O105,$C$4,$C$12*SQRT($C$7)),"")</f>
        <v>7.3553284694897938E-5</v>
      </c>
      <c r="S105" s="41" t="str">
        <f>IFERROR((_xll.qlBlackFormula(IF(O105&lt;$C$4,"Put","Call"),O105+$C$14,$C$4,$C$9*SQRT($C$7))-
2*_xll.qlBlackFormula(IF(O105&lt;$C$4,"Put","Call"),O105,$C$4,$C$9*SQRT($C$7))+
_xll.qlBlackFormula(IF(O105&lt;$C$4,"Put","Call"),O105-$C$14,$C$4,$C$9*SQRT($C$7)))/$C$14^2,"")</f>
        <v/>
      </c>
      <c r="T105" s="42">
        <f>IFERROR((_xll.qlBlackFormula(IF(O105&lt;$C$4,"Put","Call"),O105+$C$14,$C$4,$C$10*SQRT($C$7),,$C$11)-
2*_xll.qlBlackFormula(IF(O105&lt;$C$4,"Put","Call"),O105,$C$4,$C$10*SQRT($C$7),,$C$11)+
_xll.qlBlackFormula(IF(O105&lt;$C$4,"Put","Call"),O105-$C$14,$C$4,$C$10*SQRT($C$7),,$C$11))/$C$14^2,"")</f>
        <v>31.283968606821492</v>
      </c>
      <c r="U105" s="43">
        <f>IFERROR((_xll.qlBachelierBlackFormula(IF(O105&lt;$C$4,"Put","Call"),O105+$C$14,$C$4,$C$12*SQRT($C$7))-
2*_xll.qlBachelierBlackFormula(IF(O105&lt;$C$4,"Put","Call"),O105,$C$4,$C$12*SQRT($C$7))+
_xll.qlBachelierBlackFormula(IF(O105&lt;$C$4,"Put","Call"),O105-$C$14,$C$4,$C$12*SQRT($C$7)))/$C$14^2,"")</f>
        <v>35.640945435840706</v>
      </c>
      <c r="V105" s="61" t="str">
        <f>IFERROR(_xll.qlBachelierBlackFormulaImpliedVol(IF(O105&lt;$C$4,"Put","Call"),O105,$C$4,$C$7,P105),"")</f>
        <v/>
      </c>
      <c r="W105" s="61">
        <f>IFERROR(_xll.qlBachelierBlackFormulaImpliedVol(IF(O105&lt;$C$4,"Put","Call"),O105,$C$4,$C$7,Q105),"")</f>
        <v>2.2602245241583252E-3</v>
      </c>
      <c r="X105" s="61">
        <f>IFERROR(_xll.qlBachelierBlackFormulaImpliedVol(IF(O105&lt;$C$4,"Put","Call"),O105,$C$4,$C$7,R105),"")</f>
        <v>3.1332853432800636E-3</v>
      </c>
      <c r="Y105" s="42"/>
    </row>
    <row r="106" spans="15:25">
      <c r="O106" s="37">
        <f t="shared" si="1"/>
        <v>9.9999999999994557E-5</v>
      </c>
      <c r="P106" s="38">
        <f>IFERROR(_xll.qlBlackFormula(IF(O106&lt;$C$4,"Put","Call"),O106,$C$4,$C$9*SQRT($C$7)),"")</f>
        <v>2.773202030474097E-14</v>
      </c>
      <c r="Q106" s="39">
        <f>IFERROR(_xll.qlBlackFormula(IF(O106&lt;$C$4,"Put","Call"),O106,$C$4,$C$10*SQRT($C$7),,$C$11),"")</f>
        <v>1.2870204458124534E-5</v>
      </c>
      <c r="R106" s="40">
        <f>IFERROR(_xll.qlBachelierBlackFormula(IF(O106&lt;$C$4,"Put","Call"),O106,$C$4,$C$12*SQRT($C$7)),"")</f>
        <v>7.9261555523175596E-5</v>
      </c>
      <c r="S106" s="41">
        <f>IFERROR((_xll.qlBlackFormula(IF(O106&lt;$C$4,"Put","Call"),O106+$C$14,$C$4,$C$9*SQRT($C$7))-
2*_xll.qlBlackFormula(IF(O106&lt;$C$4,"Put","Call"),O106,$C$4,$C$9*SQRT($C$7))+
_xll.qlBlackFormula(IF(O106&lt;$C$4,"Put","Call"),O106-$C$14,$C$4,$C$9*SQRT($C$7)))/$C$14^2,"")</f>
        <v>2.7636904687705941E-4</v>
      </c>
      <c r="T106" s="42">
        <f>IFERROR((_xll.qlBlackFormula(IF(O106&lt;$C$4,"Put","Call"),O106+$C$14,$C$4,$C$10*SQRT($C$7),,$C$11)-
2*_xll.qlBlackFormula(IF(O106&lt;$C$4,"Put","Call"),O106,$C$4,$C$10*SQRT($C$7),,$C$11)+
_xll.qlBlackFormula(IF(O106&lt;$C$4,"Put","Call"),O106-$C$14,$C$4,$C$10*SQRT($C$7),,$C$11))/$C$14^2,"")</f>
        <v>34.816369012531482</v>
      </c>
      <c r="U106" s="43">
        <f>IFERROR((_xll.qlBachelierBlackFormula(IF(O106&lt;$C$4,"Put","Call"),O106+$C$14,$C$4,$C$12*SQRT($C$7))-
2*_xll.qlBachelierBlackFormula(IF(O106&lt;$C$4,"Put","Call"),O106,$C$4,$C$12*SQRT($C$7))+
_xll.qlBachelierBlackFormula(IF(O106&lt;$C$4,"Put","Call"),O106-$C$14,$C$4,$C$12*SQRT($C$7)))/$C$14^2,"")</f>
        <v>37.484046465710577</v>
      </c>
      <c r="V106" s="61">
        <f>IFERROR(_xll.qlBachelierBlackFormulaImpliedVol(IF(O106&lt;$C$4,"Put","Call"),O106,$C$4,$C$7,P106),"")</f>
        <v>7.8627435887097222E-4</v>
      </c>
      <c r="W106" s="61">
        <f>IFERROR(_xll.qlBachelierBlackFormulaImpliedVol(IF(O106&lt;$C$4,"Put","Call"),O106,$C$4,$C$7,Q106),"")</f>
        <v>2.2801602562498428E-3</v>
      </c>
      <c r="X106" s="61">
        <f>IFERROR(_xll.qlBachelierBlackFormulaImpliedVol(IF(O106&lt;$C$4,"Put","Call"),O106,$C$4,$C$7,R106),"")</f>
        <v>3.1332853432792522E-3</v>
      </c>
      <c r="Y106" s="42"/>
    </row>
    <row r="107" spans="15:25">
      <c r="O107" s="37">
        <f t="shared" si="1"/>
        <v>1.9999999999999456E-4</v>
      </c>
      <c r="P107" s="38">
        <f>IFERROR(_xll.qlBlackFormula(IF(O107&lt;$C$4,"Put","Call"),O107,$C$4,$C$9*SQRT($C$7)),"")</f>
        <v>2.4688045396897333E-11</v>
      </c>
      <c r="Q107" s="39">
        <f>IFERROR(_xll.qlBlackFormula(IF(O107&lt;$C$4,"Put","Call"),O107,$C$4,$C$10*SQRT($C$7),,$C$11),"")</f>
        <v>1.5419522514719774E-5</v>
      </c>
      <c r="R107" s="40">
        <f>IFERROR(_xll.qlBachelierBlackFormula(IF(O107&lt;$C$4,"Put","Call"),O107,$C$4,$C$12*SQRT($C$7)),"")</f>
        <v>8.5344712801846087E-5</v>
      </c>
      <c r="S107" s="41">
        <f>IFERROR((_xll.qlBlackFormula(IF(O107&lt;$C$4,"Put","Call"),O107+$C$14,$C$4,$C$9*SQRT($C$7))-
2*_xll.qlBlackFormula(IF(O107&lt;$C$4,"Put","Call"),O107,$C$4,$C$9*SQRT($C$7))+
_xll.qlBlackFormula(IF(O107&lt;$C$4,"Put","Call"),O107-$C$14,$C$4,$C$9*SQRT($C$7)))/$C$14^2,"")</f>
        <v>4.2911950048922988E-2</v>
      </c>
      <c r="T107" s="42">
        <f>IFERROR((_xll.qlBlackFormula(IF(O107&lt;$C$4,"Put","Call"),O107+$C$14,$C$4,$C$10*SQRT($C$7),,$C$11)-
2*_xll.qlBlackFormula(IF(O107&lt;$C$4,"Put","Call"),O107,$C$4,$C$10*SQRT($C$7),,$C$11)+
_xll.qlBlackFormula(IF(O107&lt;$C$4,"Put","Call"),O107-$C$14,$C$4,$C$10*SQRT($C$7),,$C$11))/$C$14^2,"")</f>
        <v>38.51874887301522</v>
      </c>
      <c r="U107" s="43">
        <f>IFERROR((_xll.qlBachelierBlackFormula(IF(O107&lt;$C$4,"Put","Call"),O107+$C$14,$C$4,$C$12*SQRT($C$7))-
2*_xll.qlBachelierBlackFormula(IF(O107&lt;$C$4,"Put","Call"),O107,$C$4,$C$12*SQRT($C$7))+
_xll.qlBachelierBlackFormula(IF(O107&lt;$C$4,"Put","Call"),O107-$C$14,$C$4,$C$12*SQRT($C$7)))/$C$14^2,"")</f>
        <v>39.382325254643661</v>
      </c>
      <c r="V107" s="61">
        <f>IFERROR(_xll.qlBachelierBlackFormulaImpliedVol(IF(O107&lt;$C$4,"Put","Call"),O107,$C$4,$C$7,P107),"")</f>
        <v>9.3563493563069474E-4</v>
      </c>
      <c r="W107" s="61">
        <f>IFERROR(_xll.qlBachelierBlackFormulaImpliedVol(IF(O107&lt;$C$4,"Put","Call"),O107,$C$4,$C$7,Q107),"")</f>
        <v>2.2999510163813001E-3</v>
      </c>
      <c r="X107" s="61">
        <f>IFERROR(_xll.qlBachelierBlackFormulaImpliedVol(IF(O107&lt;$C$4,"Put","Call"),O107,$C$4,$C$7,R107),"")</f>
        <v>3.1332853432795649E-3</v>
      </c>
      <c r="Y107" s="42"/>
    </row>
    <row r="108" spans="15:25">
      <c r="O108" s="37">
        <f t="shared" si="1"/>
        <v>2.9999999999999455E-4</v>
      </c>
      <c r="P108" s="38">
        <f>IFERROR(_xll.qlBlackFormula(IF(O108&lt;$C$4,"Put","Call"),O108,$C$4,$C$9*SQRT($C$7)),"")</f>
        <v>7.8220446448328962E-10</v>
      </c>
      <c r="Q108" s="39">
        <f>IFERROR(_xll.qlBlackFormula(IF(O108&lt;$C$4,"Put","Call"),O108,$C$4,$C$10*SQRT($C$7),,$C$11),"")</f>
        <v>1.8354156977245975E-5</v>
      </c>
      <c r="R108" s="40">
        <f>IFERROR(_xll.qlBachelierBlackFormula(IF(O108&lt;$C$4,"Put","Call"),O108,$C$4,$C$12*SQRT($C$7)),"")</f>
        <v>9.1821738341400837E-5</v>
      </c>
      <c r="S108" s="41">
        <f>IFERROR((_xll.qlBlackFormula(IF(O108&lt;$C$4,"Put","Call"),O108+$C$14,$C$4,$C$9*SQRT($C$7))-
2*_xll.qlBlackFormula(IF(O108&lt;$C$4,"Put","Call"),O108,$C$4,$C$9*SQRT($C$7))+
_xll.qlBlackFormula(IF(O108&lt;$C$4,"Put","Call"),O108-$C$14,$C$4,$C$9*SQRT($C$7)))/$C$14^2,"")</f>
        <v>0.47444815609682195</v>
      </c>
      <c r="T108" s="42">
        <f>IFERROR((_xll.qlBlackFormula(IF(O108&lt;$C$4,"Put","Call"),O108+$C$14,$C$4,$C$10*SQRT($C$7),,$C$11)-
2*_xll.qlBlackFormula(IF(O108&lt;$C$4,"Put","Call"),O108,$C$4,$C$10*SQRT($C$7),,$C$11)+
_xll.qlBlackFormula(IF(O108&lt;$C$4,"Put","Call"),O108-$C$14,$C$4,$C$10*SQRT($C$7),,$C$11))/$C$14^2,"")</f>
        <v>42.375759178774409</v>
      </c>
      <c r="U108" s="43">
        <f>IFERROR((_xll.qlBachelierBlackFormula(IF(O108&lt;$C$4,"Put","Call"),O108+$C$14,$C$4,$C$12*SQRT($C$7))-
2*_xll.qlBachelierBlackFormula(IF(O108&lt;$C$4,"Put","Call"),O108,$C$4,$C$12*SQRT($C$7))+
_xll.qlBachelierBlackFormula(IF(O108&lt;$C$4,"Put","Call"),O108-$C$14,$C$4,$C$12*SQRT($C$7)))/$C$14^2,"")</f>
        <v>41.334611731655421</v>
      </c>
      <c r="V108" s="61">
        <f>IFERROR(_xll.qlBachelierBlackFormulaImpliedVol(IF(O108&lt;$C$4,"Put","Call"),O108,$C$4,$C$7,P108),"")</f>
        <v>1.0479011714574083E-3</v>
      </c>
      <c r="W108" s="61">
        <f>IFERROR(_xll.qlBachelierBlackFormulaImpliedVol(IF(O108&lt;$C$4,"Put","Call"),O108,$C$4,$C$7,Q108),"")</f>
        <v>2.3196010573626013E-3</v>
      </c>
      <c r="X108" s="61">
        <f>IFERROR(_xll.qlBachelierBlackFormulaImpliedVol(IF(O108&lt;$C$4,"Put","Call"),O108,$C$4,$C$7,R108),"")</f>
        <v>3.1332853432807744E-3</v>
      </c>
      <c r="Y108" s="42"/>
    </row>
    <row r="109" spans="15:25">
      <c r="O109" s="37">
        <f t="shared" si="1"/>
        <v>3.9999999999999454E-4</v>
      </c>
      <c r="P109" s="38">
        <f>IFERROR(_xll.qlBlackFormula(IF(O109&lt;$C$4,"Put","Call"),O109,$C$4,$C$9*SQRT($C$7)),"")</f>
        <v>7.2311042455967403E-9</v>
      </c>
      <c r="Q109" s="39">
        <f>IFERROR(_xll.qlBlackFormula(IF(O109&lt;$C$4,"Put","Call"),O109,$C$4,$C$10*SQRT($C$7),,$C$11),"")</f>
        <v>2.1712663743983263E-5</v>
      </c>
      <c r="R109" s="40">
        <f>IFERROR(_xll.qlBachelierBlackFormula(IF(O109&lt;$C$4,"Put","Call"),O109,$C$4,$C$12*SQRT($C$7)),"")</f>
        <v>9.871215384915107E-5</v>
      </c>
      <c r="S109" s="41">
        <f>IFERROR((_xll.qlBlackFormula(IF(O109&lt;$C$4,"Put","Call"),O109+$C$14,$C$4,$C$9*SQRT($C$7))-
2*_xll.qlBlackFormula(IF(O109&lt;$C$4,"Put","Call"),O109,$C$4,$C$9*SQRT($C$7))+
_xll.qlBlackFormula(IF(O109&lt;$C$4,"Put","Call"),O109-$C$14,$C$4,$C$9*SQRT($C$7)))/$C$14^2,"")</f>
        <v>2.0418928764007092</v>
      </c>
      <c r="T109" s="42">
        <f>IFERROR((_xll.qlBlackFormula(IF(O109&lt;$C$4,"Put","Call"),O109+$C$14,$C$4,$C$10*SQRT($C$7),,$C$11)-
2*_xll.qlBlackFormula(IF(O109&lt;$C$4,"Put","Call"),O109,$C$4,$C$10*SQRT($C$7),,$C$11)+
_xll.qlBlackFormula(IF(O109&lt;$C$4,"Put","Call"),O109-$C$14,$C$4,$C$10*SQRT($C$7),,$C$11))/$C$14^2,"")</f>
        <v>46.370367967488519</v>
      </c>
      <c r="U109" s="43">
        <f>IFERROR((_xll.qlBachelierBlackFormula(IF(O109&lt;$C$4,"Put","Call"),O109+$C$14,$C$4,$C$12*SQRT($C$7))-
2*_xll.qlBachelierBlackFormula(IF(O109&lt;$C$4,"Put","Call"),O109,$C$4,$C$12*SQRT($C$7))+
_xll.qlBachelierBlackFormula(IF(O109&lt;$C$4,"Put","Call"),O109-$C$14,$C$4,$C$12*SQRT($C$7)))/$C$14^2,"")</f>
        <v>43.339511179071174</v>
      </c>
      <c r="V109" s="61">
        <f>IFERROR(_xll.qlBachelierBlackFormulaImpliedVol(IF(O109&lt;$C$4,"Put","Call"),O109,$C$4,$C$7,P109),"")</f>
        <v>1.142224420374526E-3</v>
      </c>
      <c r="W109" s="61">
        <f>IFERROR(_xll.qlBachelierBlackFormulaImpliedVol(IF(O109&lt;$C$4,"Put","Call"),O109,$C$4,$C$7,Q109),"")</f>
        <v>2.339114427250042E-3</v>
      </c>
      <c r="X109" s="61">
        <f>IFERROR(_xll.qlBachelierBlackFormulaImpliedVol(IF(O109&lt;$C$4,"Put","Call"),O109,$C$4,$C$7,R109),"")</f>
        <v>3.1332853432825942E-3</v>
      </c>
      <c r="Y109" s="42"/>
    </row>
    <row r="110" spans="15:25">
      <c r="O110" s="37">
        <f t="shared" si="1"/>
        <v>4.9999999999999459E-4</v>
      </c>
      <c r="P110" s="38">
        <f>IFERROR(_xll.qlBlackFormula(IF(O110&lt;$C$4,"Put","Call"),O110,$C$4,$C$9*SQRT($C$7)),"")</f>
        <v>3.5693214319729271E-8</v>
      </c>
      <c r="Q110" s="39">
        <f>IFERROR(_xll.qlBlackFormula(IF(O110&lt;$C$4,"Put","Call"),O110,$C$4,$C$10*SQRT($C$7),,$C$11),"")</f>
        <v>2.5534973503896409E-5</v>
      </c>
      <c r="R110" s="40">
        <f>IFERROR(_xll.qlBachelierBlackFormula(IF(O110&lt;$C$4,"Put","Call"),O110,$C$4,$C$12*SQRT($C$7)),"")</f>
        <v>1.0603600696150467E-4</v>
      </c>
      <c r="S110" s="41">
        <f>IFERROR((_xll.qlBlackFormula(IF(O110&lt;$C$4,"Put","Call"),O110+$C$14,$C$4,$C$9*SQRT($C$7))-
2*_xll.qlBlackFormula(IF(O110&lt;$C$4,"Put","Call"),O110,$C$4,$C$9*SQRT($C$7))+
_xll.qlBlackFormula(IF(O110&lt;$C$4,"Put","Call"),O110-$C$14,$C$4,$C$9*SQRT($C$7)))/$C$14^2,"")</f>
        <v>5.5047315281274765</v>
      </c>
      <c r="T110" s="42">
        <f>IFERROR((_xll.qlBlackFormula(IF(O110&lt;$C$4,"Put","Call"),O110+$C$14,$C$4,$C$10*SQRT($C$7),,$C$11)-
2*_xll.qlBlackFormula(IF(O110&lt;$C$4,"Put","Call"),O110,$C$4,$C$10*SQRT($C$7),,$C$11)+
_xll.qlBlackFormula(IF(O110&lt;$C$4,"Put","Call"),O110-$C$14,$C$4,$C$10*SQRT($C$7),,$C$11))/$C$14^2,"")</f>
        <v>50.484107427242392</v>
      </c>
      <c r="U110" s="43">
        <f>IFERROR((_xll.qlBachelierBlackFormula(IF(O110&lt;$C$4,"Put","Call"),O110+$C$14,$C$4,$C$12*SQRT($C$7))-
2*_xll.qlBachelierBlackFormula(IF(O110&lt;$C$4,"Put","Call"),O110,$C$4,$C$12*SQRT($C$7))+
_xll.qlBachelierBlackFormula(IF(O110&lt;$C$4,"Put","Call"),O110-$C$14,$C$4,$C$12*SQRT($C$7)))/$C$14^2,"")</f>
        <v>45.395393607344793</v>
      </c>
      <c r="V110" s="61">
        <f>IFERROR(_xll.qlBachelierBlackFormulaImpliedVol(IF(O110&lt;$C$4,"Put","Call"),O110,$C$4,$C$7,P110),"")</f>
        <v>1.2255256010862796E-3</v>
      </c>
      <c r="W110" s="61">
        <f>IFERROR(_xll.qlBachelierBlackFormulaImpliedVol(IF(O110&lt;$C$4,"Put","Call"),O110,$C$4,$C$7,Q110),"")</f>
        <v>2.3584949828620821E-3</v>
      </c>
      <c r="X110" s="61">
        <f>IFERROR(_xll.qlBachelierBlackFormulaImpliedVol(IF(O110&lt;$C$4,"Put","Call"),O110,$C$4,$C$7,R110),"")</f>
        <v>3.133285343284711E-3</v>
      </c>
      <c r="Y110" s="42"/>
    </row>
    <row r="111" spans="15:25">
      <c r="O111" s="37">
        <f t="shared" si="1"/>
        <v>5.9999999999999463E-4</v>
      </c>
      <c r="P111" s="38">
        <f>IFERROR(_xll.qlBlackFormula(IF(O111&lt;$C$4,"Put","Call"),O111,$C$4,$C$9*SQRT($C$7)),"")</f>
        <v>1.211641846695573E-7</v>
      </c>
      <c r="Q111" s="39">
        <f>IFERROR(_xll.qlBlackFormula(IF(O111&lt;$C$4,"Put","Call"),O111,$C$4,$C$10*SQRT($C$7),,$C$11),"")</f>
        <v>2.9862207281721511E-5</v>
      </c>
      <c r="R111" s="40">
        <f>IFERROR(_xll.qlBachelierBlackFormula(IF(O111&lt;$C$4,"Put","Call"),O111,$C$4,$C$12*SQRT($C$7)),"")</f>
        <v>1.1381385494664716E-4</v>
      </c>
      <c r="S111" s="41">
        <f>IFERROR((_xll.qlBlackFormula(IF(O111&lt;$C$4,"Put","Call"),O111+$C$14,$C$4,$C$9*SQRT($C$7))-
2*_xll.qlBlackFormula(IF(O111&lt;$C$4,"Put","Call"),O111,$C$4,$C$9*SQRT($C$7))+
_xll.qlBlackFormula(IF(O111&lt;$C$4,"Put","Call"),O111-$C$14,$C$4,$C$9*SQRT($C$7)))/$C$14^2,"")</f>
        <v>11.301096745263587</v>
      </c>
      <c r="T111" s="42">
        <f>IFERROR((_xll.qlBlackFormula(IF(O111&lt;$C$4,"Put","Call"),O111+$C$14,$C$4,$C$10*SQRT($C$7),,$C$11)-
2*_xll.qlBlackFormula(IF(O111&lt;$C$4,"Put","Call"),O111,$C$4,$C$10*SQRT($C$7),,$C$11)+
_xll.qlBlackFormula(IF(O111&lt;$C$4,"Put","Call"),O111-$C$14,$C$4,$C$10*SQRT($C$7),,$C$11))/$C$14^2,"")</f>
        <v>54.697334769121532</v>
      </c>
      <c r="U111" s="43">
        <f>IFERROR((_xll.qlBachelierBlackFormula(IF(O111&lt;$C$4,"Put","Call"),O111+$C$14,$C$4,$C$12*SQRT($C$7))-
2*_xll.qlBachelierBlackFormula(IF(O111&lt;$C$4,"Put","Call"),O111,$C$4,$C$12*SQRT($C$7))+
_xll.qlBachelierBlackFormula(IF(O111&lt;$C$4,"Put","Call"),O111-$C$14,$C$4,$C$12*SQRT($C$7)))/$C$14^2,"")</f>
        <v>47.500392562436353</v>
      </c>
      <c r="V111" s="61">
        <f>IFERROR(_xll.qlBachelierBlackFormulaImpliedVol(IF(O111&lt;$C$4,"Put","Call"),O111,$C$4,$C$7,P111),"")</f>
        <v>1.3012068409753686E-3</v>
      </c>
      <c r="W111" s="61">
        <f>IFERROR(_xll.qlBachelierBlackFormulaImpliedVol(IF(O111&lt;$C$4,"Put","Call"),O111,$C$4,$C$7,Q111),"")</f>
        <v>2.3777464021711753E-3</v>
      </c>
      <c r="X111" s="61">
        <f>IFERROR(_xll.qlBachelierBlackFormulaImpliedVol(IF(O111&lt;$C$4,"Put","Call"),O111,$C$4,$C$7,R111),"")</f>
        <v>3.1332853432868473E-3</v>
      </c>
      <c r="Y111" s="42"/>
    </row>
    <row r="112" spans="15:25">
      <c r="O112" s="37">
        <f t="shared" si="1"/>
        <v>6.9999999999999468E-4</v>
      </c>
      <c r="P112" s="38">
        <f>IFERROR(_xll.qlBlackFormula(IF(O112&lt;$C$4,"Put","Call"),O112,$C$4,$C$9*SQRT($C$7)),"")</f>
        <v>3.2164127861723105E-7</v>
      </c>
      <c r="Q112" s="39">
        <f>IFERROR(_xll.qlBlackFormula(IF(O112&lt;$C$4,"Put","Call"),O112,$C$4,$C$10*SQRT($C$7),,$C$11),"")</f>
        <v>3.4736480205946948E-5</v>
      </c>
      <c r="R112" s="40">
        <f>IFERROR(_xll.qlBachelierBlackFormula(IF(O112&lt;$C$4,"Put","Call"),O112,$C$4,$C$12*SQRT($C$7)),"")</f>
        <v>1.2206674603262819E-4</v>
      </c>
      <c r="S112" s="41">
        <f>IFERROR((_xll.qlBlackFormula(IF(O112&lt;$C$4,"Put","Call"),O112+$C$14,$C$4,$C$9*SQRT($C$7))-
2*_xll.qlBlackFormula(IF(O112&lt;$C$4,"Put","Call"),O112,$C$4,$C$9*SQRT($C$7))+
_xll.qlBlackFormula(IF(O112&lt;$C$4,"Put","Call"),O112-$C$14,$C$4,$C$9*SQRT($C$7)))/$C$14^2,"")</f>
        <v>19.476262822386889</v>
      </c>
      <c r="T112" s="42">
        <f>IFERROR((_xll.qlBlackFormula(IF(O112&lt;$C$4,"Put","Call"),O112+$C$14,$C$4,$C$10*SQRT($C$7),,$C$11)-
2*_xll.qlBlackFormula(IF(O112&lt;$C$4,"Put","Call"),O112,$C$4,$C$10*SQRT($C$7),,$C$11)+
_xll.qlBlackFormula(IF(O112&lt;$C$4,"Put","Call"),O112-$C$14,$C$4,$C$10*SQRT($C$7),,$C$11))/$C$14^2,"")</f>
        <v>58.989489399967347</v>
      </c>
      <c r="U112" s="43">
        <f>IFERROR((_xll.qlBachelierBlackFormula(IF(O112&lt;$C$4,"Put","Call"),O112+$C$14,$C$4,$C$12*SQRT($C$7))-
2*_xll.qlBachelierBlackFormula(IF(O112&lt;$C$4,"Put","Call"),O112,$C$4,$C$12*SQRT($C$7))+
_xll.qlBachelierBlackFormula(IF(O112&lt;$C$4,"Put","Call"),O112-$C$14,$C$4,$C$12*SQRT($C$7)))/$C$14^2,"")</f>
        <v>49.652398783229387</v>
      </c>
      <c r="V112" s="61">
        <f>IFERROR(_xll.qlBachelierBlackFormulaImpliedVol(IF(O112&lt;$C$4,"Put","Call"),O112,$C$4,$C$7,P112),"")</f>
        <v>1.3712289951778203E-3</v>
      </c>
      <c r="W112" s="61">
        <f>IFERROR(_xll.qlBachelierBlackFormulaImpliedVol(IF(O112&lt;$C$4,"Put","Call"),O112,$C$4,$C$7,Q112),"")</f>
        <v>2.3968721956837097E-3</v>
      </c>
      <c r="X112" s="61">
        <f>IFERROR(_xll.qlBachelierBlackFormulaImpliedVol(IF(O112&lt;$C$4,"Put","Call"),O112,$C$4,$C$7,R112),"")</f>
        <v>3.1332853432887481E-3</v>
      </c>
      <c r="Y112" s="42"/>
    </row>
    <row r="113" spans="15:25">
      <c r="O113" s="37">
        <f t="shared" si="1"/>
        <v>7.9999999999999473E-4</v>
      </c>
      <c r="P113" s="38">
        <f>IFERROR(_xll.qlBlackFormula(IF(O113&lt;$C$4,"Put","Call"),O113,$C$4,$C$9*SQRT($C$7)),"")</f>
        <v>7.1865116893470837E-7</v>
      </c>
      <c r="Q113" s="39">
        <f>IFERROR(_xll.qlBlackFormula(IF(O113&lt;$C$4,"Put","Call"),O113,$C$4,$C$10*SQRT($C$7),,$C$11),"")</f>
        <v>4.0200696133529295E-5</v>
      </c>
      <c r="R113" s="40">
        <f>IFERROR(_xll.qlBachelierBlackFormula(IF(O113&lt;$C$4,"Put","Call"),O113,$C$4,$C$12*SQRT($C$7)),"")</f>
        <v>1.3081619832606148E-4</v>
      </c>
      <c r="S113" s="41">
        <f>IFERROR((_xll.qlBlackFormula(IF(O113&lt;$C$4,"Put","Call"),O113+$C$14,$C$4,$C$9*SQRT($C$7))-
2*_xll.qlBlackFormula(IF(O113&lt;$C$4,"Put","Call"),O113,$C$4,$C$9*SQRT($C$7))+
_xll.qlBlackFormula(IF(O113&lt;$C$4,"Put","Call"),O113-$C$14,$C$4,$C$9*SQRT($C$7)))/$C$14^2,"")</f>
        <v>29.766803092033602</v>
      </c>
      <c r="T113" s="42">
        <f>IFERROR((_xll.qlBlackFormula(IF(O113&lt;$C$4,"Put","Call"),O113+$C$14,$C$4,$C$10*SQRT($C$7),,$C$11)-
2*_xll.qlBlackFormula(IF(O113&lt;$C$4,"Put","Call"),O113,$C$4,$C$10*SQRT($C$7),,$C$11)+
_xll.qlBlackFormula(IF(O113&lt;$C$4,"Put","Call"),O113-$C$14,$C$4,$C$10*SQRT($C$7),,$C$11))/$C$14^2,"")</f>
        <v>63.339360611893575</v>
      </c>
      <c r="U113" s="43">
        <f>IFERROR((_xll.qlBachelierBlackFormula(IF(O113&lt;$C$4,"Put","Call"),O113+$C$14,$C$4,$C$12*SQRT($C$7))-
2*_xll.qlBachelierBlackFormula(IF(O113&lt;$C$4,"Put","Call"),O113,$C$4,$C$12*SQRT($C$7))+
_xll.qlBachelierBlackFormula(IF(O113&lt;$C$4,"Put","Call"),O113-$C$14,$C$4,$C$12*SQRT($C$7)))/$C$14^2,"")</f>
        <v>51.849062098884708</v>
      </c>
      <c r="V113" s="61">
        <f>IFERROR(_xll.qlBachelierBlackFormulaImpliedVol(IF(O113&lt;$C$4,"Put","Call"),O113,$C$4,$C$7,P113),"")</f>
        <v>1.4368403971713362E-3</v>
      </c>
      <c r="W113" s="61">
        <f>IFERROR(_xll.qlBachelierBlackFormulaImpliedVol(IF(O113&lt;$C$4,"Put","Call"),O113,$C$4,$C$7,Q113),"")</f>
        <v>2.4158757169073092E-3</v>
      </c>
      <c r="X113" s="61">
        <f>IFERROR(_xll.qlBachelierBlackFormulaImpliedVol(IF(O113&lt;$C$4,"Put","Call"),O113,$C$4,$C$7,R113),"")</f>
        <v>3.1332853432902352E-3</v>
      </c>
      <c r="Y113" s="42"/>
    </row>
    <row r="114" spans="15:25">
      <c r="O114" s="37">
        <f t="shared" si="1"/>
        <v>8.9999999999999477E-4</v>
      </c>
      <c r="P114" s="38">
        <f>IFERROR(_xll.qlBlackFormula(IF(O114&lt;$C$4,"Put","Call"),O114,$C$4,$C$9*SQRT($C$7)),"")</f>
        <v>1.4147222373972062E-6</v>
      </c>
      <c r="Q114" s="39">
        <f>IFERROR(_xll.qlBlackFormula(IF(O114&lt;$C$4,"Put","Call"),O114,$C$4,$C$10*SQRT($C$7),,$C$11),"")</f>
        <v>4.6298335773633083E-5</v>
      </c>
      <c r="R114" s="40">
        <f>IFERROR(_xll.qlBachelierBlackFormula(IF(O114&lt;$C$4,"Put","Call"),O114,$C$4,$C$12*SQRT($C$7)),"")</f>
        <v>1.4008417629756163E-4</v>
      </c>
      <c r="S114" s="41">
        <f>IFERROR((_xll.qlBlackFormula(IF(O114&lt;$C$4,"Put","Call"),O114+$C$14,$C$4,$C$9*SQRT($C$7))-
2*_xll.qlBlackFormula(IF(O114&lt;$C$4,"Put","Call"),O114,$C$4,$C$9*SQRT($C$7))+
_xll.qlBlackFormula(IF(O114&lt;$C$4,"Put","Call"),O114-$C$14,$C$4,$C$9*SQRT($C$7)))/$C$14^2,"")</f>
        <v>41.725804276050546</v>
      </c>
      <c r="T114" s="42">
        <f>IFERROR((_xll.qlBlackFormula(IF(O114&lt;$C$4,"Put","Call"),O114+$C$14,$C$4,$C$10*SQRT($C$7),,$C$11)-
2*_xll.qlBlackFormula(IF(O114&lt;$C$4,"Put","Call"),O114,$C$4,$C$10*SQRT($C$7),,$C$11)+
_xll.qlBlackFormula(IF(O114&lt;$C$4,"Put","Call"),O114-$C$14,$C$4,$C$10*SQRT($C$7),,$C$11))/$C$14^2,"")</f>
        <v>67.725352236036599</v>
      </c>
      <c r="U114" s="43">
        <f>IFERROR((_xll.qlBachelierBlackFormula(IF(O114&lt;$C$4,"Put","Call"),O114+$C$14,$C$4,$C$12*SQRT($C$7))-
2*_xll.qlBachelierBlackFormula(IF(O114&lt;$C$4,"Put","Call"),O114,$C$4,$C$12*SQRT($C$7))+
_xll.qlBachelierBlackFormula(IF(O114&lt;$C$4,"Put","Call"),O114-$C$14,$C$4,$C$12*SQRT($C$7)))/$C$14^2,"")</f>
        <v>54.087785953619431</v>
      </c>
      <c r="V114" s="61">
        <f>IFERROR(_xll.qlBachelierBlackFormulaImpliedVol(IF(O114&lt;$C$4,"Put","Call"),O114,$C$4,$C$7,P114),"")</f>
        <v>1.4988921801127281E-3</v>
      </c>
      <c r="W114" s="61">
        <f>IFERROR(_xll.qlBachelierBlackFormulaImpliedVol(IF(O114&lt;$C$4,"Put","Call"),O114,$C$4,$C$7,Q114),"")</f>
        <v>2.4347601719932207E-3</v>
      </c>
      <c r="X114" s="61">
        <f>IFERROR(_xll.qlBachelierBlackFormulaImpliedVol(IF(O114&lt;$C$4,"Put","Call"),O114,$C$4,$C$7,R114),"")</f>
        <v>3.1332853432912071E-3</v>
      </c>
      <c r="Y114" s="42"/>
    </row>
    <row r="115" spans="15:25">
      <c r="O115" s="37">
        <f t="shared" si="1"/>
        <v>9.9999999999999482E-4</v>
      </c>
      <c r="P115" s="38">
        <f>IFERROR(_xll.qlBlackFormula(IF(O115&lt;$C$4,"Put","Call"),O115,$C$4,$C$9*SQRT($C$7)),"")</f>
        <v>2.529007276670366E-6</v>
      </c>
      <c r="Q115" s="39">
        <f>IFERROR(_xll.qlBlackFormula(IF(O115&lt;$C$4,"Put","Call"),O115,$C$4,$C$10*SQRT($C$7),,$C$11),"")</f>
        <v>5.3073240911346968E-5</v>
      </c>
      <c r="R115" s="40">
        <f>IFERROR(_xll.qlBachelierBlackFormula(IF(O115&lt;$C$4,"Put","Call"),O115,$C$4,$C$12*SQRT($C$7)),"")</f>
        <v>1.4989306482159894E-4</v>
      </c>
      <c r="S115" s="41">
        <f>IFERROR((_xll.qlBlackFormula(IF(O115&lt;$C$4,"Put","Call"),O115+$C$14,$C$4,$C$9*SQRT($C$7))-
2*_xll.qlBlackFormula(IF(O115&lt;$C$4,"Put","Call"),O115,$C$4,$C$9*SQRT($C$7))+
_xll.qlBlackFormula(IF(O115&lt;$C$4,"Put","Call"),O115-$C$14,$C$4,$C$9*SQRT($C$7)))/$C$14^2,"")</f>
        <v>54.832386777963599</v>
      </c>
      <c r="T115" s="42">
        <f>IFERROR((_xll.qlBlackFormula(IF(O115&lt;$C$4,"Put","Call"),O115+$C$14,$C$4,$C$10*SQRT($C$7),,$C$11)-
2*_xll.qlBlackFormula(IF(O115&lt;$C$4,"Put","Call"),O115,$C$4,$C$10*SQRT($C$7),,$C$11)+
_xll.qlBlackFormula(IF(O115&lt;$C$4,"Put","Call"),O115-$C$14,$C$4,$C$10*SQRT($C$7),,$C$11))/$C$14^2,"")</f>
        <v>72.125725097266226</v>
      </c>
      <c r="U115" s="43">
        <f>IFERROR((_xll.qlBachelierBlackFormula(IF(O115&lt;$C$4,"Put","Call"),O115+$C$14,$C$4,$C$12*SQRT($C$7))-
2*_xll.qlBachelierBlackFormula(IF(O115&lt;$C$4,"Put","Call"),O115,$C$4,$C$12*SQRT($C$7))+
_xll.qlBachelierBlackFormula(IF(O115&lt;$C$4,"Put","Call"),O115-$C$14,$C$4,$C$12*SQRT($C$7)))/$C$14^2,"")</f>
        <v>56.365730279842737</v>
      </c>
      <c r="V115" s="61">
        <f>IFERROR(_xll.qlBachelierBlackFormulaImpliedVol(IF(O115&lt;$C$4,"Put","Call"),O115,$C$4,$C$7,P115),"")</f>
        <v>1.5579946087515783E-3</v>
      </c>
      <c r="W115" s="61">
        <f>IFERROR(_xll.qlBachelierBlackFormulaImpliedVol(IF(O115&lt;$C$4,"Put","Call"),O115,$C$4,$C$7,Q115),"")</f>
        <v>2.4535286286321116E-3</v>
      </c>
      <c r="X115" s="61">
        <f>IFERROR(_xll.qlBachelierBlackFormulaImpliedVol(IF(O115&lt;$C$4,"Put","Call"),O115,$C$4,$C$7,R115),"")</f>
        <v>3.1332853432916399E-3</v>
      </c>
      <c r="Y115" s="42"/>
    </row>
    <row r="116" spans="15:25">
      <c r="O116" s="37">
        <f t="shared" si="1"/>
        <v>1.0999999999999949E-3</v>
      </c>
      <c r="P116" s="38">
        <f>IFERROR(_xll.qlBlackFormula(IF(O116&lt;$C$4,"Put","Call"),O116,$C$4,$C$9*SQRT($C$7)),"")</f>
        <v>4.1921388549837515E-6</v>
      </c>
      <c r="Q116" s="39">
        <f>IFERROR(_xll.qlBlackFormula(IF(O116&lt;$C$4,"Put","Call"),O116,$C$4,$C$10*SQRT($C$7),,$C$11),"")</f>
        <v>6.0569397247056873E-5</v>
      </c>
      <c r="R116" s="40">
        <f>IFERROR(_xll.qlBachelierBlackFormula(IF(O116&lt;$C$4,"Put","Call"),O116,$C$4,$C$12*SQRT($C$7)),"")</f>
        <v>1.6026564077063304E-4</v>
      </c>
      <c r="S116" s="41">
        <f>IFERROR((_xll.qlBlackFormula(IF(O116&lt;$C$4,"Put","Call"),O116+$C$14,$C$4,$C$9*SQRT($C$7))-
2*_xll.qlBlackFormula(IF(O116&lt;$C$4,"Put","Call"),O116,$C$4,$C$9*SQRT($C$7))+
_xll.qlBlackFormula(IF(O116&lt;$C$4,"Put","Call"),O116-$C$14,$C$4,$C$9*SQRT($C$7)))/$C$14^2,"")</f>
        <v>68.568863403255335</v>
      </c>
      <c r="T116" s="42">
        <f>IFERROR((_xll.qlBlackFormula(IF(O116&lt;$C$4,"Put","Call"),O116+$C$14,$C$4,$C$10*SQRT($C$7),,$C$11)-
2*_xll.qlBlackFormula(IF(O116&lt;$C$4,"Put","Call"),O116,$C$4,$C$10*SQRT($C$7),,$C$11)+
_xll.qlBlackFormula(IF(O116&lt;$C$4,"Put","Call"),O116-$C$14,$C$4,$C$10*SQRT($C$7),,$C$11))/$C$14^2,"")</f>
        <v>76.51884844066953</v>
      </c>
      <c r="U116" s="43">
        <f>IFERROR((_xll.qlBachelierBlackFormula(IF(O116&lt;$C$4,"Put","Call"),O116+$C$14,$C$4,$C$12*SQRT($C$7))-
2*_xll.qlBachelierBlackFormula(IF(O116&lt;$C$4,"Put","Call"),O116,$C$4,$C$12*SQRT($C$7))+
_xll.qlBachelierBlackFormula(IF(O116&lt;$C$4,"Put","Call"),O116-$C$14,$C$4,$C$12*SQRT($C$7)))/$C$14^2,"")</f>
        <v>58.67981035974357</v>
      </c>
      <c r="V116" s="61">
        <f>IFERROR(_xll.qlBachelierBlackFormulaImpliedVol(IF(O116&lt;$C$4,"Put","Call"),O116,$C$4,$C$7,P116),"")</f>
        <v>1.6146024493949751E-3</v>
      </c>
      <c r="W116" s="61">
        <f>IFERROR(_xll.qlBachelierBlackFormulaImpliedVol(IF(O116&lt;$C$4,"Put","Call"),O116,$C$4,$C$7,Q116),"")</f>
        <v>2.4721840242724722E-3</v>
      </c>
      <c r="X116" s="61">
        <f>IFERROR(_xll.qlBachelierBlackFormulaImpliedVol(IF(O116&lt;$C$4,"Put","Call"),O116,$C$4,$C$7,R116),"")</f>
        <v>3.1332853432915818E-3</v>
      </c>
      <c r="Y116" s="42"/>
    </row>
    <row r="117" spans="15:25">
      <c r="O117" s="37">
        <f t="shared" si="1"/>
        <v>1.1999999999999949E-3</v>
      </c>
      <c r="P117" s="38">
        <f>IFERROR(_xll.qlBlackFormula(IF(O117&lt;$C$4,"Put","Call"),O117,$C$4,$C$9*SQRT($C$7)),"")</f>
        <v>6.5410907627326675E-6</v>
      </c>
      <c r="Q117" s="39">
        <f>IFERROR(_xll.qlBlackFormula(IF(O117&lt;$C$4,"Put","Call"),O117,$C$4,$C$10*SQRT($C$7),,$C$11),"")</f>
        <v>6.8830718244457701E-5</v>
      </c>
      <c r="R117" s="40">
        <f>IFERROR(_xll.qlBachelierBlackFormula(IF(O117&lt;$C$4,"Put","Call"),O117,$C$4,$C$12*SQRT($C$7)),"")</f>
        <v>1.7122504217607806E-4</v>
      </c>
      <c r="S117" s="41">
        <f>IFERROR((_xll.qlBlackFormula(IF(O117&lt;$C$4,"Put","Call"),O117+$C$14,$C$4,$C$9*SQRT($C$7))-
2*_xll.qlBlackFormula(IF(O117&lt;$C$4,"Put","Call"),O117,$C$4,$C$9*SQRT($C$7))+
_xll.qlBlackFormula(IF(O117&lt;$C$4,"Put","Call"),O117-$C$14,$C$4,$C$9*SQRT($C$7)))/$C$14^2,"")</f>
        <v>82.467111847564325</v>
      </c>
      <c r="T117" s="42">
        <f>IFERROR((_xll.qlBlackFormula(IF(O117&lt;$C$4,"Put","Call"),O117+$C$14,$C$4,$C$10*SQRT($C$7),,$C$11)-
2*_xll.qlBlackFormula(IF(O117&lt;$C$4,"Put","Call"),O117,$C$4,$C$10*SQRT($C$7),,$C$11)+
_xll.qlBlackFormula(IF(O117&lt;$C$4,"Put","Call"),O117-$C$14,$C$4,$C$10*SQRT($C$7),,$C$11))/$C$14^2,"")</f>
        <v>80.883411784655337</v>
      </c>
      <c r="U117" s="43">
        <f>IFERROR((_xll.qlBachelierBlackFormula(IF(O117&lt;$C$4,"Put","Call"),O117+$C$14,$C$4,$C$12*SQRT($C$7))-
2*_xll.qlBachelierBlackFormula(IF(O117&lt;$C$4,"Put","Call"),O117,$C$4,$C$12*SQRT($C$7))+
_xll.qlBachelierBlackFormula(IF(O117&lt;$C$4,"Put","Call"),O117-$C$14,$C$4,$C$12*SQRT($C$7)))/$C$14^2,"")</f>
        <v>61.026702083671196</v>
      </c>
      <c r="V117" s="61">
        <f>IFERROR(_xll.qlBachelierBlackFormulaImpliedVol(IF(O117&lt;$C$4,"Put","Call"),O117,$C$4,$C$7,P117),"")</f>
        <v>1.6690650976270416E-3</v>
      </c>
      <c r="W117" s="61">
        <f>IFERROR(_xll.qlBachelierBlackFormulaImpliedVol(IF(O117&lt;$C$4,"Put","Call"),O117,$C$4,$C$7,Q117),"")</f>
        <v>2.4907291737237356E-3</v>
      </c>
      <c r="X117" s="61">
        <f>IFERROR(_xll.qlBachelierBlackFormulaImpliedVol(IF(O117&lt;$C$4,"Put","Call"),O117,$C$4,$C$7,R117),"")</f>
        <v>3.1332853432911394E-3</v>
      </c>
      <c r="Y117" s="42"/>
    </row>
    <row r="118" spans="15:25">
      <c r="O118" s="37">
        <f t="shared" si="1"/>
        <v>1.299999999999995E-3</v>
      </c>
      <c r="P118" s="38">
        <f>IFERROR(_xll.qlBlackFormula(IF(O118&lt;$C$4,"Put","Call"),O118,$C$4,$C$9*SQRT($C$7)),"")</f>
        <v>9.714515556000332E-6</v>
      </c>
      <c r="Q118" s="39">
        <f>IFERROR(_xll.qlBlackFormula(IF(O118&lt;$C$4,"Put","Call"),O118,$C$4,$C$10*SQRT($C$7),,$C$11),"")</f>
        <v>7.7900832226342415E-5</v>
      </c>
      <c r="R118" s="40">
        <f>IFERROR(_xll.qlBachelierBlackFormula(IF(O118&lt;$C$4,"Put","Call"),O118,$C$4,$C$12*SQRT($C$7)),"")</f>
        <v>1.8279473498184043E-4</v>
      </c>
      <c r="S118" s="41">
        <f>IFERROR((_xll.qlBlackFormula(IF(O118&lt;$C$4,"Put","Call"),O118+$C$14,$C$4,$C$9*SQRT($C$7))-
2*_xll.qlBlackFormula(IF(O118&lt;$C$4,"Put","Call"),O118,$C$4,$C$9*SQRT($C$7))+
_xll.qlBlackFormula(IF(O118&lt;$C$4,"Put","Call"),O118-$C$14,$C$4,$C$9*SQRT($C$7)))/$C$14^2,"")</f>
        <v>96.131494793292006</v>
      </c>
      <c r="T118" s="42">
        <f>IFERROR((_xll.qlBlackFormula(IF(O118&lt;$C$4,"Put","Call"),O118+$C$14,$C$4,$C$10*SQRT($C$7),,$C$11)-
2*_xll.qlBlackFormula(IF(O118&lt;$C$4,"Put","Call"),O118,$C$4,$C$10*SQRT($C$7),,$C$11)+
_xll.qlBlackFormula(IF(O118&lt;$C$4,"Put","Call"),O118-$C$14,$C$4,$C$10*SQRT($C$7),,$C$11))/$C$14^2,"")</f>
        <v>85.198643496112169</v>
      </c>
      <c r="U118" s="43">
        <f>IFERROR((_xll.qlBachelierBlackFormula(IF(O118&lt;$C$4,"Put","Call"),O118+$C$14,$C$4,$C$12*SQRT($C$7))-
2*_xll.qlBachelierBlackFormula(IF(O118&lt;$C$4,"Put","Call"),O118,$C$4,$C$12*SQRT($C$7))+
_xll.qlBachelierBlackFormula(IF(O118&lt;$C$4,"Put","Call"),O118-$C$14,$C$4,$C$12*SQRT($C$7)))/$C$14^2,"")</f>
        <v>63.402842383816079</v>
      </c>
      <c r="V118" s="61">
        <f>IFERROR(_xll.qlBachelierBlackFormulaImpliedVol(IF(O118&lt;$C$4,"Put","Call"),O118,$C$4,$C$7,P118),"")</f>
        <v>1.7216577289726408E-3</v>
      </c>
      <c r="W118" s="61">
        <f>IFERROR(_xll.qlBachelierBlackFormulaImpliedVol(IF(O118&lt;$C$4,"Put","Call"),O118,$C$4,$C$7,Q118),"")</f>
        <v>2.5091667761991477E-3</v>
      </c>
      <c r="X118" s="61">
        <f>IFERROR(_xll.qlBachelierBlackFormulaImpliedVol(IF(O118&lt;$C$4,"Put","Call"),O118,$C$4,$C$7,R118),"")</f>
        <v>3.1332853432904516E-3</v>
      </c>
      <c r="Y118" s="42"/>
    </row>
    <row r="119" spans="15:25">
      <c r="O119" s="37">
        <f t="shared" si="1"/>
        <v>1.399999999999995E-3</v>
      </c>
      <c r="P119" s="38">
        <f>IFERROR(_xll.qlBlackFormula(IF(O119&lt;$C$4,"Put","Call"),O119,$C$4,$C$9*SQRT($C$7)),"")</f>
        <v>1.3848793883189825E-5</v>
      </c>
      <c r="Q119" s="39">
        <f>IFERROR(_xll.qlBlackFormula(IF(O119&lt;$C$4,"Put","Call"),O119,$C$4,$C$10*SQRT($C$7),,$C$11),"")</f>
        <v>8.7822874778866735E-5</v>
      </c>
      <c r="R119" s="40">
        <f>IFERROR(_xll.qlBachelierBlackFormula(IF(O119&lt;$C$4,"Put","Call"),O119,$C$4,$C$12*SQRT($C$7)),"")</f>
        <v>1.9499847742972888E-4</v>
      </c>
      <c r="S119" s="41">
        <f>IFERROR((_xll.qlBlackFormula(IF(O119&lt;$C$4,"Put","Call"),O119+$C$14,$C$4,$C$9*SQRT($C$7))-
2*_xll.qlBlackFormula(IF(O119&lt;$C$4,"Put","Call"),O119,$C$4,$C$9*SQRT($C$7))+
_xll.qlBlackFormula(IF(O119&lt;$C$4,"Put","Call"),O119-$C$14,$C$4,$C$9*SQRT($C$7)))/$C$14^2,"")</f>
        <v>109.24601474778017</v>
      </c>
      <c r="T119" s="42">
        <f>IFERROR((_xll.qlBlackFormula(IF(O119&lt;$C$4,"Put","Call"),O119+$C$14,$C$4,$C$10*SQRT($C$7),,$C$11)-
2*_xll.qlBlackFormula(IF(O119&lt;$C$4,"Put","Call"),O119,$C$4,$C$10*SQRT($C$7),,$C$11)+
_xll.qlBlackFormula(IF(O119&lt;$C$4,"Put","Call"),O119-$C$14,$C$4,$C$10*SQRT($C$7),,$C$11))/$C$14^2,"")</f>
        <v>89.444483070133529</v>
      </c>
      <c r="U119" s="43">
        <f>IFERROR((_xll.qlBachelierBlackFormula(IF(O119&lt;$C$4,"Put","Call"),O119+$C$14,$C$4,$C$12*SQRT($C$7))-
2*_xll.qlBachelierBlackFormula(IF(O119&lt;$C$4,"Put","Call"),O119,$C$4,$C$12*SQRT($C$7))+
_xll.qlBachelierBlackFormula(IF(O119&lt;$C$4,"Put","Call"),O119-$C$14,$C$4,$C$12*SQRT($C$7)))/$C$14^2,"")</f>
        <v>65.804438016247445</v>
      </c>
      <c r="V119" s="61">
        <f>IFERROR(_xll.qlBachelierBlackFormulaImpliedVol(IF(O119&lt;$C$4,"Put","Call"),O119,$C$4,$C$7,P119),"")</f>
        <v>1.7726015595696347E-3</v>
      </c>
      <c r="W119" s="61">
        <f>IFERROR(_xll.qlBachelierBlackFormulaImpliedVol(IF(O119&lt;$C$4,"Put","Call"),O119,$C$4,$C$7,Q119),"")</f>
        <v>2.5274994218480893E-3</v>
      </c>
      <c r="X119" s="61">
        <f>IFERROR(_xll.qlBachelierBlackFormulaImpliedVol(IF(O119&lt;$C$4,"Put","Call"),O119,$C$4,$C$7,R119),"")</f>
        <v>3.1332853432896666E-3</v>
      </c>
      <c r="Y119" s="42"/>
    </row>
    <row r="120" spans="15:25">
      <c r="O120" s="37">
        <f t="shared" si="1"/>
        <v>1.499999999999995E-3</v>
      </c>
      <c r="P120" s="38">
        <f>IFERROR(_xll.qlBlackFormula(IF(O120&lt;$C$4,"Put","Call"),O120,$C$4,$C$9*SQRT($C$7)),"")</f>
        <v>1.9074872301823914E-5</v>
      </c>
      <c r="Q120" s="39">
        <f>IFERROR(_xll.qlBlackFormula(IF(O120&lt;$C$4,"Put","Call"),O120,$C$4,$C$10*SQRT($C$7),,$C$11),"")</f>
        <v>9.8639288327977354E-5</v>
      </c>
      <c r="R120" s="40">
        <f>IFERROR(_xll.qlBachelierBlackFormula(IF(O120&lt;$C$4,"Put","Call"),O120,$C$4,$C$12*SQRT($C$7)),"")</f>
        <v>2.0786028212992606E-4</v>
      </c>
      <c r="S120" s="41">
        <f>IFERROR((_xll.qlBlackFormula(IF(O120&lt;$C$4,"Put","Call"),O120+$C$14,$C$4,$C$9*SQRT($C$7))-
2*_xll.qlBlackFormula(IF(O120&lt;$C$4,"Put","Call"),O120,$C$4,$C$9*SQRT($C$7))+
_xll.qlBlackFormula(IF(O120&lt;$C$4,"Put","Call"),O120-$C$14,$C$4,$C$9*SQRT($C$7)))/$C$14^2,"")</f>
        <v>121.57188171196994</v>
      </c>
      <c r="T120" s="42">
        <f>IFERROR((_xll.qlBlackFormula(IF(O120&lt;$C$4,"Put","Call"),O120+$C$14,$C$4,$C$10*SQRT($C$7),,$C$11)-
2*_xll.qlBlackFormula(IF(O120&lt;$C$4,"Put","Call"),O120,$C$4,$C$10*SQRT($C$7),,$C$11)+
_xll.qlBlackFormula(IF(O120&lt;$C$4,"Put","Call"),O120-$C$14,$C$4,$C$10*SQRT($C$7),,$C$11))/$C$14^2,"")</f>
        <v>93.601762408621056</v>
      </c>
      <c r="U120" s="43">
        <f>IFERROR((_xll.qlBachelierBlackFormula(IF(O120&lt;$C$4,"Put","Call"),O120+$C$14,$C$4,$C$12*SQRT($C$7))-
2*_xll.qlBachelierBlackFormula(IF(O120&lt;$C$4,"Put","Call"),O120,$C$4,$C$12*SQRT($C$7))+
_xll.qlBachelierBlackFormula(IF(O120&lt;$C$4,"Put","Call"),O120-$C$14,$C$4,$C$12*SQRT($C$7)))/$C$14^2,"")</f>
        <v>68.227470765083737</v>
      </c>
      <c r="V120" s="61">
        <f>IFERROR(_xll.qlBachelierBlackFormulaImpliedVol(IF(O120&lt;$C$4,"Put","Call"),O120,$C$4,$C$7,P120),"")</f>
        <v>1.8220775274859651E-3</v>
      </c>
      <c r="W120" s="61">
        <f>IFERROR(_xll.qlBachelierBlackFormulaImpliedVol(IF(O120&lt;$C$4,"Put","Call"),O120,$C$4,$C$7,Q120),"")</f>
        <v>2.5457295978220254E-3</v>
      </c>
      <c r="X120" s="61">
        <f>IFERROR(_xll.qlBachelierBlackFormulaImpliedVol(IF(O120&lt;$C$4,"Put","Call"),O120,$C$4,$C$7,R120),"")</f>
        <v>3.1332853432889194E-3</v>
      </c>
      <c r="Y120" s="42"/>
    </row>
    <row r="121" spans="15:25">
      <c r="O121" s="37">
        <f t="shared" si="1"/>
        <v>1.5999999999999951E-3</v>
      </c>
      <c r="P121" s="38">
        <f>IFERROR(_xll.qlBlackFormula(IF(O121&lt;$C$4,"Put","Call"),O121,$C$4,$C$9*SQRT($C$7)),"")</f>
        <v>2.5515868925799832E-5</v>
      </c>
      <c r="Q121" s="39">
        <f>IFERROR(_xll.qlBlackFormula(IF(O121&lt;$C$4,"Put","Call"),O121,$C$4,$C$10*SQRT($C$7),,$C$11),"")</f>
        <v>1.1039163054199995E-4</v>
      </c>
      <c r="R121" s="40">
        <f>IFERROR(_xll.qlBachelierBlackFormula(IF(O121&lt;$C$4,"Put","Call"),O121,$C$4,$C$12*SQRT($C$7)),"")</f>
        <v>2.2140437588381412E-4</v>
      </c>
      <c r="S121" s="41">
        <f>IFERROR((_xll.qlBlackFormula(IF(O121&lt;$C$4,"Put","Call"),O121+$C$14,$C$4,$C$9*SQRT($C$7))-
2*_xll.qlBlackFormula(IF(O121&lt;$C$4,"Put","Call"),O121,$C$4,$C$9*SQRT($C$7))+
_xll.qlBlackFormula(IF(O121&lt;$C$4,"Put","Call"),O121-$C$14,$C$4,$C$9*SQRT($C$7)))/$C$14^2,"")</f>
        <v>132.93990299594657</v>
      </c>
      <c r="T121" s="42">
        <f>IFERROR((_xll.qlBlackFormula(IF(O121&lt;$C$4,"Put","Call"),O121+$C$14,$C$4,$C$10*SQRT($C$7),,$C$11)-
2*_xll.qlBlackFormula(IF(O121&lt;$C$4,"Put","Call"),O121,$C$4,$C$10*SQRT($C$7),,$C$11)+
_xll.qlBlackFormula(IF(O121&lt;$C$4,"Put","Call"),O121-$C$14,$C$4,$C$10*SQRT($C$7),,$C$11))/$C$14^2,"")</f>
        <v>97.652337171377781</v>
      </c>
      <c r="U121" s="43">
        <f>IFERROR((_xll.qlBachelierBlackFormula(IF(O121&lt;$C$4,"Put","Call"),O121+$C$14,$C$4,$C$12*SQRT($C$7))-
2*_xll.qlBachelierBlackFormula(IF(O121&lt;$C$4,"Put","Call"),O121,$C$4,$C$12*SQRT($C$7))+
_xll.qlBachelierBlackFormula(IF(O121&lt;$C$4,"Put","Call"),O121-$C$14,$C$4,$C$12*SQRT($C$7)))/$C$14^2,"")</f>
        <v>70.667706332950416</v>
      </c>
      <c r="V121" s="61">
        <f>IFERROR(_xll.qlBachelierBlackFormulaImpliedVol(IF(O121&lt;$C$4,"Put","Call"),O121,$C$4,$C$7,P121),"")</f>
        <v>1.8702358261531856E-3</v>
      </c>
      <c r="W121" s="61">
        <f>IFERROR(_xll.qlBachelierBlackFormulaImpliedVol(IF(O121&lt;$C$4,"Put","Call"),O121,$C$4,$C$7,Q121),"")</f>
        <v>2.5638596939142125E-3</v>
      </c>
      <c r="X121" s="61">
        <f>IFERROR(_xll.qlBachelierBlackFormulaImpliedVol(IF(O121&lt;$C$4,"Put","Call"),O121,$C$4,$C$7,R121),"")</f>
        <v>3.1332853432883209E-3</v>
      </c>
      <c r="Y121" s="42"/>
    </row>
    <row r="122" spans="15:25">
      <c r="O122" s="37">
        <f t="shared" si="1"/>
        <v>1.6999999999999951E-3</v>
      </c>
      <c r="P122" s="38">
        <f>IFERROR(_xll.qlBlackFormula(IF(O122&lt;$C$4,"Put","Call"),O122,$C$4,$C$9*SQRT($C$7)),"")</f>
        <v>3.3285373165454311E-5</v>
      </c>
      <c r="Q122" s="39">
        <f>IFERROR(_xll.qlBlackFormula(IF(O122&lt;$C$4,"Put","Call"),O122,$C$4,$C$10*SQRT($C$7),,$C$11),"")</f>
        <v>1.2312039299720184E-4</v>
      </c>
      <c r="R122" s="40">
        <f>IFERROR(_xll.qlBachelierBlackFormula(IF(O122&lt;$C$4,"Put","Call"),O122,$C$4,$C$12*SQRT($C$7)),"")</f>
        <v>2.3565515734067909E-4</v>
      </c>
      <c r="S122" s="41">
        <f>IFERROR((_xll.qlBlackFormula(IF(O122&lt;$C$4,"Put","Call"),O122+$C$14,$C$4,$C$9*SQRT($C$7))-
2*_xll.qlBlackFormula(IF(O122&lt;$C$4,"Put","Call"),O122,$C$4,$C$9*SQRT($C$7))+
_xll.qlBlackFormula(IF(O122&lt;$C$4,"Put","Call"),O122-$C$14,$C$4,$C$9*SQRT($C$7)))/$C$14^2,"")</f>
        <v>143.24058195266335</v>
      </c>
      <c r="T122" s="42">
        <f>IFERROR((_xll.qlBlackFormula(IF(O122&lt;$C$4,"Put","Call"),O122+$C$14,$C$4,$C$10*SQRT($C$7),,$C$11)-
2*_xll.qlBlackFormula(IF(O122&lt;$C$4,"Put","Call"),O122,$C$4,$C$10*SQRT($C$7),,$C$11)+
_xll.qlBlackFormula(IF(O122&lt;$C$4,"Put","Call"),O122-$C$14,$C$4,$C$10*SQRT($C$7),,$C$11))/$C$14^2,"")</f>
        <v>101.57921259777019</v>
      </c>
      <c r="U122" s="43">
        <f>IFERROR((_xll.qlBachelierBlackFormula(IF(O122&lt;$C$4,"Put","Call"),O122+$C$14,$C$4,$C$12*SQRT($C$7))-
2*_xll.qlBachelierBlackFormula(IF(O122&lt;$C$4,"Put","Call"),O122,$C$4,$C$12*SQRT($C$7))+
_xll.qlBachelierBlackFormula(IF(O122&lt;$C$4,"Put","Call"),O122-$C$14,$C$4,$C$12*SQRT($C$7)))/$C$14^2,"")</f>
        <v>73.120700900403122</v>
      </c>
      <c r="V122" s="61">
        <f>IFERROR(_xll.qlBachelierBlackFormulaImpliedVol(IF(O122&lt;$C$4,"Put","Call"),O122,$C$4,$C$7,P122),"")</f>
        <v>1.9172027274254203E-3</v>
      </c>
      <c r="W122" s="61">
        <f>IFERROR(_xll.qlBachelierBlackFormulaImpliedVol(IF(O122&lt;$C$4,"Put","Call"),O122,$C$4,$C$7,Q122),"")</f>
        <v>2.581892007808929E-3</v>
      </c>
      <c r="X122" s="61">
        <f>IFERROR(_xll.qlBachelierBlackFormulaImpliedVol(IF(O122&lt;$C$4,"Put","Call"),O122,$C$4,$C$7,R122),"")</f>
        <v>3.1332853432879358E-3</v>
      </c>
      <c r="Y122" s="42"/>
    </row>
    <row r="123" spans="15:25">
      <c r="O123" s="37">
        <f t="shared" si="1"/>
        <v>1.7999999999999952E-3</v>
      </c>
      <c r="P123" s="38">
        <f>IFERROR(_xll.qlBlackFormula(IF(O123&lt;$C$4,"Put","Call"),O123,$C$4,$C$9*SQRT($C$7)),"")</f>
        <v>4.2486342070416155E-5</v>
      </c>
      <c r="Q123" s="39">
        <f>IFERROR(_xll.qlBlackFormula(IF(O123&lt;$C$4,"Put","Call"),O123,$C$4,$C$10*SQRT($C$7),,$C$11),"")</f>
        <v>1.3686483132340681E-4</v>
      </c>
      <c r="R123" s="40">
        <f>IFERROR(_xll.qlBachelierBlackFormula(IF(O123&lt;$C$4,"Put","Call"),O123,$C$4,$C$12*SQRT($C$7)),"")</f>
        <v>2.506371525840905E-4</v>
      </c>
      <c r="S123" s="41">
        <f>IFERROR((_xll.qlBlackFormula(IF(O123&lt;$C$4,"Put","Call"),O123+$C$14,$C$4,$C$9*SQRT($C$7))-
2*_xll.qlBlackFormula(IF(O123&lt;$C$4,"Put","Call"),O123,$C$4,$C$9*SQRT($C$7))+
_xll.qlBlackFormula(IF(O123&lt;$C$4,"Put","Call"),O123-$C$14,$C$4,$C$9*SQRT($C$7)))/$C$14^2,"")</f>
        <v>152.41372668616492</v>
      </c>
      <c r="T123" s="42">
        <f>IFERROR((_xll.qlBlackFormula(IF(O123&lt;$C$4,"Put","Call"),O123+$C$14,$C$4,$C$10*SQRT($C$7),,$C$11)-
2*_xll.qlBlackFormula(IF(O123&lt;$C$4,"Put","Call"),O123,$C$4,$C$10*SQRT($C$7),,$C$11)+
_xll.qlBlackFormula(IF(O123&lt;$C$4,"Put","Call"),O123-$C$14,$C$4,$C$10*SQRT($C$7),,$C$11))/$C$14^2,"")</f>
        <v>105.36664347016861</v>
      </c>
      <c r="U123" s="43">
        <f>IFERROR((_xll.qlBachelierBlackFormula(IF(O123&lt;$C$4,"Put","Call"),O123+$C$14,$C$4,$C$12*SQRT($C$7))-
2*_xll.qlBachelierBlackFormula(IF(O123&lt;$C$4,"Put","Call"),O123,$C$4,$C$12*SQRT($C$7))+
_xll.qlBachelierBlackFormula(IF(O123&lt;$C$4,"Put","Call"),O123-$C$14,$C$4,$C$12*SQRT($C$7)))/$C$14^2,"")</f>
        <v>75.581817063699603</v>
      </c>
      <c r="V123" s="61">
        <f>IFERROR(_xll.qlBachelierBlackFormulaImpliedVol(IF(O123&lt;$C$4,"Put","Call"),O123,$C$4,$C$7,P123),"")</f>
        <v>1.9630855785584566E-3</v>
      </c>
      <c r="W123" s="61">
        <f>IFERROR(_xll.qlBachelierBlackFormulaImpliedVol(IF(O123&lt;$C$4,"Put","Call"),O123,$C$4,$C$7,Q123),"")</f>
        <v>2.5998287499728193E-3</v>
      </c>
      <c r="X123" s="61">
        <f>IFERROR(_xll.qlBachelierBlackFormulaImpliedVol(IF(O123&lt;$C$4,"Put","Call"),O123,$C$4,$C$7,R123),"")</f>
        <v>3.1332853432877823E-3</v>
      </c>
      <c r="Y123" s="42"/>
    </row>
    <row r="124" spans="15:25">
      <c r="O124" s="37">
        <f t="shared" si="1"/>
        <v>1.8999999999999952E-3</v>
      </c>
      <c r="P124" s="38">
        <f>IFERROR(_xll.qlBlackFormula(IF(O124&lt;$C$4,"Put","Call"),O124,$C$4,$C$9*SQRT($C$7)),"")</f>
        <v>5.3210490151402932E-5</v>
      </c>
      <c r="Q124" s="39">
        <f>IFERROR(_xll.qlBlackFormula(IF(O124&lt;$C$4,"Put","Call"),O124,$C$4,$C$10*SQRT($C$7),,$C$11),"")</f>
        <v>1.5166280782854581E-4</v>
      </c>
      <c r="R124" s="40">
        <f>IFERROR(_xll.qlBachelierBlackFormula(IF(O124&lt;$C$4,"Put","Call"),O124,$C$4,$C$12*SQRT($C$7)),"")</f>
        <v>2.6637496875794788E-4</v>
      </c>
      <c r="S124" s="41">
        <f>IFERROR((_xll.qlBlackFormula(IF(O124&lt;$C$4,"Put","Call"),O124+$C$14,$C$4,$C$9*SQRT($C$7))-
2*_xll.qlBlackFormula(IF(O124&lt;$C$4,"Put","Call"),O124,$C$4,$C$9*SQRT($C$7))+
_xll.qlBlackFormula(IF(O124&lt;$C$4,"Put","Call"),O124-$C$14,$C$4,$C$9*SQRT($C$7)))/$C$14^2,"")</f>
        <v>160.43856667464703</v>
      </c>
      <c r="T124" s="42">
        <f>IFERROR((_xll.qlBlackFormula(IF(O124&lt;$C$4,"Put","Call"),O124+$C$14,$C$4,$C$10*SQRT($C$7),,$C$11)-
2*_xll.qlBlackFormula(IF(O124&lt;$C$4,"Put","Call"),O124,$C$4,$C$10*SQRT($C$7),,$C$11)+
_xll.qlBlackFormula(IF(O124&lt;$C$4,"Put","Call"),O124-$C$14,$C$4,$C$10*SQRT($C$7),,$C$11))/$C$14^2,"")</f>
        <v>109.00021727225374</v>
      </c>
      <c r="U124" s="43">
        <f>IFERROR((_xll.qlBachelierBlackFormula(IF(O124&lt;$C$4,"Put","Call"),O124+$C$14,$C$4,$C$12*SQRT($C$7))-
2*_xll.qlBachelierBlackFormula(IF(O124&lt;$C$4,"Put","Call"),O124,$C$4,$C$12*SQRT($C$7))+
_xll.qlBachelierBlackFormula(IF(O124&lt;$C$4,"Put","Call"),O124-$C$14,$C$4,$C$12*SQRT($C$7)))/$C$14^2,"")</f>
        <v>78.046232671047377</v>
      </c>
      <c r="V124" s="61">
        <f>IFERROR(_xll.qlBachelierBlackFormulaImpliedVol(IF(O124&lt;$C$4,"Put","Call"),O124,$C$4,$C$7,P124),"")</f>
        <v>2.0079765359166512E-3</v>
      </c>
      <c r="W124" s="61">
        <f>IFERROR(_xll.qlBachelierBlackFormulaImpliedVol(IF(O124&lt;$C$4,"Put","Call"),O124,$C$4,$C$7,Q124),"")</f>
        <v>2.6176720482176969E-3</v>
      </c>
      <c r="X124" s="61">
        <f>IFERROR(_xll.qlBachelierBlackFormulaImpliedVol(IF(O124&lt;$C$4,"Put","Call"),O124,$C$4,$C$7,R124),"")</f>
        <v>3.1332853432878352E-3</v>
      </c>
      <c r="Y124" s="42"/>
    </row>
    <row r="125" spans="15:25">
      <c r="O125" s="37">
        <f t="shared" si="1"/>
        <v>1.9999999999999953E-3</v>
      </c>
      <c r="P125" s="38">
        <f>IFERROR(_xll.qlBlackFormula(IF(O125&lt;$C$4,"Put","Call"),O125,$C$4,$C$9*SQRT($C$7)),"")</f>
        <v>6.5538074287063068E-5</v>
      </c>
      <c r="Q125" s="39">
        <f>IFERROR(_xll.qlBlackFormula(IF(O125&lt;$C$4,"Put","Call"),O125,$C$4,$C$10*SQRT($C$7),,$C$11),"")</f>
        <v>1.675506473880629E-4</v>
      </c>
      <c r="R125" s="40">
        <f>IFERROR(_xll.qlBachelierBlackFormula(IF(O125&lt;$C$4,"Put","Call"),O125,$C$4,$C$12*SQRT($C$7)),"")</f>
        <v>2.8289324585620713E-4</v>
      </c>
      <c r="S125" s="41">
        <f>IFERROR((_xll.qlBlackFormula(IF(O125&lt;$C$4,"Put","Call"),O125+$C$14,$C$4,$C$9*SQRT($C$7))-
2*_xll.qlBlackFormula(IF(O125&lt;$C$4,"Put","Call"),O125,$C$4,$C$9*SQRT($C$7))+
_xll.qlBlackFormula(IF(O125&lt;$C$4,"Put","Call"),O125-$C$14,$C$4,$C$9*SQRT($C$7)))/$C$14^2,"")</f>
        <v>167.32489832170691</v>
      </c>
      <c r="T125" s="42">
        <f>IFERROR((_xll.qlBlackFormula(IF(O125&lt;$C$4,"Put","Call"),O125+$C$14,$C$4,$C$10*SQRT($C$7),,$C$11)-
2*_xll.qlBlackFormula(IF(O125&lt;$C$4,"Put","Call"),O125,$C$4,$C$10*SQRT($C$7),,$C$11)+
_xll.qlBlackFormula(IF(O125&lt;$C$4,"Put","Call"),O125-$C$14,$C$4,$C$10*SQRT($C$7),,$C$11))/$C$14^2,"")</f>
        <v>112.46690189391229</v>
      </c>
      <c r="U125" s="43">
        <f>IFERROR((_xll.qlBachelierBlackFormula(IF(O125&lt;$C$4,"Put","Call"),O125+$C$14,$C$4,$C$12*SQRT($C$7))-
2*_xll.qlBachelierBlackFormula(IF(O125&lt;$C$4,"Put","Call"),O125,$C$4,$C$12*SQRT($C$7))+
_xll.qlBachelierBlackFormula(IF(O125&lt;$C$4,"Put","Call"),O125-$C$14,$C$4,$C$12*SQRT($C$7)))/$C$14^2,"")</f>
        <v>80.508955296702823</v>
      </c>
      <c r="V125" s="61">
        <f>IFERROR(_xll.qlBachelierBlackFormulaImpliedVol(IF(O125&lt;$C$4,"Put","Call"),O125,$C$4,$C$7,P125),"")</f>
        <v>2.051955404331016E-3</v>
      </c>
      <c r="W125" s="61">
        <f>IFERROR(_xll.qlBachelierBlackFormulaImpliedVol(IF(O125&lt;$C$4,"Put","Call"),O125,$C$4,$C$7,Q125),"")</f>
        <v>2.6354239519613474E-3</v>
      </c>
      <c r="X125" s="61">
        <f>IFERROR(_xll.qlBachelierBlackFormulaImpliedVol(IF(O125&lt;$C$4,"Put","Call"),O125,$C$4,$C$7,R125),"")</f>
        <v>3.1332853432880447E-3</v>
      </c>
      <c r="Y125" s="42"/>
    </row>
    <row r="126" spans="15:25">
      <c r="O126" s="37">
        <f t="shared" si="1"/>
        <v>2.0999999999999951E-3</v>
      </c>
      <c r="P126" s="38">
        <f>IFERROR(_xll.qlBlackFormula(IF(O126&lt;$C$4,"Put","Call"),O126,$C$4,$C$9*SQRT($C$7)),"")</f>
        <v>7.9537985341273331E-5</v>
      </c>
      <c r="Q126" s="39">
        <f>IFERROR(_xll.qlBlackFormula(IF(O126&lt;$C$4,"Put","Call"),O126,$C$4,$C$10*SQRT($C$7),,$C$11),"")</f>
        <v>1.8456300718042813E-4</v>
      </c>
      <c r="R126" s="40">
        <f>IFERROR(_xll.qlBachelierBlackFormula(IF(O126&lt;$C$4,"Put","Call"),O126,$C$4,$C$12*SQRT($C$7)),"")</f>
        <v>3.0021660681403702E-4</v>
      </c>
      <c r="S126" s="41">
        <f>IFERROR((_xll.qlBlackFormula(IF(O126&lt;$C$4,"Put","Call"),O126+$C$14,$C$4,$C$9*SQRT($C$7))-
2*_xll.qlBlackFormula(IF(O126&lt;$C$4,"Put","Call"),O126,$C$4,$C$9*SQRT($C$7))+
_xll.qlBlackFormula(IF(O126&lt;$C$4,"Put","Call"),O126-$C$14,$C$4,$C$9*SQRT($C$7)))/$C$14^2,"")</f>
        <v>173.10546306928063</v>
      </c>
      <c r="T126" s="42">
        <f>IFERROR((_xll.qlBlackFormula(IF(O126&lt;$C$4,"Put","Call"),O126+$C$14,$C$4,$C$10*SQRT($C$7),,$C$11)-
2*_xll.qlBlackFormula(IF(O126&lt;$C$4,"Put","Call"),O126,$C$4,$C$10*SQRT($C$7),,$C$11)+
_xll.qlBlackFormula(IF(O126&lt;$C$4,"Put","Call"),O126-$C$14,$C$4,$C$10*SQRT($C$7),,$C$11))/$C$14^2,"")</f>
        <v>115.75509387823368</v>
      </c>
      <c r="U126" s="43">
        <f>IFERROR((_xll.qlBachelierBlackFormula(IF(O126&lt;$C$4,"Put","Call"),O126+$C$14,$C$4,$C$12*SQRT($C$7))-
2*_xll.qlBachelierBlackFormula(IF(O126&lt;$C$4,"Put","Call"),O126,$C$4,$C$12*SQRT($C$7))+
_xll.qlBachelierBlackFormula(IF(O126&lt;$C$4,"Put","Call"),O126-$C$14,$C$4,$C$12*SQRT($C$7)))/$C$14^2,"")</f>
        <v>82.964837582431841</v>
      </c>
      <c r="V126" s="61">
        <f>IFERROR(_xll.qlBachelierBlackFormulaImpliedVol(IF(O126&lt;$C$4,"Put","Call"),O126,$C$4,$C$7,P126),"")</f>
        <v>2.0950918302718694E-3</v>
      </c>
      <c r="W126" s="61">
        <f>IFERROR(_xll.qlBachelierBlackFormulaImpliedVol(IF(O126&lt;$C$4,"Put","Call"),O126,$C$4,$C$7,Q126),"")</f>
        <v>2.6530864362104179E-3</v>
      </c>
      <c r="X126" s="61">
        <f>IFERROR(_xll.qlBachelierBlackFormulaImpliedVol(IF(O126&lt;$C$4,"Put","Call"),O126,$C$4,$C$7,R126),"")</f>
        <v>3.1332853432883374E-3</v>
      </c>
      <c r="Y126" s="42"/>
    </row>
    <row r="127" spans="15:25">
      <c r="O127" s="37">
        <f t="shared" si="1"/>
        <v>2.1999999999999949E-3</v>
      </c>
      <c r="P127" s="38">
        <f>IFERROR(_xll.qlBlackFormula(IF(O127&lt;$C$4,"Put","Call"),O127,$C$4,$C$9*SQRT($C$7)),"")</f>
        <v>9.5268070263778055E-5</v>
      </c>
      <c r="Q127" s="39">
        <f>IFERROR(_xll.qlBlackFormula(IF(O127&lt;$C$4,"Put","Call"),O127,$C$4,$C$10*SQRT($C$7),,$C$11),"")</f>
        <v>2.0273276065608864E-4</v>
      </c>
      <c r="R127" s="40">
        <f>IFERROR(_xll.qlBachelierBlackFormula(IF(O127&lt;$C$4,"Put","Call"),O127,$C$4,$C$12*SQRT($C$7)),"")</f>
        <v>3.1836960605149912E-4</v>
      </c>
      <c r="S127" s="41">
        <f>IFERROR((_xll.qlBlackFormula(IF(O127&lt;$C$4,"Put","Call"),O127+$C$14,$C$4,$C$9*SQRT($C$7))-
2*_xll.qlBlackFormula(IF(O127&lt;$C$4,"Put","Call"),O127,$C$4,$C$9*SQRT($C$7))+
_xll.qlBlackFormula(IF(O127&lt;$C$4,"Put","Call"),O127-$C$14,$C$4,$C$9*SQRT($C$7)))/$C$14^2,"")</f>
        <v>177.82957018822736</v>
      </c>
      <c r="T127" s="42">
        <f>IFERROR((_xll.qlBlackFormula(IF(O127&lt;$C$4,"Put","Call"),O127+$C$14,$C$4,$C$10*SQRT($C$7),,$C$11)-
2*_xll.qlBlackFormula(IF(O127&lt;$C$4,"Put","Call"),O127,$C$4,$C$10*SQRT($C$7),,$C$11)+
_xll.qlBlackFormula(IF(O127&lt;$C$4,"Put","Call"),O127-$C$14,$C$4,$C$10*SQRT($C$7),,$C$11))/$C$14^2,"")</f>
        <v>118.8546333835</v>
      </c>
      <c r="U127" s="43">
        <f>IFERROR((_xll.qlBachelierBlackFormula(IF(O127&lt;$C$4,"Put","Call"),O127+$C$14,$C$4,$C$12*SQRT($C$7))-
2*_xll.qlBachelierBlackFormula(IF(O127&lt;$C$4,"Put","Call"),O127,$C$4,$C$12*SQRT($C$7))+
_xll.qlBachelierBlackFormula(IF(O127&lt;$C$4,"Put","Call"),O127-$C$14,$C$4,$C$12*SQRT($C$7)))/$C$14^2,"")</f>
        <v>85.408594801585082</v>
      </c>
      <c r="V127" s="61">
        <f>IFERROR(_xll.qlBachelierBlackFormulaImpliedVol(IF(O127&lt;$C$4,"Put","Call"),O127,$C$4,$C$7,P127),"")</f>
        <v>2.1374470196245617E-3</v>
      </c>
      <c r="W127" s="61">
        <f>IFERROR(_xll.qlBachelierBlackFormulaImpliedVol(IF(O127&lt;$C$4,"Put","Call"),O127,$C$4,$C$7,Q127),"")</f>
        <v>2.6706614052872707E-3</v>
      </c>
      <c r="X127" s="61">
        <f>IFERROR(_xll.qlBachelierBlackFormulaImpliedVol(IF(O127&lt;$C$4,"Put","Call"),O127,$C$4,$C$7,R127),"")</f>
        <v>3.1332853432886401E-3</v>
      </c>
      <c r="Y127" s="42"/>
    </row>
    <row r="128" spans="15:25">
      <c r="O128" s="37">
        <f t="shared" si="1"/>
        <v>2.2999999999999948E-3</v>
      </c>
      <c r="P128" s="38">
        <f>IFERROR(_xll.qlBlackFormula(IF(O128&lt;$C$4,"Put","Call"),O128,$C$4,$C$9*SQRT($C$7)),"")</f>
        <v>1.1277562085676765E-4</v>
      </c>
      <c r="Q128" s="39">
        <f>IFERROR(_xll.qlBlackFormula(IF(O128&lt;$C$4,"Put","Call"),O128,$C$4,$C$10*SQRT($C$7),,$C$11),"")</f>
        <v>2.2209089594599392E-4</v>
      </c>
      <c r="R128" s="40">
        <f>IFERROR(_xll.qlBachelierBlackFormula(IF(O128&lt;$C$4,"Put","Call"),O128,$C$4,$C$12*SQRT($C$7)),"")</f>
        <v>3.3737667663369289E-4</v>
      </c>
      <c r="S128" s="41">
        <f>IFERROR((_xll.qlBlackFormula(IF(O128&lt;$C$4,"Put","Call"),O128+$C$14,$C$4,$C$9*SQRT($C$7))-
2*_xll.qlBlackFormula(IF(O128&lt;$C$4,"Put","Call"),O128,$C$4,$C$9*SQRT($C$7))+
_xll.qlBlackFormula(IF(O128&lt;$C$4,"Put","Call"),O128-$C$14,$C$4,$C$9*SQRT($C$7)))/$C$14^2,"")</f>
        <v>181.55789355657828</v>
      </c>
      <c r="T128" s="42">
        <f>IFERROR((_xll.qlBlackFormula(IF(O128&lt;$C$4,"Put","Call"),O128+$C$14,$C$4,$C$10*SQRT($C$7),,$C$11)-
2*_xll.qlBlackFormula(IF(O128&lt;$C$4,"Put","Call"),O128,$C$4,$C$10*SQRT($C$7),,$C$11)+
_xll.qlBlackFormula(IF(O128&lt;$C$4,"Put","Call"),O128-$C$14,$C$4,$C$10*SQRT($C$7),,$C$11))/$C$14^2,"")</f>
        <v>121.75680927893617</v>
      </c>
      <c r="U128" s="43">
        <f>IFERROR((_xll.qlBachelierBlackFormula(IF(O128&lt;$C$4,"Put","Call"),O128+$C$14,$C$4,$C$12*SQRT($C$7))-
2*_xll.qlBachelierBlackFormula(IF(O128&lt;$C$4,"Put","Call"),O128,$C$4,$C$12*SQRT($C$7))+
_xll.qlBachelierBlackFormula(IF(O128&lt;$C$4,"Put","Call"),O128-$C$14,$C$4,$C$12*SQRT($C$7)))/$C$14^2,"")</f>
        <v>87.834820037928367</v>
      </c>
      <c r="V128" s="61">
        <f>IFERROR(_xll.qlBachelierBlackFormulaImpliedVol(IF(O128&lt;$C$4,"Put","Call"),O128,$C$4,$C$7,P128),"")</f>
        <v>2.1790751000203561E-3</v>
      </c>
      <c r="W128" s="61">
        <f>IFERROR(_xll.qlBachelierBlackFormulaImpliedVol(IF(O128&lt;$C$4,"Put","Call"),O128,$C$4,$C$7,Q128),"")</f>
        <v>2.6881506963205687E-3</v>
      </c>
      <c r="X128" s="61">
        <f>IFERROR(_xll.qlBachelierBlackFormulaImpliedVol(IF(O128&lt;$C$4,"Put","Call"),O128,$C$4,$C$7,R128),"")</f>
        <v>3.1332853432888912E-3</v>
      </c>
      <c r="Y128" s="42"/>
    </row>
    <row r="129" spans="15:25">
      <c r="O129" s="37">
        <f t="shared" si="1"/>
        <v>2.3999999999999946E-3</v>
      </c>
      <c r="P129" s="38">
        <f>IFERROR(_xll.qlBlackFormula(IF(O129&lt;$C$4,"Put","Call"),O129,$C$4,$C$9*SQRT($C$7)),"")</f>
        <v>1.3209797703887192E-4</v>
      </c>
      <c r="Q129" s="39">
        <f>IFERROR(_xll.qlBlackFormula(IF(O129&lt;$C$4,"Put","Call"),O129,$C$4,$C$10*SQRT($C$7),,$C$11),"")</f>
        <v>2.4266642874880718E-4</v>
      </c>
      <c r="R129" s="40">
        <f>IFERROR(_xll.qlBachelierBlackFormula(IF(O129&lt;$C$4,"Put","Call"),O129,$C$4,$C$12*SQRT($C$7)),"")</f>
        <v>3.5726207622352934E-4</v>
      </c>
      <c r="S129" s="41">
        <f>IFERROR((_xll.qlBlackFormula(IF(O129&lt;$C$4,"Put","Call"),O129+$C$14,$C$4,$C$9*SQRT($C$7))-
2*_xll.qlBlackFormula(IF(O129&lt;$C$4,"Put","Call"),O129,$C$4,$C$9*SQRT($C$7))+
_xll.qlBlackFormula(IF(O129&lt;$C$4,"Put","Call"),O129-$C$14,$C$4,$C$9*SQRT($C$7)))/$C$14^2,"")</f>
        <v>184.35830206192662</v>
      </c>
      <c r="T129" s="42">
        <f>IFERROR((_xll.qlBlackFormula(IF(O129&lt;$C$4,"Put","Call"),O129+$C$14,$C$4,$C$10*SQRT($C$7),,$C$11)-
2*_xll.qlBlackFormula(IF(O129&lt;$C$4,"Put","Call"),O129,$C$4,$C$10*SQRT($C$7),,$C$11)+
_xll.qlBlackFormula(IF(O129&lt;$C$4,"Put","Call"),O129-$C$14,$C$4,$C$10*SQRT($C$7),,$C$11))/$C$14^2,"")</f>
        <v>124.45434786900745</v>
      </c>
      <c r="U129" s="43">
        <f>IFERROR((_xll.qlBachelierBlackFormula(IF(O129&lt;$C$4,"Put","Call"),O129+$C$14,$C$4,$C$12*SQRT($C$7))-
2*_xll.qlBachelierBlackFormula(IF(O129&lt;$C$4,"Put","Call"),O129,$C$4,$C$12*SQRT($C$7))+
_xll.qlBachelierBlackFormula(IF(O129&lt;$C$4,"Put","Call"),O129-$C$14,$C$4,$C$12*SQRT($C$7)))/$C$14^2,"")</f>
        <v>90.238005436005238</v>
      </c>
      <c r="V129" s="61">
        <f>IFERROR(_xll.qlBachelierBlackFormulaImpliedVol(IF(O129&lt;$C$4,"Put","Call"),O129,$C$4,$C$7,P129),"")</f>
        <v>2.2200242135183199E-3</v>
      </c>
      <c r="W129" s="61">
        <f>IFERROR(_xll.qlBachelierBlackFormulaImpliedVol(IF(O129&lt;$C$4,"Put","Call"),O129,$C$4,$C$7,Q129),"")</f>
        <v>2.7055560825176785E-3</v>
      </c>
      <c r="X129" s="61">
        <f>IFERROR(_xll.qlBachelierBlackFormulaImpliedVol(IF(O129&lt;$C$4,"Put","Call"),O129,$C$4,$C$7,R129),"")</f>
        <v>3.1332853432890495E-3</v>
      </c>
      <c r="Y129" s="42"/>
    </row>
    <row r="130" spans="15:25">
      <c r="O130" s="37">
        <f t="shared" si="1"/>
        <v>2.4999999999999944E-3</v>
      </c>
      <c r="P130" s="38">
        <f>IFERROR(_xll.qlBlackFormula(IF(O130&lt;$C$4,"Put","Call"),O130,$C$4,$C$9*SQRT($C$7)),"")</f>
        <v>1.5326320283182078E-4</v>
      </c>
      <c r="Q130" s="39">
        <f>IFERROR(_xll.qlBlackFormula(IF(O130&lt;$C$4,"Put","Call"),O130,$C$4,$C$10*SQRT($C$7),,$C$11),"")</f>
        <v>2.6448632958405425E-4</v>
      </c>
      <c r="R130" s="40">
        <f>IFERROR(_xll.qlBachelierBlackFormula(IF(O130&lt;$C$4,"Put","Call"),O130,$C$4,$C$12*SQRT($C$7)),"")</f>
        <v>3.7804983201481608E-4</v>
      </c>
      <c r="S130" s="41">
        <f>IFERROR((_xll.qlBlackFormula(IF(O130&lt;$C$4,"Put","Call"),O130+$C$14,$C$4,$C$9*SQRT($C$7))-
2*_xll.qlBlackFormula(IF(O130&lt;$C$4,"Put","Call"),O130,$C$4,$C$9*SQRT($C$7))+
_xll.qlBlackFormula(IF(O130&lt;$C$4,"Put","Call"),O130-$C$14,$C$4,$C$9*SQRT($C$7)))/$C$14^2,"")</f>
        <v>186.30259666788456</v>
      </c>
      <c r="T130" s="42">
        <f>IFERROR((_xll.qlBlackFormula(IF(O130&lt;$C$4,"Put","Call"),O130+$C$14,$C$4,$C$10*SQRT($C$7),,$C$11)-
2*_xll.qlBlackFormula(IF(O130&lt;$C$4,"Put","Call"),O130,$C$4,$C$10*SQRT($C$7),,$C$11)+
_xll.qlBlackFormula(IF(O130&lt;$C$4,"Put","Call"),O130-$C$14,$C$4,$C$10*SQRT($C$7),,$C$11))/$C$14^2,"")</f>
        <v>126.94139381146108</v>
      </c>
      <c r="U130" s="43">
        <f>IFERROR((_xll.qlBachelierBlackFormula(IF(O130&lt;$C$4,"Put","Call"),O130+$C$14,$C$4,$C$12*SQRT($C$7))-
2*_xll.qlBachelierBlackFormula(IF(O130&lt;$C$4,"Put","Call"),O130,$C$4,$C$12*SQRT($C$7))+
_xll.qlBachelierBlackFormula(IF(O130&lt;$C$4,"Put","Call"),O130-$C$14,$C$4,$C$12*SQRT($C$7)))/$C$14^2,"")</f>
        <v>92.612559873632435</v>
      </c>
      <c r="V130" s="61">
        <f>IFERROR(_xll.qlBachelierBlackFormulaImpliedVol(IF(O130&lt;$C$4,"Put","Call"),O130,$C$4,$C$7,P130),"")</f>
        <v>2.2603374020187263E-3</v>
      </c>
      <c r="W130" s="61">
        <f>IFERROR(_xll.qlBachelierBlackFormulaImpliedVol(IF(O130&lt;$C$4,"Put","Call"),O130,$C$4,$C$7,Q130),"")</f>
        <v>2.7228792762352349E-3</v>
      </c>
      <c r="X130" s="61">
        <f>IFERROR(_xll.qlBachelierBlackFormulaImpliedVol(IF(O130&lt;$C$4,"Put","Call"),O130,$C$4,$C$7,R130),"")</f>
        <v>3.133285343289105E-3</v>
      </c>
      <c r="Y130" s="42"/>
    </row>
    <row r="131" spans="15:25">
      <c r="O131" s="37">
        <f t="shared" si="1"/>
        <v>2.5999999999999942E-3</v>
      </c>
      <c r="P131" s="38">
        <f>IFERROR(_xll.qlBlackFormula(IF(O131&lt;$C$4,"Put","Call"),O131,$C$4,$C$9*SQRT($C$7)),"")</f>
        <v>1.7629080225863079E-4</v>
      </c>
      <c r="Q131" s="39">
        <f>IFERROR(_xll.qlBlackFormula(IF(O131&lt;$C$4,"Put","Call"),O131,$C$4,$C$10*SQRT($C$7),,$C$11),"")</f>
        <v>2.8757546516239383E-4</v>
      </c>
      <c r="R131" s="40">
        <f>IFERROR(_xll.qlBachelierBlackFormula(IF(O131&lt;$C$4,"Put","Call"),O131,$C$4,$C$12*SQRT($C$7)),"")</f>
        <v>3.9976368484402407E-4</v>
      </c>
      <c r="S131" s="41">
        <f>IFERROR((_xll.qlBlackFormula(IF(O131&lt;$C$4,"Put","Call"),O131+$C$14,$C$4,$C$9*SQRT($C$7))-
2*_xll.qlBlackFormula(IF(O131&lt;$C$4,"Put","Call"),O131,$C$4,$C$9*SQRT($C$7))+
_xll.qlBlackFormula(IF(O131&lt;$C$4,"Put","Call"),O131-$C$14,$C$4,$C$9*SQRT($C$7)))/$C$14^2,"")</f>
        <v>187.46398677089647</v>
      </c>
      <c r="T131" s="42">
        <f>IFERROR((_xll.qlBlackFormula(IF(O131&lt;$C$4,"Put","Call"),O131+$C$14,$C$4,$C$10*SQRT($C$7),,$C$11)-
2*_xll.qlBlackFormula(IF(O131&lt;$C$4,"Put","Call"),O131,$C$4,$C$10*SQRT($C$7),,$C$11)+
_xll.qlBlackFormula(IF(O131&lt;$C$4,"Put","Call"),O131-$C$14,$C$4,$C$10*SQRT($C$7),,$C$11))/$C$14^2,"")</f>
        <v>129.21345894298386</v>
      </c>
      <c r="U131" s="43">
        <f>IFERROR((_xll.qlBachelierBlackFormula(IF(O131&lt;$C$4,"Put","Call"),O131+$C$14,$C$4,$C$12*SQRT($C$7))-
2*_xll.qlBachelierBlackFormula(IF(O131&lt;$C$4,"Put","Call"),O131,$C$4,$C$12*SQRT($C$7))+
_xll.qlBachelierBlackFormula(IF(O131&lt;$C$4,"Put","Call"),O131-$C$14,$C$4,$C$12*SQRT($C$7)))/$C$14^2,"")</f>
        <v>94.952832272246496</v>
      </c>
      <c r="V131" s="61">
        <f>IFERROR(_xll.qlBachelierBlackFormulaImpliedVol(IF(O131&lt;$C$4,"Put","Call"),O131,$C$4,$C$7,P131),"")</f>
        <v>2.3000533314425759E-3</v>
      </c>
      <c r="W131" s="61">
        <f>IFERROR(_xll.qlBachelierBlackFormulaImpliedVol(IF(O131&lt;$C$4,"Put","Call"),O131,$C$4,$C$7,Q131),"")</f>
        <v>2.7401219318629239E-3</v>
      </c>
      <c r="X131" s="61">
        <f>IFERROR(_xll.qlBachelierBlackFormulaImpliedVol(IF(O131&lt;$C$4,"Put","Call"),O131,$C$4,$C$7,R131),"")</f>
        <v>3.1332853432890643E-3</v>
      </c>
      <c r="Y131" s="42"/>
    </row>
    <row r="132" spans="15:25">
      <c r="O132" s="37">
        <f t="shared" si="1"/>
        <v>2.6999999999999941E-3</v>
      </c>
      <c r="P132" s="38">
        <f>IFERROR(_xll.qlBlackFormula(IF(O132&lt;$C$4,"Put","Call"),O132,$C$4,$C$9*SQRT($C$7)),"")</f>
        <v>2.0119244988350024E-4</v>
      </c>
      <c r="Q132" s="39">
        <f>IFERROR(_xll.qlBlackFormula(IF(O132&lt;$C$4,"Put","Call"),O132,$C$4,$C$10*SQRT($C$7),,$C$11),"")</f>
        <v>3.1195655350406046E-4</v>
      </c>
      <c r="R132" s="40">
        <f>IFERROR(_xll.qlBachelierBlackFormula(IF(O132&lt;$C$4,"Put","Call"),O132,$C$4,$C$12*SQRT($C$7)),"")</f>
        <v>4.2242703268886665E-4</v>
      </c>
      <c r="S132" s="41">
        <f>IFERROR((_xll.qlBlackFormula(IF(O132&lt;$C$4,"Put","Call"),O132+$C$14,$C$4,$C$9*SQRT($C$7))-
2*_xll.qlBlackFormula(IF(O132&lt;$C$4,"Put","Call"),O132,$C$4,$C$9*SQRT($C$7))+
_xll.qlBlackFormula(IF(O132&lt;$C$4,"Put","Call"),O132-$C$14,$C$4,$C$9*SQRT($C$7)))/$C$14^2,"")</f>
        <v>187.91520292951725</v>
      </c>
      <c r="T132" s="42">
        <f>IFERROR((_xll.qlBlackFormula(IF(O132&lt;$C$4,"Put","Call"),O132+$C$14,$C$4,$C$10*SQRT($C$7),,$C$11)-
2*_xll.qlBlackFormula(IF(O132&lt;$C$4,"Put","Call"),O132,$C$4,$C$10*SQRT($C$7),,$C$11)+
_xll.qlBlackFormula(IF(O132&lt;$C$4,"Put","Call"),O132-$C$14,$C$4,$C$10*SQRT($C$7),,$C$11))/$C$14^2,"")</f>
        <v>131.26738519948776</v>
      </c>
      <c r="U132" s="43">
        <f>IFERROR((_xll.qlBachelierBlackFormula(IF(O132&lt;$C$4,"Put","Call"),O132+$C$14,$C$4,$C$12*SQRT($C$7))-
2*_xll.qlBachelierBlackFormula(IF(O132&lt;$C$4,"Put","Call"),O132,$C$4,$C$12*SQRT($C$7))+
_xll.qlBachelierBlackFormula(IF(O132&lt;$C$4,"Put","Call"),O132-$C$14,$C$4,$C$12*SQRT($C$7)))/$C$14^2,"")</f>
        <v>97.253129811500358</v>
      </c>
      <c r="V132" s="61">
        <f>IFERROR(_xll.qlBachelierBlackFormulaImpliedVol(IF(O132&lt;$C$4,"Put","Call"),O132,$C$4,$C$7,P132),"")</f>
        <v>2.3392068891118691E-3</v>
      </c>
      <c r="W132" s="61">
        <f>IFERROR(_xll.qlBachelierBlackFormulaImpliedVol(IF(O132&lt;$C$4,"Put","Call"),O132,$C$4,$C$7,Q132),"")</f>
        <v>2.7572856485340472E-3</v>
      </c>
      <c r="X132" s="61">
        <f>IFERROR(_xll.qlBachelierBlackFormulaImpliedVol(IF(O132&lt;$C$4,"Put","Call"),O132,$C$4,$C$7,R132),"")</f>
        <v>3.1332853432889623E-3</v>
      </c>
      <c r="Y132" s="42"/>
    </row>
    <row r="133" spans="15:25">
      <c r="O133" s="37">
        <f t="shared" si="1"/>
        <v>2.7999999999999939E-3</v>
      </c>
      <c r="P133" s="38">
        <f>IFERROR(_xll.qlBlackFormula(IF(O133&lt;$C$4,"Put","Call"),O133,$C$4,$C$9*SQRT($C$7)),"")</f>
        <v>2.2797271694760285E-4</v>
      </c>
      <c r="Q133" s="39">
        <f>IFERROR(_xll.qlBlackFormula(IF(O133&lt;$C$4,"Put","Call"),O133,$C$4,$C$10*SQRT($C$7),,$C$11),"")</f>
        <v>3.3765013233241509E-4</v>
      </c>
      <c r="R133" s="40">
        <f>IFERROR(_xll.qlBachelierBlackFormula(IF(O133&lt;$C$4,"Put","Call"),O133,$C$4,$C$12*SQRT($C$7)),"")</f>
        <v>4.4606287377056914E-4</v>
      </c>
      <c r="S133" s="41">
        <f>IFERROR((_xll.qlBlackFormula(IF(O133&lt;$C$4,"Put","Call"),O133+$C$14,$C$4,$C$9*SQRT($C$7))-
2*_xll.qlBlackFormula(IF(O133&lt;$C$4,"Put","Call"),O133,$C$4,$C$9*SQRT($C$7))+
_xll.qlBlackFormula(IF(O133&lt;$C$4,"Put","Call"),O133-$C$14,$C$4,$C$9*SQRT($C$7)))/$C$14^2,"")</f>
        <v>187.72710068306469</v>
      </c>
      <c r="T133" s="42">
        <f>IFERROR((_xll.qlBlackFormula(IF(O133&lt;$C$4,"Put","Call"),O133+$C$14,$C$4,$C$10*SQRT($C$7),,$C$11)-
2*_xll.qlBlackFormula(IF(O133&lt;$C$4,"Put","Call"),O133,$C$4,$C$10*SQRT($C$7),,$C$11)+
_xll.qlBlackFormula(IF(O133&lt;$C$4,"Put","Call"),O133-$C$14,$C$4,$C$10*SQRT($C$7),,$C$11))/$C$14^2,"")</f>
        <v>133.1012943091292</v>
      </c>
      <c r="U133" s="43">
        <f>IFERROR((_xll.qlBachelierBlackFormula(IF(O133&lt;$C$4,"Put","Call"),O133+$C$14,$C$4,$C$12*SQRT($C$7))-
2*_xll.qlBachelierBlackFormula(IF(O133&lt;$C$4,"Put","Call"),O133,$C$4,$C$12*SQRT($C$7))+
_xll.qlBachelierBlackFormula(IF(O133&lt;$C$4,"Put","Call"),O133-$C$14,$C$4,$C$12*SQRT($C$7)))/$C$14^2,"")</f>
        <v>99.507745142737861</v>
      </c>
      <c r="V133" s="61">
        <f>IFERROR(_xll.qlBachelierBlackFormulaImpliedVol(IF(O133&lt;$C$4,"Put","Call"),O133,$C$4,$C$7,P133),"")</f>
        <v>2.3778296804087768E-3</v>
      </c>
      <c r="W133" s="61">
        <f>IFERROR(_xll.qlBachelierBlackFormulaImpliedVol(IF(O133&lt;$C$4,"Put","Call"),O133,$C$4,$C$7,Q133),"")</f>
        <v>2.7743719726754557E-3</v>
      </c>
      <c r="X133" s="61">
        <f>IFERROR(_xll.qlBachelierBlackFormulaImpliedVol(IF(O133&lt;$C$4,"Put","Call"),O133,$C$4,$C$7,R133),"")</f>
        <v>3.1332853432888335E-3</v>
      </c>
      <c r="Y133" s="42"/>
    </row>
    <row r="134" spans="15:25">
      <c r="O134" s="37">
        <f t="shared" si="1"/>
        <v>2.8999999999999937E-3</v>
      </c>
      <c r="P134" s="38">
        <f>IFERROR(_xll.qlBlackFormula(IF(O134&lt;$C$4,"Put","Call"),O134,$C$4,$C$9*SQRT($C$7)),"")</f>
        <v>2.566297791109192E-4</v>
      </c>
      <c r="Q134" s="39">
        <f>IFERROR(_xll.qlBlackFormula(IF(O134&lt;$C$4,"Put","Call"),O134,$C$4,$C$10*SQRT($C$7),,$C$11),"")</f>
        <v>3.6467454018095417E-4</v>
      </c>
      <c r="R134" s="40">
        <f>IFERROR(_xll.qlBachelierBlackFormula(IF(O134&lt;$C$4,"Put","Call"),O134,$C$4,$C$12*SQRT($C$7)),"")</f>
        <v>4.706937494843395E-4</v>
      </c>
      <c r="S134" s="41">
        <f>IFERROR((_xll.qlBlackFormula(IF(O134&lt;$C$4,"Put","Call"),O134+$C$14,$C$4,$C$9*SQRT($C$7))-
2*_xll.qlBlackFormula(IF(O134&lt;$C$4,"Put","Call"),O134,$C$4,$C$9*SQRT($C$7))+
_xll.qlBlackFormula(IF(O134&lt;$C$4,"Put","Call"),O134-$C$14,$C$4,$C$9*SQRT($C$7)))/$C$14^2,"")</f>
        <v>186.96767593341656</v>
      </c>
      <c r="T134" s="42">
        <f>IFERROR((_xll.qlBlackFormula(IF(O134&lt;$C$4,"Put","Call"),O134+$C$14,$C$4,$C$10*SQRT($C$7),,$C$11)-
2*_xll.qlBlackFormula(IF(O134&lt;$C$4,"Put","Call"),O134,$C$4,$C$10*SQRT($C$7),,$C$11)+
_xll.qlBlackFormula(IF(O134&lt;$C$4,"Put","Call"),O134-$C$14,$C$4,$C$10*SQRT($C$7),,$C$11))/$C$14^2,"")</f>
        <v>134.7145101634334</v>
      </c>
      <c r="U134" s="43">
        <f>IFERROR((_xll.qlBachelierBlackFormula(IF(O134&lt;$C$4,"Put","Call"),O134+$C$14,$C$4,$C$12*SQRT($C$7))-
2*_xll.qlBachelierBlackFormula(IF(O134&lt;$C$4,"Put","Call"),O134,$C$4,$C$12*SQRT($C$7))+
_xll.qlBachelierBlackFormula(IF(O134&lt;$C$4,"Put","Call"),O134-$C$14,$C$4,$C$12*SQRT($C$7)))/$C$14^2,"")</f>
        <v>101.71097362780823</v>
      </c>
      <c r="V134" s="61">
        <f>IFERROR(_xll.qlBachelierBlackFormulaImpliedVol(IF(O134&lt;$C$4,"Put","Call"),O134,$C$4,$C$7,P134),"")</f>
        <v>2.4159504446891866E-3</v>
      </c>
      <c r="W134" s="61">
        <f>IFERROR(_xll.qlBachelierBlackFormulaImpliedVol(IF(O134&lt;$C$4,"Put","Call"),O134,$C$4,$C$7,Q134),"")</f>
        <v>2.7913824004083079E-3</v>
      </c>
      <c r="X134" s="61">
        <f>IFERROR(_xll.qlBachelierBlackFormulaImpliedVol(IF(O134&lt;$C$4,"Put","Call"),O134,$C$4,$C$7,R134),"")</f>
        <v>3.1332853432887125E-3</v>
      </c>
      <c r="Y134" s="42"/>
    </row>
    <row r="135" spans="15:25">
      <c r="O135" s="37">
        <f t="shared" ref="O135:O198" si="2">O134+0.01%</f>
        <v>2.9999999999999936E-3</v>
      </c>
      <c r="P135" s="38">
        <f>IFERROR(_xll.qlBlackFormula(IF(O135&lt;$C$4,"Put","Call"),O135,$C$4,$C$9*SQRT($C$7)),"")</f>
        <v>2.8715609586056005E-4</v>
      </c>
      <c r="Q135" s="39">
        <f>IFERROR(_xll.qlBlackFormula(IF(O135&lt;$C$4,"Put","Call"),O135,$C$4,$C$10*SQRT($C$7),,$C$11),"")</f>
        <v>3.9304590957859264E-4</v>
      </c>
      <c r="R135" s="40">
        <f>IFERROR(_xll.qlBachelierBlackFormula(IF(O135&lt;$C$4,"Put","Call"),O135,$C$4,$C$12*SQRT($C$7)),"")</f>
        <v>4.9634168738898305E-4</v>
      </c>
      <c r="S135" s="41">
        <f>IFERROR((_xll.qlBlackFormula(IF(O135&lt;$C$4,"Put","Call"),O135+$C$14,$C$4,$C$9*SQRT($C$7))-
2*_xll.qlBlackFormula(IF(O135&lt;$C$4,"Put","Call"),O135,$C$4,$C$9*SQRT($C$7))+
_xll.qlBlackFormula(IF(O135&lt;$C$4,"Put","Call"),O135-$C$14,$C$4,$C$9*SQRT($C$7)))/$C$14^2,"")</f>
        <v>185.70139675121166</v>
      </c>
      <c r="T135" s="42">
        <f>IFERROR((_xll.qlBlackFormula(IF(O135&lt;$C$4,"Put","Call"),O135+$C$14,$C$4,$C$10*SQRT($C$7),,$C$11)-
2*_xll.qlBlackFormula(IF(O135&lt;$C$4,"Put","Call"),O135,$C$4,$C$10*SQRT($C$7),,$C$11)+
_xll.qlBlackFormula(IF(O135&lt;$C$4,"Put","Call"),O135-$C$14,$C$4,$C$10*SQRT($C$7),,$C$11))/$C$14^2,"")</f>
        <v>136.10749094623841</v>
      </c>
      <c r="U135" s="43">
        <f>IFERROR((_xll.qlBachelierBlackFormula(IF(O135&lt;$C$4,"Put","Call"),O135+$C$14,$C$4,$C$12*SQRT($C$7))-
2*_xll.qlBachelierBlackFormula(IF(O135&lt;$C$4,"Put","Call"),O135,$C$4,$C$12*SQRT($C$7))+
_xll.qlBachelierBlackFormula(IF(O135&lt;$C$4,"Put","Call"),O135-$C$14,$C$4,$C$12*SQRT($C$7)))/$C$14^2,"")</f>
        <v>103.85714293778548</v>
      </c>
      <c r="V135" s="61">
        <f>IFERROR(_xll.qlBachelierBlackFormulaImpliedVol(IF(O135&lt;$C$4,"Put","Call"),O135,$C$4,$C$7,P135),"")</f>
        <v>2.4535954059123981E-3</v>
      </c>
      <c r="W135" s="61">
        <f>IFERROR(_xll.qlBachelierBlackFormulaImpliedVol(IF(O135&lt;$C$4,"Put","Call"),O135,$C$4,$C$7,Q135),"")</f>
        <v>2.8083183798101722E-3</v>
      </c>
      <c r="X135" s="61">
        <f>IFERROR(_xll.qlBachelierBlackFormulaImpliedVol(IF(O135&lt;$C$4,"Put","Call"),O135,$C$4,$C$7,R135),"")</f>
        <v>3.1332853432886319E-3</v>
      </c>
      <c r="Y135" s="42"/>
    </row>
    <row r="136" spans="15:25">
      <c r="O136" s="37">
        <f t="shared" si="2"/>
        <v>3.0999999999999934E-3</v>
      </c>
      <c r="P136" s="38">
        <f>IFERROR(_xll.qlBlackFormula(IF(O136&lt;$C$4,"Put","Call"),O136,$C$4,$C$9*SQRT($C$7)),"")</f>
        <v>3.1953905484882739E-4</v>
      </c>
      <c r="Q136" s="39">
        <f>IFERROR(_xll.qlBlackFormula(IF(O136&lt;$C$4,"Put","Call"),O136,$C$4,$C$10*SQRT($C$7),,$C$11),"")</f>
        <v>4.2277817161885537E-4</v>
      </c>
      <c r="R136" s="40">
        <f>IFERROR(_xll.qlBachelierBlackFormula(IF(O136&lt;$C$4,"Put","Call"),O136,$C$4,$C$12*SQRT($C$7)),"")</f>
        <v>5.2302814449177904E-4</v>
      </c>
      <c r="S136" s="41">
        <f>IFERROR((_xll.qlBlackFormula(IF(O136&lt;$C$4,"Put","Call"),O136+$C$14,$C$4,$C$9*SQRT($C$7))-
2*_xll.qlBlackFormula(IF(O136&lt;$C$4,"Put","Call"),O136,$C$4,$C$9*SQRT($C$7))+
_xll.qlBlackFormula(IF(O136&lt;$C$4,"Put","Call"),O136-$C$14,$C$4,$C$9*SQRT($C$7)))/$C$14^2,"")</f>
        <v>183.988786229064</v>
      </c>
      <c r="T136" s="42">
        <f>IFERROR((_xll.qlBlackFormula(IF(O136&lt;$C$4,"Put","Call"),O136+$C$14,$C$4,$C$10*SQRT($C$7),,$C$11)-
2*_xll.qlBlackFormula(IF(O136&lt;$C$4,"Put","Call"),O136,$C$4,$C$10*SQRT($C$7),,$C$11)+
_xll.qlBlackFormula(IF(O136&lt;$C$4,"Put","Call"),O136-$C$14,$C$4,$C$10*SQRT($C$7),,$C$11))/$C$14^2,"")</f>
        <v>137.28176841837359</v>
      </c>
      <c r="U136" s="43">
        <f>IFERROR((_xll.qlBachelierBlackFormula(IF(O136&lt;$C$4,"Put","Call"),O136+$C$14,$C$4,$C$12*SQRT($C$7))-
2*_xll.qlBachelierBlackFormula(IF(O136&lt;$C$4,"Put","Call"),O136,$C$4,$C$12*SQRT($C$7))+
_xll.qlBachelierBlackFormula(IF(O136&lt;$C$4,"Put","Call"),O136-$C$14,$C$4,$C$12*SQRT($C$7)))/$C$14^2,"")</f>
        <v>105.9406324601872</v>
      </c>
      <c r="V136" s="61">
        <f>IFERROR(_xll.qlBachelierBlackFormulaImpliedVol(IF(O136&lt;$C$4,"Put","Call"),O136,$C$4,$C$7,P136),"")</f>
        <v>2.4907885700714686E-3</v>
      </c>
      <c r="W136" s="61">
        <f>IFERROR(_xll.qlBachelierBlackFormulaImpliedVol(IF(O136&lt;$C$4,"Put","Call"),O136,$C$4,$C$7,Q136),"")</f>
        <v>2.8251813130480891E-3</v>
      </c>
      <c r="X136" s="61">
        <f>IFERROR(_xll.qlBachelierBlackFormulaImpliedVol(IF(O136&lt;$C$4,"Put","Call"),O136,$C$4,$C$7,R136),"")</f>
        <v>3.1332853432886015E-3</v>
      </c>
      <c r="Y136" s="42"/>
    </row>
    <row r="137" spans="15:25">
      <c r="O137" s="37">
        <f t="shared" si="2"/>
        <v>3.1999999999999932E-3</v>
      </c>
      <c r="P137" s="38">
        <f>IFERROR(_xll.qlBlackFormula(IF(O137&lt;$C$4,"Put","Call"),O137,$C$4,$C$9*SQRT($C$7)),"")</f>
        <v>3.5376157692429693E-4</v>
      </c>
      <c r="Q137" s="39">
        <f>IFERROR(_xll.qlBlackFormula(IF(O137&lt;$C$4,"Put","Call"),O137,$C$4,$C$10*SQRT($C$7),,$C$11),"")</f>
        <v>4.5388307117290479E-4</v>
      </c>
      <c r="R137" s="40">
        <f>IFERROR(_xll.qlBachelierBlackFormula(IF(O137&lt;$C$4,"Put","Call"),O137,$C$4,$C$12*SQRT($C$7)),"")</f>
        <v>5.5077395106855644E-4</v>
      </c>
      <c r="S137" s="41">
        <f>IFERROR((_xll.qlBlackFormula(IF(O137&lt;$C$4,"Put","Call"),O137+$C$14,$C$4,$C$9*SQRT($C$7))-
2*_xll.qlBlackFormula(IF(O137&lt;$C$4,"Put","Call"),O137,$C$4,$C$9*SQRT($C$7))+
_xll.qlBlackFormula(IF(O137&lt;$C$4,"Put","Call"),O137-$C$14,$C$4,$C$9*SQRT($C$7)))/$C$14^2,"")</f>
        <v>181.88619143807983</v>
      </c>
      <c r="T137" s="42">
        <f>IFERROR((_xll.qlBlackFormula(IF(O137&lt;$C$4,"Put","Call"),O137+$C$14,$C$4,$C$10*SQRT($C$7),,$C$11)-
2*_xll.qlBlackFormula(IF(O137&lt;$C$4,"Put","Call"),O137,$C$4,$C$10*SQRT($C$7),,$C$11)+
_xll.qlBlackFormula(IF(O137&lt;$C$4,"Put","Call"),O137-$C$14,$C$4,$C$10*SQRT($C$7),,$C$11))/$C$14^2,"")</f>
        <v>138.23985576047471</v>
      </c>
      <c r="U137" s="43">
        <f>IFERROR((_xll.qlBachelierBlackFormula(IF(O137&lt;$C$4,"Put","Call"),O137+$C$14,$C$4,$C$12*SQRT($C$7))-
2*_xll.qlBachelierBlackFormula(IF(O137&lt;$C$4,"Put","Call"),O137,$C$4,$C$12*SQRT($C$7))+
_xll.qlBachelierBlackFormula(IF(O137&lt;$C$4,"Put","Call"),O137-$C$14,$C$4,$C$12*SQRT($C$7)))/$C$14^2,"")</f>
        <v>107.95590040402897</v>
      </c>
      <c r="V137" s="61">
        <f>IFERROR(_xll.qlBachelierBlackFormulaImpliedVol(IF(O137&lt;$C$4,"Put","Call"),O137,$C$4,$C$7,P137),"")</f>
        <v>2.5275519789542083E-3</v>
      </c>
      <c r="W137" s="61">
        <f>IFERROR(_xll.qlBachelierBlackFormulaImpliedVol(IF(O137&lt;$C$4,"Put","Call"),O137,$C$4,$C$7,Q137),"")</f>
        <v>2.8419725583915781E-3</v>
      </c>
      <c r="X137" s="61">
        <f>IFERROR(_xll.qlBachelierBlackFormulaImpliedVol(IF(O137&lt;$C$4,"Put","Call"),O137,$C$4,$C$7,R137),"")</f>
        <v>3.1332853432886171E-3</v>
      </c>
      <c r="Y137" s="42"/>
    </row>
    <row r="138" spans="15:25">
      <c r="O138" s="37">
        <f t="shared" si="2"/>
        <v>3.299999999999993E-3</v>
      </c>
      <c r="P138" s="38">
        <f>IFERROR(_xll.qlBlackFormula(IF(O138&lt;$C$4,"Put","Call"),O138,$C$4,$C$9*SQRT($C$7)),"")</f>
        <v>3.898026795441413E-4</v>
      </c>
      <c r="Q138" s="39">
        <f>IFERROR(_xll.qlBlackFormula(IF(O138&lt;$C$4,"Put","Call"),O138,$C$4,$C$10*SQRT($C$7),,$C$11),"")</f>
        <v>4.8637019197308963E-4</v>
      </c>
      <c r="R138" s="40">
        <f>IFERROR(_xll.qlBachelierBlackFormula(IF(O138&lt;$C$4,"Put","Call"),O138,$C$4,$C$12*SQRT($C$7)),"")</f>
        <v>5.7959925526134806E-4</v>
      </c>
      <c r="S138" s="41">
        <f>IFERROR((_xll.qlBlackFormula(IF(O138&lt;$C$4,"Put","Call"),O138+$C$14,$C$4,$C$9*SQRT($C$7))-
2*_xll.qlBlackFormula(IF(O138&lt;$C$4,"Put","Call"),O138,$C$4,$C$9*SQRT($C$7))+
_xll.qlBlackFormula(IF(O138&lt;$C$4,"Put","Call"),O138-$C$14,$C$4,$C$9*SQRT($C$7)))/$C$14^2,"")</f>
        <v>179.44570449793946</v>
      </c>
      <c r="T138" s="42">
        <f>IFERROR((_xll.qlBlackFormula(IF(O138&lt;$C$4,"Put","Call"),O138+$C$14,$C$4,$C$10*SQRT($C$7),,$C$11)-
2*_xll.qlBlackFormula(IF(O138&lt;$C$4,"Put","Call"),O138,$C$4,$C$10*SQRT($C$7),,$C$11)+
_xll.qlBlackFormula(IF(O138&lt;$C$4,"Put","Call"),O138-$C$14,$C$4,$C$10*SQRT($C$7),,$C$11))/$C$14^2,"")</f>
        <v>138.98517709984293</v>
      </c>
      <c r="U138" s="43">
        <f>IFERROR((_xll.qlBachelierBlackFormula(IF(O138&lt;$C$4,"Put","Call"),O138+$C$14,$C$4,$C$12*SQRT($C$7))-
2*_xll.qlBachelierBlackFormula(IF(O138&lt;$C$4,"Put","Call"),O138,$C$4,$C$12*SQRT($C$7))+
_xll.qlBachelierBlackFormula(IF(O138&lt;$C$4,"Put","Call"),O138-$C$14,$C$4,$C$12*SQRT($C$7)))/$C$14^2,"")</f>
        <v>109.89750559228796</v>
      </c>
      <c r="V138" s="61">
        <f>IFERROR(_xll.qlBachelierBlackFormulaImpliedVol(IF(O138&lt;$C$4,"Put","Call"),O138,$C$4,$C$7,P138),"")</f>
        <v>2.5639059278131445E-3</v>
      </c>
      <c r="W138" s="61">
        <f>IFERROR(_xll.qlBachelierBlackFormulaImpliedVol(IF(O138&lt;$C$4,"Put","Call"),O138,$C$4,$C$7,Q138),"")</f>
        <v>2.8586934321136168E-3</v>
      </c>
      <c r="X138" s="61">
        <f>IFERROR(_xll.qlBachelierBlackFormulaImpliedVol(IF(O138&lt;$C$4,"Put","Call"),O138,$C$4,$C$7,R138),"")</f>
        <v>3.133285343288667E-3</v>
      </c>
      <c r="Y138" s="42"/>
    </row>
    <row r="139" spans="15:25">
      <c r="O139" s="37">
        <f t="shared" si="2"/>
        <v>3.3999999999999929E-3</v>
      </c>
      <c r="P139" s="38">
        <f>IFERROR(_xll.qlBlackFormula(IF(O139&lt;$C$4,"Put","Call"),O139,$C$4,$C$9*SQRT($C$7)),"")</f>
        <v>4.2763799771538863E-4</v>
      </c>
      <c r="Q139" s="39">
        <f>IFERROR(_xll.qlBlackFormula(IF(O139&lt;$C$4,"Put","Call"),O139,$C$4,$C$10*SQRT($C$7),,$C$11),"")</f>
        <v>5.2024699077206577E-4</v>
      </c>
      <c r="R139" s="40">
        <f>IFERROR(_xll.qlBachelierBlackFormula(IF(O139&lt;$C$4,"Put","Call"),O139,$C$4,$C$12*SQRT($C$7)),"")</f>
        <v>6.0952346869698102E-4</v>
      </c>
      <c r="S139" s="41">
        <f>IFERROR((_xll.qlBlackFormula(IF(O139&lt;$C$4,"Put","Call"),O139+$C$14,$C$4,$C$9*SQRT($C$7))-
2*_xll.qlBlackFormula(IF(O139&lt;$C$4,"Put","Call"),O139,$C$4,$C$9*SQRT($C$7))+
_xll.qlBlackFormula(IF(O139&lt;$C$4,"Put","Call"),O139-$C$14,$C$4,$C$9*SQRT($C$7)))/$C$14^2,"")</f>
        <v>176.71518740512704</v>
      </c>
      <c r="T139" s="42">
        <f>IFERROR((_xll.qlBlackFormula(IF(O139&lt;$C$4,"Put","Call"),O139+$C$14,$C$4,$C$10*SQRT($C$7),,$C$11)-
2*_xll.qlBlackFormula(IF(O139&lt;$C$4,"Put","Call"),O139,$C$4,$C$10*SQRT($C$7),,$C$11)+
_xll.qlBlackFormula(IF(O139&lt;$C$4,"Put","Call"),O139-$C$14,$C$4,$C$10*SQRT($C$7),,$C$11))/$C$14^2,"")</f>
        <v>139.52198294267527</v>
      </c>
      <c r="U139" s="43">
        <f>IFERROR((_xll.qlBachelierBlackFormula(IF(O139&lt;$C$4,"Put","Call"),O139+$C$14,$C$4,$C$12*SQRT($C$7))-
2*_xll.qlBachelierBlackFormula(IF(O139&lt;$C$4,"Put","Call"),O139,$C$4,$C$12*SQRT($C$7))+
_xll.qlBachelierBlackFormula(IF(O139&lt;$C$4,"Put","Call"),O139-$C$14,$C$4,$C$12*SQRT($C$7)))/$C$14^2,"")</f>
        <v>111.76013521747852</v>
      </c>
      <c r="V139" s="61">
        <f>IFERROR(_xll.qlBachelierBlackFormulaImpliedVol(IF(O139&lt;$C$4,"Put","Call"),O139,$C$4,$C$7,P139),"")</f>
        <v>2.5998691530177693E-3</v>
      </c>
      <c r="W139" s="61">
        <f>IFERROR(_xll.qlBachelierBlackFormulaImpliedVol(IF(O139&lt;$C$4,"Put","Call"),O139,$C$4,$C$7,Q139),"")</f>
        <v>2.8753452102872599E-3</v>
      </c>
      <c r="X139" s="61">
        <f>IFERROR(_xll.qlBachelierBlackFormulaImpliedVol(IF(O139&lt;$C$4,"Put","Call"),O139,$C$4,$C$7,R139),"")</f>
        <v>3.133285343288729E-3</v>
      </c>
      <c r="Y139" s="42"/>
    </row>
    <row r="140" spans="15:25">
      <c r="O140" s="37">
        <f t="shared" si="2"/>
        <v>3.4999999999999927E-3</v>
      </c>
      <c r="P140" s="38">
        <f>IFERROR(_xll.qlBlackFormula(IF(O140&lt;$C$4,"Put","Call"),O140,$C$4,$C$9*SQRT($C$7)),"")</f>
        <v>4.6724026269919514E-4</v>
      </c>
      <c r="Q140" s="39">
        <f>IFERROR(_xll.qlBlackFormula(IF(O140&lt;$C$4,"Put","Call"),O140,$C$4,$C$10*SQRT($C$7),,$C$11),"")</f>
        <v>5.5551883977123786E-4</v>
      </c>
      <c r="R140" s="40">
        <f>IFERROR(_xll.qlBachelierBlackFormula(IF(O140&lt;$C$4,"Put","Call"),O140,$C$4,$C$12*SQRT($C$7)),"")</f>
        <v>6.4056521336948013E-4</v>
      </c>
      <c r="S140" s="41">
        <f>IFERROR((_xll.qlBlackFormula(IF(O140&lt;$C$4,"Put","Call"),O140+$C$14,$C$4,$C$9*SQRT($C$7))-
2*_xll.qlBlackFormula(IF(O140&lt;$C$4,"Put","Call"),O140,$C$4,$C$9*SQRT($C$7))+
_xll.qlBlackFormula(IF(O140&lt;$C$4,"Put","Call"),O140-$C$14,$C$4,$C$9*SQRT($C$7)))/$C$14^2,"")</f>
        <v>173.73837503213696</v>
      </c>
      <c r="T140" s="42">
        <f>IFERROR((_xll.qlBlackFormula(IF(O140&lt;$C$4,"Put","Call"),O140+$C$14,$C$4,$C$10*SQRT($C$7),,$C$11)-
2*_xll.qlBlackFormula(IF(O140&lt;$C$4,"Put","Call"),O140,$C$4,$C$10*SQRT($C$7),,$C$11)+
_xll.qlBlackFormula(IF(O140&lt;$C$4,"Put","Call"),O140-$C$14,$C$4,$C$10*SQRT($C$7),,$C$11))/$C$14^2,"")</f>
        <v>139.8552640884121</v>
      </c>
      <c r="U140" s="43">
        <f>IFERROR((_xll.qlBachelierBlackFormula(IF(O140&lt;$C$4,"Put","Call"),O140+$C$14,$C$4,$C$12*SQRT($C$7))-
2*_xll.qlBachelierBlackFormula(IF(O140&lt;$C$4,"Put","Call"),O140,$C$4,$C$12*SQRT($C$7))+
_xll.qlBachelierBlackFormula(IF(O140&lt;$C$4,"Put","Call"),O140-$C$14,$C$4,$C$12*SQRT($C$7)))/$C$14^2,"")</f>
        <v>113.538625658334</v>
      </c>
      <c r="V140" s="61">
        <f>IFERROR(_xll.qlBachelierBlackFormulaImpliedVol(IF(O140&lt;$C$4,"Put","Call"),O140,$C$4,$C$7,P140),"")</f>
        <v>2.6354589945917274E-3</v>
      </c>
      <c r="W140" s="61">
        <f>IFERROR(_xll.qlBachelierBlackFormulaImpliedVol(IF(O140&lt;$C$4,"Put","Call"),O140,$C$4,$C$7,Q140),"")</f>
        <v>2.8919291304846557E-3</v>
      </c>
      <c r="X140" s="61">
        <f>IFERROR(_xll.qlBachelierBlackFormulaImpliedVol(IF(O140&lt;$C$4,"Put","Call"),O140,$C$4,$C$7,R140),"")</f>
        <v>3.1332853432887824E-3</v>
      </c>
      <c r="Y140" s="42"/>
    </row>
    <row r="141" spans="15:25">
      <c r="O141" s="37">
        <f t="shared" si="2"/>
        <v>3.5999999999999925E-3</v>
      </c>
      <c r="P141" s="38">
        <f>IFERROR(_xll.qlBlackFormula(IF(O141&lt;$C$4,"Put","Call"),O141,$C$4,$C$9*SQRT($C$7)),"")</f>
        <v>5.0857973950233035E-4</v>
      </c>
      <c r="Q141" s="39">
        <f>IFERROR(_xll.qlBlackFormula(IF(O141&lt;$C$4,"Put","Call"),O141,$C$4,$C$10*SQRT($C$7),,$C$11),"")</f>
        <v>5.921890765104511E-4</v>
      </c>
      <c r="R141" s="40">
        <f>IFERROR(_xll.qlBachelierBlackFormula(IF(O141&lt;$C$4,"Put","Call"),O141,$C$4,$C$12*SQRT($C$7)),"")</f>
        <v>6.7274227002715563E-4</v>
      </c>
      <c r="S141" s="41">
        <f>IFERROR((_xll.qlBlackFormula(IF(O141&lt;$C$4,"Put","Call"),O141+$C$14,$C$4,$C$9*SQRT($C$7))-
2*_xll.qlBlackFormula(IF(O141&lt;$C$4,"Put","Call"),O141,$C$4,$C$9*SQRT($C$7))+
_xll.qlBlackFormula(IF(O141&lt;$C$4,"Put","Call"),O141-$C$14,$C$4,$C$9*SQRT($C$7)))/$C$14^2,"")</f>
        <v>170.55503754095923</v>
      </c>
      <c r="T141" s="42">
        <f>IFERROR((_xll.qlBlackFormula(IF(O141&lt;$C$4,"Put","Call"),O141+$C$14,$C$4,$C$10*SQRT($C$7),,$C$11)-
2*_xll.qlBlackFormula(IF(O141&lt;$C$4,"Put","Call"),O141,$C$4,$C$10*SQRT($C$7),,$C$11)+
_xll.qlBlackFormula(IF(O141&lt;$C$4,"Put","Call"),O141-$C$14,$C$4,$C$10*SQRT($C$7),,$C$11))/$C$14^2,"")</f>
        <v>139.99068354184075</v>
      </c>
      <c r="U141" s="43">
        <f>IFERROR((_xll.qlBachelierBlackFormula(IF(O141&lt;$C$4,"Put","Call"),O141+$C$14,$C$4,$C$12*SQRT($C$7))-
2*_xll.qlBachelierBlackFormula(IF(O141&lt;$C$4,"Put","Call"),O141,$C$4,$C$12*SQRT($C$7))+
_xll.qlBachelierBlackFormula(IF(O141&lt;$C$4,"Put","Call"),O141-$C$14,$C$4,$C$12*SQRT($C$7)))/$C$14^2,"")</f>
        <v>115.2279879585577</v>
      </c>
      <c r="V141" s="61">
        <f>IFERROR(_xll.qlBachelierBlackFormulaImpliedVol(IF(O141&lt;$C$4,"Put","Call"),O141,$C$4,$C$7,P141),"")</f>
        <v>2.670691537619506E-3</v>
      </c>
      <c r="W141" s="61">
        <f>IFERROR(_xll.qlBachelierBlackFormulaImpliedVol(IF(O141&lt;$C$4,"Put","Call"),O141,$C$4,$C$7,Q141),"")</f>
        <v>2.9084463933849608E-3</v>
      </c>
      <c r="X141" s="61">
        <f>IFERROR(_xll.qlBachelierBlackFormulaImpliedVol(IF(O141&lt;$C$4,"Put","Call"),O141,$C$4,$C$7,R141),"")</f>
        <v>3.1332853432888158E-3</v>
      </c>
      <c r="Y141" s="42"/>
    </row>
    <row r="142" spans="15:25">
      <c r="O142" s="37">
        <f t="shared" si="2"/>
        <v>3.6999999999999924E-3</v>
      </c>
      <c r="P142" s="38">
        <f>IFERROR(_xll.qlBlackFormula(IF(O142&lt;$C$4,"Put","Call"),O142,$C$4,$C$9*SQRT($C$7)),"")</f>
        <v>5.5162462473698124E-4</v>
      </c>
      <c r="Q142" s="39">
        <f>IFERROR(_xll.qlBlackFormula(IF(O142&lt;$C$4,"Put","Call"),O142,$C$4,$C$10*SQRT($C$7),,$C$11),"")</f>
        <v>6.3025906041731502E-4</v>
      </c>
      <c r="R142" s="40">
        <f>IFERROR(_xll.qlBachelierBlackFormula(IF(O142&lt;$C$4,"Put","Call"),O142,$C$4,$C$12*SQRT($C$7)),"")</f>
        <v>7.0607152830173445E-4</v>
      </c>
      <c r="S142" s="41">
        <f>IFERROR((_xll.qlBlackFormula(IF(O142&lt;$C$4,"Put","Call"),O142+$C$14,$C$4,$C$9*SQRT($C$7))-
2*_xll.qlBlackFormula(IF(O142&lt;$C$4,"Put","Call"),O142,$C$4,$C$9*SQRT($C$7))+
_xll.qlBlackFormula(IF(O142&lt;$C$4,"Put","Call"),O142-$C$14,$C$4,$C$9*SQRT($C$7)))/$C$14^2,"")</f>
        <v>167.20117456368865</v>
      </c>
      <c r="T142" s="42">
        <f>IFERROR((_xll.qlBlackFormula(IF(O142&lt;$C$4,"Put","Call"),O142+$C$14,$C$4,$C$10*SQRT($C$7),,$C$11)-
2*_xll.qlBlackFormula(IF(O142&lt;$C$4,"Put","Call"),O142,$C$4,$C$10*SQRT($C$7),,$C$11)+
_xll.qlBlackFormula(IF(O142&lt;$C$4,"Put","Call"),O142-$C$14,$C$4,$C$10*SQRT($C$7),,$C$11))/$C$14^2,"")</f>
        <v>139.93449454741125</v>
      </c>
      <c r="U142" s="43">
        <f>IFERROR((_xll.qlBachelierBlackFormula(IF(O142&lt;$C$4,"Put","Call"),O142+$C$14,$C$4,$C$12*SQRT($C$7))-
2*_xll.qlBachelierBlackFormula(IF(O142&lt;$C$4,"Put","Call"),O142,$C$4,$C$12*SQRT($C$7))+
_xll.qlBachelierBlackFormula(IF(O142&lt;$C$4,"Put","Call"),O142-$C$14,$C$4,$C$12*SQRT($C$7)))/$C$14^2,"")</f>
        <v>116.82343102874943</v>
      </c>
      <c r="V142" s="61">
        <f>IFERROR(_xll.qlBachelierBlackFormulaImpliedVol(IF(O142&lt;$C$4,"Put","Call"),O142,$C$4,$C$7,P142),"")</f>
        <v>2.7055817357818355E-3</v>
      </c>
      <c r="W142" s="61">
        <f>IFERROR(_xll.qlBachelierBlackFormulaImpliedVol(IF(O142&lt;$C$4,"Put","Call"),O142,$C$4,$C$7,Q142),"")</f>
        <v>2.9248981642970005E-3</v>
      </c>
      <c r="X142" s="61">
        <f>IFERROR(_xll.qlBachelierBlackFormulaImpliedVol(IF(O142&lt;$C$4,"Put","Call"),O142,$C$4,$C$7,R142),"")</f>
        <v>3.1332853432888223E-3</v>
      </c>
      <c r="Y142" s="42"/>
    </row>
    <row r="143" spans="15:25">
      <c r="O143" s="37">
        <f t="shared" si="2"/>
        <v>3.7999999999999922E-3</v>
      </c>
      <c r="P143" s="38">
        <f>IFERROR(_xll.qlBlackFormula(IF(O143&lt;$C$4,"Put","Call"),O143,$C$4,$C$9*SQRT($C$7)),"")</f>
        <v>5.9634140680503629E-4</v>
      </c>
      <c r="Q143" s="39">
        <f>IFERROR(_xll.qlBlackFormula(IF(O143&lt;$C$4,"Put","Call"),O143,$C$4,$C$10*SQRT($C$7),,$C$11),"")</f>
        <v>6.6972823522826576E-4</v>
      </c>
      <c r="R143" s="40">
        <f>IFERROR(_xll.qlBachelierBlackFormula(IF(O143&lt;$C$4,"Put","Call"),O143,$C$4,$C$12*SQRT($C$7)),"")</f>
        <v>7.405689388118548E-4</v>
      </c>
      <c r="S143" s="41">
        <f>IFERROR((_xll.qlBlackFormula(IF(O143&lt;$C$4,"Put","Call"),O143+$C$14,$C$4,$C$9*SQRT($C$7))-
2*_xll.qlBlackFormula(IF(O143&lt;$C$4,"Put","Call"),O143,$C$4,$C$9*SQRT($C$7))+
_xll.qlBlackFormula(IF(O143&lt;$C$4,"Put","Call"),O143-$C$14,$C$4,$C$9*SQRT($C$7)))/$C$14^2,"")</f>
        <v>163.70923670502859</v>
      </c>
      <c r="T143" s="42">
        <f>IFERROR((_xll.qlBlackFormula(IF(O143&lt;$C$4,"Put","Call"),O143+$C$14,$C$4,$C$10*SQRT($C$7),,$C$11)-
2*_xll.qlBlackFormula(IF(O143&lt;$C$4,"Put","Call"),O143,$C$4,$C$10*SQRT($C$7),,$C$11)+
_xll.qlBlackFormula(IF(O143&lt;$C$4,"Put","Call"),O143-$C$14,$C$4,$C$10*SQRT($C$7),,$C$11))/$C$14^2,"")</f>
        <v>139.69345341938165</v>
      </c>
      <c r="U143" s="43">
        <f>IFERROR((_xll.qlBachelierBlackFormula(IF(O143&lt;$C$4,"Put","Call"),O143+$C$14,$C$4,$C$12*SQRT($C$7))-
2*_xll.qlBachelierBlackFormula(IF(O143&lt;$C$4,"Put","Call"),O143,$C$4,$C$12*SQRT($C$7))+
_xll.qlBachelierBlackFormula(IF(O143&lt;$C$4,"Put","Call"),O143-$C$14,$C$4,$C$12*SQRT($C$7)))/$C$14^2,"")</f>
        <v>118.32038333044886</v>
      </c>
      <c r="V143" s="61">
        <f>IFERROR(_xll.qlBachelierBlackFormulaImpliedVol(IF(O143&lt;$C$4,"Put","Call"),O143,$C$4,$C$7,P143),"")</f>
        <v>2.7401435197016346E-3</v>
      </c>
      <c r="W143" s="61">
        <f>IFERROR(_xll.qlBachelierBlackFormulaImpliedVol(IF(O143&lt;$C$4,"Put","Call"),O143,$C$4,$C$7,Q143),"")</f>
        <v>2.9412855746021316E-3</v>
      </c>
      <c r="X143" s="61">
        <f>IFERROR(_xll.qlBachelierBlackFormulaImpliedVol(IF(O143&lt;$C$4,"Put","Call"),O143,$C$4,$C$7,R143),"")</f>
        <v>3.1332853432888084E-3</v>
      </c>
      <c r="Y143" s="42"/>
    </row>
    <row r="144" spans="15:25">
      <c r="O144" s="37">
        <f t="shared" si="2"/>
        <v>3.899999999999992E-3</v>
      </c>
      <c r="P144" s="38">
        <f>IFERROR(_xll.qlBlackFormula(IF(O144&lt;$C$4,"Put","Call"),O144,$C$4,$C$9*SQRT($C$7)),"")</f>
        <v>6.4269519059769798E-4</v>
      </c>
      <c r="Q144" s="39">
        <f>IFERROR(_xll.qlBlackFormula(IF(O144&lt;$C$4,"Put","Call"),O144,$C$4,$C$10*SQRT($C$7),,$C$11),"")</f>
        <v>7.105941965134901E-4</v>
      </c>
      <c r="R144" s="40">
        <f>IFERROR(_xll.qlBachelierBlackFormula(IF(O144&lt;$C$4,"Put","Call"),O144,$C$4,$C$12*SQRT($C$7)),"")</f>
        <v>7.762494674666985E-4</v>
      </c>
      <c r="S144" s="41">
        <f>IFERROR((_xll.qlBlackFormula(IF(O144&lt;$C$4,"Put","Call"),O144+$C$14,$C$4,$C$9*SQRT($C$7))-
2*_xll.qlBlackFormula(IF(O144&lt;$C$4,"Put","Call"),O144,$C$4,$C$9*SQRT($C$7))+
_xll.qlBlackFormula(IF(O144&lt;$C$4,"Put","Call"),O144-$C$14,$C$4,$C$9*SQRT($C$7)))/$C$14^2,"")</f>
        <v>160.10835907943888</v>
      </c>
      <c r="T144" s="42">
        <f>IFERROR((_xll.qlBlackFormula(IF(O144&lt;$C$4,"Put","Call"),O144+$C$14,$C$4,$C$10*SQRT($C$7),,$C$11)-
2*_xll.qlBlackFormula(IF(O144&lt;$C$4,"Put","Call"),O144,$C$4,$C$10*SQRT($C$7),,$C$11)+
_xll.qlBlackFormula(IF(O144&lt;$C$4,"Put","Call"),O144-$C$14,$C$4,$C$10*SQRT($C$7),,$C$11))/$C$14^2,"")</f>
        <v>139.27475275496425</v>
      </c>
      <c r="U144" s="43">
        <f>IFERROR((_xll.qlBachelierBlackFormula(IF(O144&lt;$C$4,"Put","Call"),O144+$C$14,$C$4,$C$12*SQRT($C$7))-
2*_xll.qlBachelierBlackFormula(IF(O144&lt;$C$4,"Put","Call"),O144,$C$4,$C$12*SQRT($C$7))+
_xll.qlBachelierBlackFormula(IF(O144&lt;$C$4,"Put","Call"),O144-$C$14,$C$4,$C$12*SQRT($C$7)))/$C$14^2,"")</f>
        <v>119.71451456017913</v>
      </c>
      <c r="V144" s="61">
        <f>IFERROR(_xll.qlBachelierBlackFormulaImpliedVol(IF(O144&lt;$C$4,"Put","Call"),O144,$C$4,$C$7,P144),"")</f>
        <v>2.7743898923199102E-3</v>
      </c>
      <c r="W144" s="61">
        <f>IFERROR(_xll.qlBachelierBlackFormulaImpliedVol(IF(O144&lt;$C$4,"Put","Call"),O144,$C$4,$C$7,Q144),"")</f>
        <v>2.9576097231223384E-3</v>
      </c>
      <c r="X144" s="61">
        <f>IFERROR(_xll.qlBachelierBlackFormulaImpliedVol(IF(O144&lt;$C$4,"Put","Call"),O144,$C$4,$C$7,R144),"")</f>
        <v>3.1332853432887798E-3</v>
      </c>
      <c r="Y144" s="42"/>
    </row>
    <row r="145" spans="15:25">
      <c r="O145" s="37">
        <f t="shared" si="2"/>
        <v>3.9999999999999923E-3</v>
      </c>
      <c r="P145" s="38">
        <f>IFERROR(_xll.qlBlackFormula(IF(O145&lt;$C$4,"Put","Call"),O145,$C$4,$C$9*SQRT($C$7)),"")</f>
        <v>6.9064998902881869E-4</v>
      </c>
      <c r="Q145" s="39">
        <f>IFERROR(_xll.qlBlackFormula(IF(O145&lt;$C$4,"Put","Call"),O145,$C$4,$C$10*SQRT($C$7),,$C$11),"")</f>
        <v>7.5285276356316065E-4</v>
      </c>
      <c r="R145" s="40">
        <f>IFERROR(_xll.qlBachelierBlackFormula(IF(O145&lt;$C$4,"Put","Call"),O145,$C$4,$C$12*SQRT($C$7)),"")</f>
        <v>8.1312705218750147E-4</v>
      </c>
      <c r="S145" s="41">
        <f>IFERROR((_xll.qlBlackFormula(IF(O145&lt;$C$4,"Put","Call"),O145+$C$14,$C$4,$C$9*SQRT($C$7))-
2*_xll.qlBlackFormula(IF(O145&lt;$C$4,"Put","Call"),O145,$C$4,$C$9*SQRT($C$7))+
_xll.qlBlackFormula(IF(O145&lt;$C$4,"Put","Call"),O145-$C$14,$C$4,$C$9*SQRT($C$7)))/$C$14^2,"")</f>
        <v>156.42459224619876</v>
      </c>
      <c r="T145" s="42">
        <f>IFERROR((_xll.qlBlackFormula(IF(O145&lt;$C$4,"Put","Call"),O145+$C$14,$C$4,$C$10*SQRT($C$7),,$C$11)-
2*_xll.qlBlackFormula(IF(O145&lt;$C$4,"Put","Call"),O145,$C$4,$C$10*SQRT($C$7),,$C$11)+
_xll.qlBlackFormula(IF(O145&lt;$C$4,"Put","Call"),O145-$C$14,$C$4,$C$10*SQRT($C$7),,$C$11))/$C$14^2,"")</f>
        <v>138.68595074434387</v>
      </c>
      <c r="U145" s="43">
        <f>IFERROR((_xll.qlBachelierBlackFormula(IF(O145&lt;$C$4,"Put","Call"),O145+$C$14,$C$4,$C$12*SQRT($C$7))-
2*_xll.qlBachelierBlackFormula(IF(O145&lt;$C$4,"Put","Call"),O145,$C$4,$C$12*SQRT($C$7))+
_xll.qlBachelierBlackFormula(IF(O145&lt;$C$4,"Put","Call"),O145-$C$14,$C$4,$C$12*SQRT($C$7)))/$C$14^2,"")</f>
        <v>121.00175744191033</v>
      </c>
      <c r="V145" s="61">
        <f>IFERROR(_xll.qlBachelierBlackFormulaImpliedVol(IF(O145&lt;$C$4,"Put","Call"),O145,$C$4,$C$7,P145),"")</f>
        <v>2.8083330131479893E-3</v>
      </c>
      <c r="W145" s="61">
        <f>IFERROR(_xll.qlBachelierBlackFormulaImpliedVol(IF(O145&lt;$C$4,"Put","Call"),O145,$C$4,$C$7,Q145),"")</f>
        <v>2.9738716774182659E-3</v>
      </c>
      <c r="X145" s="61">
        <f>IFERROR(_xll.qlBachelierBlackFormulaImpliedVol(IF(O145&lt;$C$4,"Put","Call"),O145,$C$4,$C$7,R145),"")</f>
        <v>3.1332853432887529E-3</v>
      </c>
      <c r="Y145" s="42"/>
    </row>
    <row r="146" spans="15:25">
      <c r="O146" s="37">
        <f t="shared" si="2"/>
        <v>4.0999999999999925E-3</v>
      </c>
      <c r="P146" s="38">
        <f>IFERROR(_xll.qlBlackFormula(IF(O146&lt;$C$4,"Put","Call"),O146,$C$4,$C$9*SQRT($C$7)),"")</f>
        <v>7.4016898376725367E-4</v>
      </c>
      <c r="Q146" s="39">
        <f>IFERROR(_xll.qlBlackFormula(IF(O146&lt;$C$4,"Put","Call"),O146,$C$4,$C$10*SQRT($C$7),,$C$11),"")</f>
        <v>7.964980549221767E-4</v>
      </c>
      <c r="R146" s="40">
        <f>IFERROR(_xll.qlBachelierBlackFormula(IF(O146&lt;$C$4,"Put","Call"),O146,$C$4,$C$12*SQRT($C$7)),"")</f>
        <v>8.5121456225520299E-4</v>
      </c>
      <c r="S146" s="41">
        <f>IFERROR((_xll.qlBlackFormula(IF(O146&lt;$C$4,"Put","Call"),O146+$C$14,$C$4,$C$9*SQRT($C$7))-
2*_xll.qlBlackFormula(IF(O146&lt;$C$4,"Put","Call"),O146,$C$4,$C$9*SQRT($C$7))+
_xll.qlBlackFormula(IF(O146&lt;$C$4,"Put","Call"),O146-$C$14,$C$4,$C$9*SQRT($C$7)))/$C$14^2,"")</f>
        <v>152.68114723909764</v>
      </c>
      <c r="T146" s="42">
        <f>IFERROR((_xll.qlBlackFormula(IF(O146&lt;$C$4,"Put","Call"),O146+$C$14,$C$4,$C$10*SQRT($C$7),,$C$11)-
2*_xll.qlBlackFormula(IF(O146&lt;$C$4,"Put","Call"),O146,$C$4,$C$10*SQRT($C$7),,$C$11)+
_xll.qlBlackFormula(IF(O146&lt;$C$4,"Put","Call"),O146-$C$14,$C$4,$C$10*SQRT($C$7),,$C$11))/$C$14^2,"")</f>
        <v>137.93490828695187</v>
      </c>
      <c r="U146" s="43">
        <f>IFERROR((_xll.qlBachelierBlackFormula(IF(O146&lt;$C$4,"Put","Call"),O146+$C$14,$C$4,$C$12*SQRT($C$7))-
2*_xll.qlBachelierBlackFormula(IF(O146&lt;$C$4,"Put","Call"),O146,$C$4,$C$12*SQRT($C$7))+
_xll.qlBachelierBlackFormula(IF(O146&lt;$C$4,"Put","Call"),O146-$C$14,$C$4,$C$12*SQRT($C$7)))/$C$14^2,"")</f>
        <v>122.17832897742225</v>
      </c>
      <c r="V146" s="61">
        <f>IFERROR(_xll.qlBachelierBlackFormulaImpliedVol(IF(O146&lt;$C$4,"Put","Call"),O146,$C$4,$C$7,P146),"")</f>
        <v>2.8419842729400032E-3</v>
      </c>
      <c r="W146" s="61">
        <f>IFERROR(_xll.qlBachelierBlackFormulaImpliedVol(IF(O146&lt;$C$4,"Put","Call"),O146,$C$4,$C$7,Q146),"")</f>
        <v>2.9900724750214951E-3</v>
      </c>
      <c r="X146" s="61">
        <f>IFERROR(_xll.qlBachelierBlackFormulaImpliedVol(IF(O146&lt;$C$4,"Put","Call"),O146,$C$4,$C$7,R146),"")</f>
        <v>3.1332853432887334E-3</v>
      </c>
      <c r="Y146" s="42"/>
    </row>
    <row r="147" spans="15:25">
      <c r="O147" s="37">
        <f t="shared" si="2"/>
        <v>4.1999999999999928E-3</v>
      </c>
      <c r="P147" s="38">
        <f>IFERROR(_xll.qlBlackFormula(IF(O147&lt;$C$4,"Put","Call"),O147,$C$4,$C$9*SQRT($C$7)),"")</f>
        <v>7.9121475752076762E-4</v>
      </c>
      <c r="Q147" s="39">
        <f>IFERROR(_xll.qlBlackFormula(IF(O147&lt;$C$4,"Put","Call"),O147,$C$4,$C$10*SQRT($C$7),,$C$11),"")</f>
        <v>8.4152256689390588E-4</v>
      </c>
      <c r="R147" s="40">
        <f>IFERROR(_xll.qlBachelierBlackFormula(IF(O147&lt;$C$4,"Put","Call"),O147,$C$4,$C$12*SQRT($C$7)),"")</f>
        <v>8.9052376048161426E-4</v>
      </c>
      <c r="S147" s="41">
        <f>IFERROR((_xll.qlBlackFormula(IF(O147&lt;$C$4,"Put","Call"),O147+$C$14,$C$4,$C$9*SQRT($C$7))-
2*_xll.qlBlackFormula(IF(O147&lt;$C$4,"Put","Call"),O147,$C$4,$C$9*SQRT($C$7))+
_xll.qlBlackFormula(IF(O147&lt;$C$4,"Put","Call"),O147-$C$14,$C$4,$C$9*SQRT($C$7)))/$C$14^2,"")</f>
        <v>148.89862064680625</v>
      </c>
      <c r="T147" s="42">
        <f>IFERROR((_xll.qlBlackFormula(IF(O147&lt;$C$4,"Put","Call"),O147+$C$14,$C$4,$C$10*SQRT($C$7),,$C$11)-
2*_xll.qlBlackFormula(IF(O147&lt;$C$4,"Put","Call"),O147,$C$4,$C$10*SQRT($C$7),,$C$11)+
_xll.qlBlackFormula(IF(O147&lt;$C$4,"Put","Call"),O147-$C$14,$C$4,$C$10*SQRT($C$7),,$C$11))/$C$14^2,"")</f>
        <v>137.02970615842025</v>
      </c>
      <c r="U147" s="43">
        <f>IFERROR((_xll.qlBachelierBlackFormula(IF(O147&lt;$C$4,"Put","Call"),O147+$C$14,$C$4,$C$12*SQRT($C$7))-
2*_xll.qlBachelierBlackFormula(IF(O147&lt;$C$4,"Put","Call"),O147,$C$4,$C$12*SQRT($C$7))+
_xll.qlBachelierBlackFormula(IF(O147&lt;$C$4,"Put","Call"),O147-$C$14,$C$4,$C$12*SQRT($C$7)))/$C$14^2,"")</f>
        <v>123.24074519145384</v>
      </c>
      <c r="V147" s="61">
        <f>IFERROR(_xll.qlBachelierBlackFormulaImpliedVol(IF(O147&lt;$C$4,"Put","Call"),O147,$C$4,$C$7,P147),"")</f>
        <v>2.8753543600827805E-3</v>
      </c>
      <c r="W147" s="61">
        <f>IFERROR(_xll.qlBachelierBlackFormulaImpliedVol(IF(O147&lt;$C$4,"Put","Call"),O147,$C$4,$C$7,Q147),"")</f>
        <v>3.0062131246051346E-3</v>
      </c>
      <c r="X147" s="61">
        <f>IFERROR(_xll.qlBachelierBlackFormulaImpliedVol(IF(O147&lt;$C$4,"Put","Call"),O147,$C$4,$C$7,R147),"")</f>
        <v>3.1332853432887277E-3</v>
      </c>
      <c r="Y147" s="42"/>
    </row>
    <row r="148" spans="15:25">
      <c r="O148" s="37">
        <f t="shared" si="2"/>
        <v>4.2999999999999931E-3</v>
      </c>
      <c r="P148" s="38">
        <f>IFERROR(_xll.qlBlackFormula(IF(O148&lt;$C$4,"Put","Call"),O148,$C$4,$C$9*SQRT($C$7)),"")</f>
        <v>8.4374950016803977E-4</v>
      </c>
      <c r="Q148" s="39">
        <f>IFERROR(_xll.qlBlackFormula(IF(O148&lt;$C$4,"Put","Call"),O148,$C$4,$C$10*SQRT($C$7),,$C$11),"")</f>
        <v>8.8791725436950832E-4</v>
      </c>
      <c r="R148" s="40">
        <f>IFERROR(_xll.qlBachelierBlackFormula(IF(O148&lt;$C$4,"Put","Call"),O148,$C$4,$C$12*SQRT($C$7)),"")</f>
        <v>9.310652683892555E-4</v>
      </c>
      <c r="S148" s="41">
        <f>IFERROR((_xll.qlBlackFormula(IF(O148&lt;$C$4,"Put","Call"),O148+$C$14,$C$4,$C$9*SQRT($C$7))-
2*_xll.qlBlackFormula(IF(O148&lt;$C$4,"Put","Call"),O148,$C$4,$C$9*SQRT($C$7))+
_xll.qlBlackFormula(IF(O148&lt;$C$4,"Put","Call"),O148-$C$14,$C$4,$C$9*SQRT($C$7)))/$C$14^2,"")</f>
        <v>145.09520993542802</v>
      </c>
      <c r="T148" s="42">
        <f>IFERROR((_xll.qlBlackFormula(IF(O148&lt;$C$4,"Put","Call"),O148+$C$14,$C$4,$C$10*SQRT($C$7),,$C$11)-
2*_xll.qlBlackFormula(IF(O148&lt;$C$4,"Put","Call"),O148,$C$4,$C$10*SQRT($C$7),,$C$11)+
_xll.qlBlackFormula(IF(O148&lt;$C$4,"Put","Call"),O148-$C$14,$C$4,$C$10*SQRT($C$7),,$C$11))/$C$14^2,"")</f>
        <v>135.97861421923986</v>
      </c>
      <c r="U148" s="43">
        <f>IFERROR((_xll.qlBachelierBlackFormula(IF(O148&lt;$C$4,"Put","Call"),O148+$C$14,$C$4,$C$12*SQRT($C$7))-
2*_xll.qlBachelierBlackFormula(IF(O148&lt;$C$4,"Put","Call"),O148,$C$4,$C$12*SQRT($C$7))+
_xll.qlBachelierBlackFormula(IF(O148&lt;$C$4,"Put","Call"),O148-$C$14,$C$4,$C$12*SQRT($C$7)))/$C$14^2,"")</f>
        <v>124.18584032208163</v>
      </c>
      <c r="V148" s="61">
        <f>IFERROR(_xll.qlBachelierBlackFormulaImpliedVol(IF(O148&lt;$C$4,"Put","Call"),O148,$C$4,$C$7,P148),"")</f>
        <v>2.9084533197978493E-3</v>
      </c>
      <c r="W148" s="61">
        <f>IFERROR(_xll.qlBachelierBlackFormulaImpliedVol(IF(O148&lt;$C$4,"Put","Call"),O148,$C$4,$C$7,Q148),"")</f>
        <v>3.0222946070963823E-3</v>
      </c>
      <c r="X148" s="61">
        <f>IFERROR(_xll.qlBachelierBlackFormulaImpliedVol(IF(O148&lt;$C$4,"Put","Call"),O148,$C$4,$C$7,R148),"")</f>
        <v>3.1332853432887316E-3</v>
      </c>
      <c r="Y148" s="42"/>
    </row>
    <row r="149" spans="15:25">
      <c r="O149" s="37">
        <f t="shared" si="2"/>
        <v>4.3999999999999933E-3</v>
      </c>
      <c r="P149" s="38">
        <f>IFERROR(_xll.qlBlackFormula(IF(O149&lt;$C$4,"Put","Call"),O149,$C$4,$C$9*SQRT($C$7)),"")</f>
        <v>8.9773519094900117E-4</v>
      </c>
      <c r="Q149" s="39">
        <f>IFERROR(_xll.qlBlackFormula(IF(O149&lt;$C$4,"Put","Call"),O149,$C$4,$C$10*SQRT($C$7),,$C$11),"")</f>
        <v>9.3567161337765152E-4</v>
      </c>
      <c r="R149" s="40">
        <f>IFERROR(_xll.qlBachelierBlackFormula(IF(O149&lt;$C$4,"Put","Call"),O149,$C$4,$C$12*SQRT($C$7)),"")</f>
        <v>9.7284853457153245E-4</v>
      </c>
      <c r="S149" s="41">
        <f>IFERROR((_xll.qlBlackFormula(IF(O149&lt;$C$4,"Put","Call"),O149+$C$14,$C$4,$C$9*SQRT($C$7))-
2*_xll.qlBlackFormula(IF(O149&lt;$C$4,"Put","Call"),O149,$C$4,$C$9*SQRT($C$7))+
_xll.qlBlackFormula(IF(O149&lt;$C$4,"Put","Call"),O149-$C$14,$C$4,$C$9*SQRT($C$7)))/$C$14^2,"")</f>
        <v>141.28693701098706</v>
      </c>
      <c r="T149" s="42">
        <f>IFERROR((_xll.qlBlackFormula(IF(O149&lt;$C$4,"Put","Call"),O149+$C$14,$C$4,$C$10*SQRT($C$7),,$C$11)-
2*_xll.qlBlackFormula(IF(O149&lt;$C$4,"Put","Call"),O149,$C$4,$C$10*SQRT($C$7),,$C$11)+
_xll.qlBlackFormula(IF(O149&lt;$C$4,"Put","Call"),O149-$C$14,$C$4,$C$10*SQRT($C$7),,$C$11))/$C$14^2,"")</f>
        <v>134.78999687233096</v>
      </c>
      <c r="U149" s="43">
        <f>IFERROR((_xll.qlBachelierBlackFormula(IF(O149&lt;$C$4,"Put","Call"),O149+$C$14,$C$4,$C$12*SQRT($C$7))-
2*_xll.qlBachelierBlackFormula(IF(O149&lt;$C$4,"Put","Call"),O149,$C$4,$C$12*SQRT($C$7))+
_xll.qlBachelierBlackFormula(IF(O149&lt;$C$4,"Put","Call"),O149-$C$14,$C$4,$C$12*SQRT($C$7)))/$C$14^2,"")</f>
        <v>125.01078330059285</v>
      </c>
      <c r="V149" s="61">
        <f>IFERROR(_xll.qlBachelierBlackFormulaImpliedVol(IF(O149&lt;$C$4,"Put","Call"),O149,$C$4,$C$7,P149),"")</f>
        <v>2.9412906070834708E-3</v>
      </c>
      <c r="W149" s="61">
        <f>IFERROR(_xll.qlBachelierBlackFormulaImpliedVol(IF(O149&lt;$C$4,"Put","Call"),O149,$C$4,$C$7,Q149),"")</f>
        <v>3.0383178767346302E-3</v>
      </c>
      <c r="X149" s="61">
        <f>IFERROR(_xll.qlBachelierBlackFormulaImpliedVol(IF(O149&lt;$C$4,"Put","Call"),O149,$C$4,$C$7,R149),"")</f>
        <v>3.1332853432887455E-3</v>
      </c>
      <c r="Y149" s="42"/>
    </row>
    <row r="150" spans="15:25">
      <c r="O150" s="37">
        <f t="shared" si="2"/>
        <v>4.4999999999999936E-3</v>
      </c>
      <c r="P150" s="38">
        <f>IFERROR(_xll.qlBlackFormula(IF(O150&lt;$C$4,"Put","Call"),O150,$C$4,$C$9*SQRT($C$7)),"")</f>
        <v>9.5313375881708111E-4</v>
      </c>
      <c r="Q150" s="39">
        <f>IFERROR(_xll.qlBlackFormula(IF(O150&lt;$C$4,"Put","Call"),O150,$C$4,$C$10*SQRT($C$7),,$C$11),"")</f>
        <v>9.8477376478896522E-4</v>
      </c>
      <c r="R150" s="40">
        <f>IFERROR(_xll.qlBachelierBlackFormula(IF(O150&lt;$C$4,"Put","Call"),O150,$C$4,$C$12*SQRT($C$7)),"")</f>
        <v>1.0158818063902408E-3</v>
      </c>
      <c r="S150" s="41">
        <f>IFERROR((_xll.qlBlackFormula(IF(O150&lt;$C$4,"Put","Call"),O150+$C$14,$C$4,$C$9*SQRT($C$7))-
2*_xll.qlBlackFormula(IF(O150&lt;$C$4,"Put","Call"),O150,$C$4,$C$9*SQRT($C$7))+
_xll.qlBlackFormula(IF(O150&lt;$C$4,"Put","Call"),O150-$C$14,$C$4,$C$9*SQRT($C$7)))/$C$14^2,"")</f>
        <v>137.48783491904226</v>
      </c>
      <c r="T150" s="42">
        <f>IFERROR((_xll.qlBlackFormula(IF(O150&lt;$C$4,"Put","Call"),O150+$C$14,$C$4,$C$10*SQRT($C$7),,$C$11)-
2*_xll.qlBlackFormula(IF(O150&lt;$C$4,"Put","Call"),O150,$C$4,$C$10*SQRT($C$7),,$C$11)+
_xll.qlBlackFormula(IF(O150&lt;$C$4,"Put","Call"),O150-$C$14,$C$4,$C$10*SQRT($C$7),,$C$11))/$C$14^2,"")</f>
        <v>133.47229614948941</v>
      </c>
      <c r="U150" s="43">
        <f>IFERROR((_xll.qlBachelierBlackFormula(IF(O150&lt;$C$4,"Put","Call"),O150+$C$14,$C$4,$C$12*SQRT($C$7))-
2*_xll.qlBachelierBlackFormula(IF(O150&lt;$C$4,"Put","Call"),O150,$C$4,$C$12*SQRT($C$7))+
_xll.qlBachelierBlackFormula(IF(O150&lt;$C$4,"Put","Call"),O150-$C$14,$C$4,$C$12*SQRT($C$7)))/$C$14^2,"")</f>
        <v>125.71309119559227</v>
      </c>
      <c r="V150" s="61">
        <f>IFERROR(_xll.qlBachelierBlackFormulaImpliedVol(IF(O150&lt;$C$4,"Put","Call"),O150,$C$4,$C$7,P150),"")</f>
        <v>2.973875134186408E-3</v>
      </c>
      <c r="W150" s="61">
        <f>IFERROR(_xll.qlBachelierBlackFormulaImpliedVol(IF(O150&lt;$C$4,"Put","Call"),O150,$C$4,$C$7,Q150),"")</f>
        <v>3.0542838620782244E-3</v>
      </c>
      <c r="X150" s="61">
        <f>IFERROR(_xll.qlBachelierBlackFormulaImpliedVol(IF(O150&lt;$C$4,"Put","Call"),O150,$C$4,$C$7,R150),"")</f>
        <v>3.1332853432887563E-3</v>
      </c>
      <c r="Y150" s="42"/>
    </row>
    <row r="151" spans="15:25">
      <c r="O151" s="37">
        <f t="shared" si="2"/>
        <v>4.5999999999999939E-3</v>
      </c>
      <c r="P151" s="38">
        <f>IFERROR(_xll.qlBlackFormula(IF(O151&lt;$C$4,"Put","Call"),O151,$C$4,$C$9*SQRT($C$7)),"")</f>
        <v>1.0099072229375295E-3</v>
      </c>
      <c r="Q151" s="39">
        <f>IFERROR(_xll.qlBlackFormula(IF(O151&lt;$C$4,"Put","Call"),O151,$C$4,$C$10*SQRT($C$7),,$C$11),"")</f>
        <v>1.0352105386501544E-3</v>
      </c>
      <c r="R151" s="40">
        <f>IFERROR(_xll.qlBachelierBlackFormula(IF(O151&lt;$C$4,"Put","Call"),O151,$C$4,$C$12*SQRT($C$7)),"")</f>
        <v>1.0601721051516288E-3</v>
      </c>
      <c r="S151" s="41">
        <f>IFERROR((_xll.qlBlackFormula(IF(O151&lt;$C$4,"Put","Call"),O151+$C$14,$C$4,$C$9*SQRT($C$7))-
2*_xll.qlBlackFormula(IF(O151&lt;$C$4,"Put","Call"),O151,$C$4,$C$9*SQRT($C$7))+
_xll.qlBlackFormula(IF(O151&lt;$C$4,"Put","Call"),O151-$C$14,$C$4,$C$9*SQRT($C$7)))/$C$14^2,"")</f>
        <v>133.7101397484719</v>
      </c>
      <c r="T151" s="42">
        <f>IFERROR((_xll.qlBlackFormula(IF(O151&lt;$C$4,"Put","Call"),O151+$C$14,$C$4,$C$10*SQRT($C$7),,$C$11)-
2*_xll.qlBlackFormula(IF(O151&lt;$C$4,"Put","Call"),O151,$C$4,$C$10*SQRT($C$7),,$C$11)+
_xll.qlBlackFormula(IF(O151&lt;$C$4,"Put","Call"),O151-$C$14,$C$4,$C$10*SQRT($C$7),,$C$11))/$C$14^2,"")</f>
        <v>132.03396665925627</v>
      </c>
      <c r="U151" s="43">
        <f>IFERROR((_xll.qlBachelierBlackFormula(IF(O151&lt;$C$4,"Put","Call"),O151+$C$14,$C$4,$C$12*SQRT($C$7))-
2*_xll.qlBachelierBlackFormula(IF(O151&lt;$C$4,"Put","Call"),O151,$C$4,$C$12*SQRT($C$7))+
_xll.qlBachelierBlackFormula(IF(O151&lt;$C$4,"Put","Call"),O151-$C$14,$C$4,$C$12*SQRT($C$7)))/$C$14^2,"")</f>
        <v>126.2906407055453</v>
      </c>
      <c r="V151" s="61">
        <f>IFERROR(_xll.qlBachelierBlackFormulaImpliedVol(IF(O151&lt;$C$4,"Put","Call"),O151,$C$4,$C$7,P151),"")</f>
        <v>3.0062153132780892E-3</v>
      </c>
      <c r="W151" s="61">
        <f>IFERROR(_xll.qlBachelierBlackFormulaImpliedVol(IF(O151&lt;$C$4,"Put","Call"),O151,$C$4,$C$7,Q151),"")</f>
        <v>3.0701934669629788E-3</v>
      </c>
      <c r="X151" s="61">
        <f>IFERROR(_xll.qlBachelierBlackFormulaImpliedVol(IF(O151&lt;$C$4,"Put","Call"),O151,$C$4,$C$7,R151),"")</f>
        <v>3.1332853432887602E-3</v>
      </c>
      <c r="Y151" s="42"/>
    </row>
    <row r="152" spans="15:25">
      <c r="O152" s="37">
        <f t="shared" si="2"/>
        <v>4.6999999999999941E-3</v>
      </c>
      <c r="P152" s="38">
        <f>IFERROR(_xll.qlBlackFormula(IF(O152&lt;$C$4,"Put","Call"),O152,$C$4,$C$9*SQRT($C$7)),"")</f>
        <v>1.0680178151897285E-3</v>
      </c>
      <c r="Q152" s="39">
        <f>IFERROR(_xll.qlBlackFormula(IF(O152&lt;$C$4,"Put","Call"),O152,$C$4,$C$10*SQRT($C$7),,$C$11),"")</f>
        <v>1.0869675586634344E-3</v>
      </c>
      <c r="R152" s="40">
        <f>IFERROR(_xll.qlBachelierBlackFormula(IF(O152&lt;$C$4,"Put","Call"),O152,$C$4,$C$12*SQRT($C$7)),"")</f>
        <v>1.1057252048854958E-3</v>
      </c>
      <c r="S152" s="41">
        <f>IFERROR((_xll.qlBlackFormula(IF(O152&lt;$C$4,"Put","Call"),O152+$C$14,$C$4,$C$9*SQRT($C$7))-
2*_xll.qlBlackFormula(IF(O152&lt;$C$4,"Put","Call"),O152,$C$4,$C$9*SQRT($C$7))+
_xll.qlBlackFormula(IF(O152&lt;$C$4,"Put","Call"),O152-$C$14,$C$4,$C$9*SQRT($C$7)))/$C$14^2,"")</f>
        <v>129.96446063437418</v>
      </c>
      <c r="T152" s="42">
        <f>IFERROR((_xll.qlBlackFormula(IF(O152&lt;$C$4,"Put","Call"),O152+$C$14,$C$4,$C$10*SQRT($C$7),,$C$11)-
2*_xll.qlBlackFormula(IF(O152&lt;$C$4,"Put","Call"),O152,$C$4,$C$10*SQRT($C$7),,$C$11)+
_xll.qlBlackFormula(IF(O152&lt;$C$4,"Put","Call"),O152-$C$14,$C$4,$C$10*SQRT($C$7),,$C$11))/$C$14^2,"")</f>
        <v>130.4834244125752</v>
      </c>
      <c r="U152" s="43">
        <f>IFERROR((_xll.qlBachelierBlackFormula(IF(O152&lt;$C$4,"Put","Call"),O152+$C$14,$C$4,$C$12*SQRT($C$7))-
2*_xll.qlBachelierBlackFormula(IF(O152&lt;$C$4,"Put","Call"),O152,$C$4,$C$12*SQRT($C$7))+
_xll.qlBachelierBlackFormula(IF(O152&lt;$C$4,"Put","Call"),O152-$C$14,$C$4,$C$12*SQRT($C$7)))/$C$14^2,"")</f>
        <v>126.74167856711883</v>
      </c>
      <c r="V152" s="61">
        <f>IFERROR(_xll.qlBachelierBlackFormulaImpliedVol(IF(O152&lt;$C$4,"Put","Call"),O152,$C$4,$C$7,P152),"")</f>
        <v>3.0383190949138292E-3</v>
      </c>
      <c r="W152" s="61">
        <f>IFERROR(_xll.qlBachelierBlackFormulaImpliedVol(IF(O152&lt;$C$4,"Put","Call"),O152,$C$4,$C$7,Q152),"")</f>
        <v>3.0860475714151988E-3</v>
      </c>
      <c r="X152" s="61">
        <f>IFERROR(_xll.qlBachelierBlackFormulaImpliedVol(IF(O152&lt;$C$4,"Put","Call"),O152,$C$4,$C$7,R152),"")</f>
        <v>3.1332853432887581E-3</v>
      </c>
      <c r="Y152" s="42"/>
    </row>
    <row r="153" spans="15:25">
      <c r="O153" s="37">
        <f t="shared" si="2"/>
        <v>4.7999999999999944E-3</v>
      </c>
      <c r="P153" s="38">
        <f>IFERROR(_xll.qlBlackFormula(IF(O153&lt;$C$4,"Put","Call"),O153,$C$4,$C$9*SQRT($C$7)),"")</f>
        <v>1.1274280864025734E-3</v>
      </c>
      <c r="Q153" s="39">
        <f>IFERROR(_xll.qlBlackFormula(IF(O153&lt;$C$4,"Put","Call"),O153,$C$4,$C$10*SQRT($C$7),,$C$11),"")</f>
        <v>1.1400293263677044E-3</v>
      </c>
      <c r="R153" s="40">
        <f>IFERROR(_xll.qlBachelierBlackFormula(IF(O153&lt;$C$4,"Put","Call"),O153,$C$4,$C$12*SQRT($C$7)),"")</f>
        <v>1.1525456148341771E-3</v>
      </c>
      <c r="S153" s="41">
        <f>IFERROR((_xll.qlBlackFormula(IF(O153&lt;$C$4,"Put","Call"),O153+$C$14,$C$4,$C$9*SQRT($C$7))-
2*_xll.qlBlackFormula(IF(O153&lt;$C$4,"Put","Call"),O153,$C$4,$C$9*SQRT($C$7))+
_xll.qlBlackFormula(IF(O153&lt;$C$4,"Put","Call"),O153-$C$14,$C$4,$C$9*SQRT($C$7)))/$C$14^2,"")</f>
        <v>126.2599447736379</v>
      </c>
      <c r="T153" s="42">
        <f>IFERROR((_xll.qlBlackFormula(IF(O153&lt;$C$4,"Put","Call"),O153+$C$14,$C$4,$C$10*SQRT($C$7),,$C$11)-
2*_xll.qlBlackFormula(IF(O153&lt;$C$4,"Put","Call"),O153,$C$4,$C$10*SQRT($C$7),,$C$11)+
_xll.qlBlackFormula(IF(O153&lt;$C$4,"Put","Call"),O153-$C$14,$C$4,$C$10*SQRT($C$7),,$C$11))/$C$14^2,"")</f>
        <v>128.82902036825962</v>
      </c>
      <c r="U153" s="43">
        <f>IFERROR((_xll.qlBachelierBlackFormula(IF(O153&lt;$C$4,"Put","Call"),O153+$C$14,$C$4,$C$12*SQRT($C$7))-
2*_xll.qlBachelierBlackFormula(IF(O153&lt;$C$4,"Put","Call"),O153,$C$4,$C$12*SQRT($C$7))+
_xll.qlBachelierBlackFormula(IF(O153&lt;$C$4,"Put","Call"),O153-$C$14,$C$4,$C$12*SQRT($C$7)))/$C$14^2,"")</f>
        <v>127.06483543296898</v>
      </c>
      <c r="V153" s="61">
        <f>IFERROR(_xll.qlBachelierBlackFormulaImpliedVol(IF(O153&lt;$C$4,"Put","Call"),O153,$C$4,$C$7,P153),"")</f>
        <v>3.0701940027729668E-3</v>
      </c>
      <c r="W153" s="61">
        <f>IFERROR(_xll.qlBachelierBlackFormulaImpliedVol(IF(O153&lt;$C$4,"Put","Call"),O153,$C$4,$C$7,Q153),"")</f>
        <v>3.1018470325217969E-3</v>
      </c>
      <c r="X153" s="61">
        <f>IFERROR(_xll.qlBachelierBlackFormulaImpliedVol(IF(O153&lt;$C$4,"Put","Call"),O153,$C$4,$C$7,R153),"")</f>
        <v>3.1332853432887537E-3</v>
      </c>
      <c r="Y153" s="42"/>
    </row>
    <row r="154" spans="15:25">
      <c r="O154" s="37">
        <f t="shared" si="2"/>
        <v>4.8999999999999946E-3</v>
      </c>
      <c r="P154" s="38">
        <f>IFERROR(_xll.qlBlackFormula(IF(O154&lt;$C$4,"Put","Call"),O154,$C$4,$C$9*SQRT($C$7)),"")</f>
        <v>1.188100997923925E-3</v>
      </c>
      <c r="Q154" s="39">
        <f>IFERROR(_xll.qlBlackFormula(IF(O154&lt;$C$4,"Put","Call"),O154,$C$4,$C$10*SQRT($C$7),,$C$11),"")</f>
        <v>1.1943793046181022E-3</v>
      </c>
      <c r="R154" s="40">
        <f>IFERROR(_xll.qlBachelierBlackFormula(IF(O154&lt;$C$4,"Put","Call"),O154,$C$4,$C$12*SQRT($C$7)),"")</f>
        <v>1.2006365657399028E-3</v>
      </c>
      <c r="S154" s="41">
        <f>IFERROR((_xll.qlBlackFormula(IF(O154&lt;$C$4,"Put","Call"),O154+$C$14,$C$4,$C$9*SQRT($C$7))-
2*_xll.qlBlackFormula(IF(O154&lt;$C$4,"Put","Call"),O154,$C$4,$C$9*SQRT($C$7))+
_xll.qlBlackFormula(IF(O154&lt;$C$4,"Put","Call"),O154-$C$14,$C$4,$C$9*SQRT($C$7)))/$C$14^2,"")</f>
        <v>122.60441576913972</v>
      </c>
      <c r="T154" s="42">
        <f>IFERROR((_xll.qlBlackFormula(IF(O154&lt;$C$4,"Put","Call"),O154+$C$14,$C$4,$C$10*SQRT($C$7),,$C$11)-
2*_xll.qlBlackFormula(IF(O154&lt;$C$4,"Put","Call"),O154,$C$4,$C$10*SQRT($C$7),,$C$11)+
_xll.qlBlackFormula(IF(O154&lt;$C$4,"Put","Call"),O154-$C$14,$C$4,$C$10*SQRT($C$7),,$C$11))/$C$14^2,"")</f>
        <v>127.07900357011859</v>
      </c>
      <c r="U154" s="43">
        <f>IFERROR((_xll.qlBachelierBlackFormula(IF(O154&lt;$C$4,"Put","Call"),O154+$C$14,$C$4,$C$12*SQRT($C$7))-
2*_xll.qlBachelierBlackFormula(IF(O154&lt;$C$4,"Put","Call"),O154,$C$4,$C$12*SQRT($C$7))+
_xll.qlBachelierBlackFormula(IF(O154&lt;$C$4,"Put","Call"),O154-$C$14,$C$4,$C$12*SQRT($C$7)))/$C$14^2,"")</f>
        <v>127.25912424543795</v>
      </c>
      <c r="V154" s="61">
        <f>IFERROR(_xll.qlBachelierBlackFormulaImpliedVol(IF(O154&lt;$C$4,"Put","Call"),O154,$C$4,$C$7,P154),"")</f>
        <v>3.1018471651099431E-3</v>
      </c>
      <c r="W154" s="61">
        <f>IFERROR(_xll.qlBachelierBlackFormulaImpliedVol(IF(O154&lt;$C$4,"Put","Call"),O154,$C$4,$C$7,Q154),"")</f>
        <v>3.1175926852599718E-3</v>
      </c>
      <c r="X154" s="61">
        <f>IFERROR(_xll.qlBachelierBlackFormulaImpliedVol(IF(O154&lt;$C$4,"Put","Call"),O154,$C$4,$C$7,R154),"")</f>
        <v>3.1332853432887468E-3</v>
      </c>
      <c r="Y154" s="42"/>
    </row>
    <row r="155" spans="15:25">
      <c r="O155" s="37">
        <f t="shared" si="2"/>
        <v>4.9999999999999949E-3</v>
      </c>
      <c r="P155" s="38">
        <f>IFERROR(_xll.qlBlackFormula(IF(O155&lt;$C$4,"Put","Call"),O155,$C$4,$C$9*SQRT($C$7)),"")</f>
        <v>1.249999999999997E-3</v>
      </c>
      <c r="Q155" s="39">
        <f>IFERROR(_xll.qlBlackFormula(IF(O155&lt;$C$4,"Put","Call"),O155,$C$4,$C$10*SQRT($C$7),,$C$11),"")</f>
        <v>1.2499999999999976E-3</v>
      </c>
      <c r="R155" s="40">
        <f>IFERROR(_xll.qlBachelierBlackFormula(IF(O155&lt;$C$4,"Put","Call"),O155,$C$4,$C$12*SQRT($C$7)),"")</f>
        <v>1.2499999999999961E-3</v>
      </c>
      <c r="S155" s="41">
        <f>IFERROR((_xll.qlBlackFormula(IF(O155&lt;$C$4,"Put","Call"),O155+$C$14,$C$4,$C$9*SQRT($C$7))-
2*_xll.qlBlackFormula(IF(O155&lt;$C$4,"Put","Call"),O155,$C$4,$C$9*SQRT($C$7))+
_xll.qlBlackFormula(IF(O155&lt;$C$4,"Put","Call"),O155-$C$14,$C$4,$C$9*SQRT($C$7)))/$C$14^2,"")</f>
        <v>119.00451869599482</v>
      </c>
      <c r="T155" s="42">
        <f>IFERROR((_xll.qlBlackFormula(IF(O155&lt;$C$4,"Put","Call"),O155+$C$14,$C$4,$C$10*SQRT($C$7),,$C$11)-
2*_xll.qlBlackFormula(IF(O155&lt;$C$4,"Put","Call"),O155,$C$4,$C$10*SQRT($C$7),,$C$11)+
_xll.qlBlackFormula(IF(O155&lt;$C$4,"Put","Call"),O155-$C$14,$C$4,$C$10*SQRT($C$7),,$C$11))/$C$14^2,"")</f>
        <v>125.24147777887018</v>
      </c>
      <c r="U155" s="43">
        <f>IFERROR((_xll.qlBachelierBlackFormula(IF(O155&lt;$C$4,"Put","Call"),O155+$C$14,$C$4,$C$12*SQRT($C$7))-
2*_xll.qlBachelierBlackFormula(IF(O155&lt;$C$4,"Put","Call"),O155,$C$4,$C$12*SQRT($C$7))+
_xll.qlBachelierBlackFormula(IF(O155&lt;$C$4,"Put","Call"),O155-$C$14,$C$4,$C$12*SQRT($C$7)))/$C$14^2,"")</f>
        <v>127.32395346382042</v>
      </c>
      <c r="V155" s="61">
        <f>IFERROR(_xll.qlBachelierBlackFormulaImpliedVol(IF(O155&lt;$C$4,"Put","Call"),O155,$C$4,$C$7,P155),"")</f>
        <v>3.1332853432887464E-3</v>
      </c>
      <c r="W155" s="61">
        <f>IFERROR(_xll.qlBachelierBlackFormulaImpliedVol(IF(O155&lt;$C$4,"Put","Call"),O155,$C$4,$C$7,Q155),"")</f>
        <v>3.1332853432887477E-3</v>
      </c>
      <c r="X155" s="61">
        <f>IFERROR(_xll.qlBachelierBlackFormulaImpliedVol(IF(O155&lt;$C$4,"Put","Call"),O155,$C$4,$C$7,R155),"")</f>
        <v>3.1332853432887442E-3</v>
      </c>
      <c r="Y155" s="42"/>
    </row>
    <row r="156" spans="15:25">
      <c r="O156" s="37">
        <f t="shared" si="2"/>
        <v>5.0999999999999952E-3</v>
      </c>
      <c r="P156" s="38">
        <f>IFERROR(_xll.qlBlackFormula(IF(O156&lt;$C$4,"Put","Call"),O156,$C$4,$C$9*SQRT($C$7)),"")</f>
        <v>1.2130890983201332E-3</v>
      </c>
      <c r="Q156" s="39">
        <f>IFERROR(_xll.qlBlackFormula(IF(O156&lt;$C$4,"Put","Call"),O156,$C$4,$C$10*SQRT($C$7),,$C$11),"")</f>
        <v>1.2068730438517259E-3</v>
      </c>
      <c r="R156" s="40">
        <f>IFERROR(_xll.qlBachelierBlackFormula(IF(O156&lt;$C$4,"Put","Call"),O156,$C$4,$C$12*SQRT($C$7)),"")</f>
        <v>1.2006365657399078E-3</v>
      </c>
      <c r="S156" s="41">
        <f>IFERROR((_xll.qlBlackFormula(IF(O156&lt;$C$4,"Put","Call"),O156+$C$14,$C$4,$C$9*SQRT($C$7))-
2*_xll.qlBlackFormula(IF(O156&lt;$C$4,"Put","Call"),O156,$C$4,$C$9*SQRT($C$7))+
_xll.qlBlackFormula(IF(O156&lt;$C$4,"Put","Call"),O156-$C$14,$C$4,$C$9*SQRT($C$7)))/$C$14^2,"")</f>
        <v>115.46584109851932</v>
      </c>
      <c r="T156" s="42">
        <f>IFERROR((_xll.qlBlackFormula(IF(O156&lt;$C$4,"Put","Call"),O156+$C$14,$C$4,$C$10*SQRT($C$7),,$C$11)-
2*_xll.qlBlackFormula(IF(O156&lt;$C$4,"Put","Call"),O156,$C$4,$C$10*SQRT($C$7),,$C$11)+
_xll.qlBlackFormula(IF(O156&lt;$C$4,"Put","Call"),O156-$C$14,$C$4,$C$10*SQRT($C$7),,$C$11))/$C$14^2,"")</f>
        <v>123.32437501760829</v>
      </c>
      <c r="U156" s="43">
        <f>IFERROR((_xll.qlBachelierBlackFormula(IF(O156&lt;$C$4,"Put","Call"),O156+$C$14,$C$4,$C$12*SQRT($C$7))-
2*_xll.qlBachelierBlackFormula(IF(O156&lt;$C$4,"Put","Call"),O156,$C$4,$C$12*SQRT($C$7))+
_xll.qlBachelierBlackFormula(IF(O156&lt;$C$4,"Put","Call"),O156-$C$14,$C$4,$C$12*SQRT($C$7)))/$C$14^2,"")</f>
        <v>127.25912467911883</v>
      </c>
      <c r="V156" s="61">
        <f>IFERROR(_xll.qlBachelierBlackFormulaImpliedVol(IF(O156&lt;$C$4,"Put","Call"),O156,$C$4,$C$7,P156),"")</f>
        <v>3.1645149577244022E-3</v>
      </c>
      <c r="W156" s="61">
        <f>IFERROR(_xll.qlBachelierBlackFormulaImpliedVol(IF(O156&lt;$C$4,"Put","Call"),O156,$C$4,$C$7,Q156),"")</f>
        <v>3.1489257997044081E-3</v>
      </c>
      <c r="X156" s="61">
        <f>IFERROR(_xll.qlBachelierBlackFormulaImpliedVol(IF(O156&lt;$C$4,"Put","Call"),O156,$C$4,$C$7,R156),"")</f>
        <v>3.1332853432887464E-3</v>
      </c>
      <c r="Y156" s="42"/>
    </row>
    <row r="157" spans="15:25">
      <c r="O157" s="37">
        <f t="shared" si="2"/>
        <v>5.1999999999999954E-3</v>
      </c>
      <c r="P157" s="38">
        <f>IFERROR(_xll.qlBlackFormula(IF(O157&lt;$C$4,"Put","Call"),O157,$C$4,$C$9*SQRT($C$7)),"")</f>
        <v>1.1773329099676818E-3</v>
      </c>
      <c r="Q157" s="39">
        <f>IFERROR(_xll.qlBlackFormula(IF(O157&lt;$C$4,"Put","Call"),O157,$C$4,$C$10*SQRT($C$7),,$C$11),"")</f>
        <v>1.1649792716073486E-3</v>
      </c>
      <c r="R157" s="40">
        <f>IFERROR(_xll.qlBachelierBlackFormula(IF(O157&lt;$C$4,"Put","Call"),O157,$C$4,$C$12*SQRT($C$7)),"")</f>
        <v>1.1525456148341821E-3</v>
      </c>
      <c r="S157" s="41">
        <f>IFERROR((_xll.qlBlackFormula(IF(O157&lt;$C$4,"Put","Call"),O157+$C$14,$C$4,$C$9*SQRT($C$7))-
2*_xll.qlBlackFormula(IF(O157&lt;$C$4,"Put","Call"),O157,$C$4,$C$9*SQRT($C$7))+
_xll.qlBlackFormula(IF(O157&lt;$C$4,"Put","Call"),O157-$C$14,$C$4,$C$9*SQRT($C$7)))/$C$14^2,"")</f>
        <v>111.99302249464971</v>
      </c>
      <c r="T157" s="42">
        <f>IFERROR((_xll.qlBlackFormula(IF(O157&lt;$C$4,"Put","Call"),O157+$C$14,$C$4,$C$10*SQRT($C$7),,$C$11)-
2*_xll.qlBlackFormula(IF(O157&lt;$C$4,"Put","Call"),O157,$C$4,$C$10*SQRT($C$7),,$C$11)+
_xll.qlBlackFormula(IF(O157&lt;$C$4,"Put","Call"),O157-$C$14,$C$4,$C$10*SQRT($C$7),,$C$11))/$C$14^2,"")</f>
        <v>121.33544082665315</v>
      </c>
      <c r="U157" s="43">
        <f>IFERROR((_xll.qlBachelierBlackFormula(IF(O157&lt;$C$4,"Put","Call"),O157+$C$14,$C$4,$C$12*SQRT($C$7))-
2*_xll.qlBachelierBlackFormula(IF(O157&lt;$C$4,"Put","Call"),O157,$C$4,$C$12*SQRT($C$7))+
_xll.qlBachelierBlackFormula(IF(O157&lt;$C$4,"Put","Call"),O157-$C$14,$C$4,$C$12*SQRT($C$7)))/$C$14^2,"")</f>
        <v>127.06483521612854</v>
      </c>
      <c r="V157" s="61">
        <f>IFERROR(_xll.qlBachelierBlackFormulaImpliedVol(IF(O157&lt;$C$4,"Put","Call"),O157,$C$4,$C$7,P157),"")</f>
        <v>3.1955421115136317E-3</v>
      </c>
      <c r="W157" s="61">
        <f>IFERROR(_xll.qlBachelierBlackFormulaImpliedVol(IF(O157&lt;$C$4,"Put","Call"),O157,$C$4,$C$7,Q157),"")</f>
        <v>3.1645148277619044E-3</v>
      </c>
      <c r="X157" s="61">
        <f>IFERROR(_xll.qlBachelierBlackFormulaImpliedVol(IF(O157&lt;$C$4,"Put","Call"),O157,$C$4,$C$7,R157),"")</f>
        <v>3.1332853432887524E-3</v>
      </c>
      <c r="Y157" s="42"/>
    </row>
    <row r="158" spans="15:25">
      <c r="O158" s="37">
        <f t="shared" si="2"/>
        <v>5.2999999999999957E-3</v>
      </c>
      <c r="P158" s="38">
        <f>IFERROR(_xll.qlBlackFormula(IF(O158&lt;$C$4,"Put","Call"),O158,$C$4,$C$9*SQRT($C$7)),"")</f>
        <v>1.1426967099094794E-3</v>
      </c>
      <c r="Q158" s="39">
        <f>IFERROR(_xll.qlBlackFormula(IF(O158&lt;$C$4,"Put","Call"),O158,$C$4,$C$10*SQRT($C$7),,$C$11),"")</f>
        <v>1.1242988002062113E-3</v>
      </c>
      <c r="R158" s="40">
        <f>IFERROR(_xll.qlBachelierBlackFormula(IF(O158&lt;$C$4,"Put","Call"),O158,$C$4,$C$12*SQRT($C$7)),"")</f>
        <v>1.1057252048855004E-3</v>
      </c>
      <c r="S158" s="41">
        <f>IFERROR((_xll.qlBlackFormula(IF(O158&lt;$C$4,"Put","Call"),O158+$C$14,$C$4,$C$9*SQRT($C$7))-
2*_xll.qlBlackFormula(IF(O158&lt;$C$4,"Put","Call"),O158,$C$4,$C$9*SQRT($C$7))+
_xll.qlBlackFormula(IF(O158&lt;$C$4,"Put","Call"),O158-$C$14,$C$4,$C$9*SQRT($C$7)))/$C$14^2,"")</f>
        <v>108.58985997723447</v>
      </c>
      <c r="T158" s="42">
        <f>IFERROR((_xll.qlBlackFormula(IF(O158&lt;$C$4,"Put","Call"),O158+$C$14,$C$4,$C$10*SQRT($C$7),,$C$11)-
2*_xll.qlBlackFormula(IF(O158&lt;$C$4,"Put","Call"),O158,$C$4,$C$10*SQRT($C$7),,$C$11)+
_xll.qlBlackFormula(IF(O158&lt;$C$4,"Put","Call"),O158-$C$14,$C$4,$C$10*SQRT($C$7),,$C$11))/$C$14^2,"")</f>
        <v>119.28220390589051</v>
      </c>
      <c r="U158" s="43">
        <f>IFERROR((_xll.qlBachelierBlackFormula(IF(O158&lt;$C$4,"Put","Call"),O158+$C$14,$C$4,$C$12*SQRT($C$7))-
2*_xll.qlBachelierBlackFormula(IF(O158&lt;$C$4,"Put","Call"),O158,$C$4,$C$12*SQRT($C$7))+
_xll.qlBachelierBlackFormula(IF(O158&lt;$C$4,"Put","Call"),O158-$C$14,$C$4,$C$12*SQRT($C$7)))/$C$14^2,"")</f>
        <v>126.74167921764013</v>
      </c>
      <c r="V158" s="61">
        <f>IFERROR(_xll.qlBachelierBlackFormulaImpliedVol(IF(O158&lt;$C$4,"Put","Call"),O158,$C$4,$C$7,P158),"")</f>
        <v>3.2263726120011532E-3</v>
      </c>
      <c r="W158" s="61">
        <f>IFERROR(_xll.qlBachelierBlackFormulaImpliedVol(IF(O158&lt;$C$4,"Put","Call"),O158,$C$4,$C$7,Q158),"")</f>
        <v>3.1800531815640511E-3</v>
      </c>
      <c r="X158" s="61">
        <f>IFERROR(_xll.qlBachelierBlackFormulaImpliedVol(IF(O158&lt;$C$4,"Put","Call"),O158,$C$4,$C$7,R158),"")</f>
        <v>3.1332853432887581E-3</v>
      </c>
      <c r="Y158" s="42"/>
    </row>
    <row r="159" spans="15:25">
      <c r="O159" s="37">
        <f t="shared" si="2"/>
        <v>5.3999999999999959E-3</v>
      </c>
      <c r="P159" s="38">
        <f>IFERROR(_xll.qlBlackFormula(IF(O159&lt;$C$4,"Put","Call"),O159,$C$4,$C$9*SQRT($C$7)),"")</f>
        <v>1.1091464690548183E-3</v>
      </c>
      <c r="Q159" s="39">
        <f>IFERROR(_xll.qlBlackFormula(IF(O159&lt;$C$4,"Put","Call"),O159,$C$4,$C$10*SQRT($C$7),,$C$11),"")</f>
        <v>1.0848111033496775E-3</v>
      </c>
      <c r="R159" s="40">
        <f>IFERROR(_xll.qlBachelierBlackFormula(IF(O159&lt;$C$4,"Put","Call"),O159,$C$4,$C$12*SQRT($C$7)),"")</f>
        <v>1.0601721051516336E-3</v>
      </c>
      <c r="S159" s="41">
        <f>IFERROR((_xll.qlBlackFormula(IF(O159&lt;$C$4,"Put","Call"),O159+$C$14,$C$4,$C$9*SQRT($C$7))-
2*_xll.qlBlackFormula(IF(O159&lt;$C$4,"Put","Call"),O159,$C$4,$C$9*SQRT($C$7))+
_xll.qlBlackFormula(IF(O159&lt;$C$4,"Put","Call"),O159-$C$14,$C$4,$C$9*SQRT($C$7)))/$C$14^2,"")</f>
        <v>105.25940319014438</v>
      </c>
      <c r="T159" s="42">
        <f>IFERROR((_xll.qlBlackFormula(IF(O159&lt;$C$4,"Put","Call"),O159+$C$14,$C$4,$C$10*SQRT($C$7),,$C$11)-
2*_xll.qlBlackFormula(IF(O159&lt;$C$4,"Put","Call"),O159,$C$4,$C$10*SQRT($C$7),,$C$11)+
_xll.qlBlackFormula(IF(O159&lt;$C$4,"Put","Call"),O159-$C$14,$C$4,$C$10*SQRT($C$7),,$C$11))/$C$14^2,"")</f>
        <v>117.1719535633664</v>
      </c>
      <c r="U159" s="43">
        <f>IFERROR((_xll.qlBachelierBlackFormula(IF(O159&lt;$C$4,"Put","Call"),O159+$C$14,$C$4,$C$12*SQRT($C$7))-
2*_xll.qlBachelierBlackFormula(IF(O159&lt;$C$4,"Put","Call"),O159,$C$4,$C$12*SQRT($C$7))+
_xll.qlBachelierBlackFormula(IF(O159&lt;$C$4,"Put","Call"),O159-$C$14,$C$4,$C$12*SQRT($C$7)))/$C$14^2,"")</f>
        <v>126.29064027186443</v>
      </c>
      <c r="V159" s="61">
        <f>IFERROR(_xll.qlBachelierBlackFormulaImpliedVol(IF(O159&lt;$C$4,"Put","Call"),O159,$C$4,$C$7,P159),"")</f>
        <v>3.257011990497776E-3</v>
      </c>
      <c r="W159" s="61">
        <f>IFERROR(_xll.qlBachelierBlackFormulaImpliedVol(IF(O159&lt;$C$4,"Put","Call"),O159,$C$4,$C$7,Q159),"")</f>
        <v>3.1955415967202666E-3</v>
      </c>
      <c r="X159" s="61">
        <f>IFERROR(_xll.qlBachelierBlackFormulaImpliedVol(IF(O159&lt;$C$4,"Put","Call"),O159,$C$4,$C$7,R159),"")</f>
        <v>3.1332853432887594E-3</v>
      </c>
      <c r="Y159" s="42"/>
    </row>
    <row r="160" spans="15:25">
      <c r="O160" s="37">
        <f t="shared" si="2"/>
        <v>5.4999999999999962E-3</v>
      </c>
      <c r="P160" s="38">
        <f>IFERROR(_xll.qlBlackFormula(IF(O160&lt;$C$4,"Put","Call"),O160,$C$4,$C$9*SQRT($C$7)),"")</f>
        <v>1.0766488848203634E-3</v>
      </c>
      <c r="Q160" s="39">
        <f>IFERROR(_xll.qlBlackFormula(IF(O160&lt;$C$4,"Put","Call"),O160,$C$4,$C$10*SQRT($C$7),,$C$11),"")</f>
        <v>1.0464950844175048E-3</v>
      </c>
      <c r="R160" s="40">
        <f>IFERROR(_xll.qlBachelierBlackFormula(IF(O160&lt;$C$4,"Put","Call"),O160,$C$4,$C$12*SQRT($C$7)),"")</f>
        <v>1.0158818063902453E-3</v>
      </c>
      <c r="S160" s="41">
        <f>IFERROR((_xll.qlBlackFormula(IF(O160&lt;$C$4,"Put","Call"),O160+$C$14,$C$4,$C$9*SQRT($C$7))-
2*_xll.qlBlackFormula(IF(O160&lt;$C$4,"Put","Call"),O160,$C$4,$C$9*SQRT($C$7))+
_xll.qlBlackFormula(IF(O160&lt;$C$4,"Put","Call"),O160-$C$14,$C$4,$C$9*SQRT($C$7)))/$C$14^2,"")</f>
        <v>102.00403716131845</v>
      </c>
      <c r="T160" s="42">
        <f>IFERROR((_xll.qlBlackFormula(IF(O160&lt;$C$4,"Put","Call"),O160+$C$14,$C$4,$C$10*SQRT($C$7),,$C$11)-
2*_xll.qlBlackFormula(IF(O160&lt;$C$4,"Put","Call"),O160,$C$4,$C$10*SQRT($C$7),,$C$11)+
_xll.qlBlackFormula(IF(O160&lt;$C$4,"Put","Call"),O160-$C$14,$C$4,$C$10*SQRT($C$7),,$C$11))/$C$14^2,"")</f>
        <v>115.011737113202</v>
      </c>
      <c r="U160" s="43">
        <f>IFERROR((_xll.qlBachelierBlackFormula(IF(O160&lt;$C$4,"Put","Call"),O160+$C$14,$C$4,$C$12*SQRT($C$7))-
2*_xll.qlBachelierBlackFormula(IF(O160&lt;$C$4,"Put","Call"),O160,$C$4,$C$12*SQRT($C$7))+
_xll.qlBachelierBlackFormula(IF(O160&lt;$C$4,"Put","Call"),O160-$C$14,$C$4,$C$12*SQRT($C$7)))/$C$14^2,"")</f>
        <v>125.7130907619114</v>
      </c>
      <c r="V160" s="61">
        <f>IFERROR(_xll.qlBachelierBlackFormulaImpliedVol(IF(O160&lt;$C$4,"Put","Call"),O160,$C$4,$C$7,P160),"")</f>
        <v>3.2874655203400764E-3</v>
      </c>
      <c r="W160" s="61">
        <f>IFERROR(_xll.qlBachelierBlackFormulaImpliedVol(IF(O160&lt;$C$4,"Put","Call"),O160,$C$4,$C$7,Q160),"")</f>
        <v>3.2109807909764271E-3</v>
      </c>
      <c r="X160" s="61">
        <f>IFERROR(_xll.qlBachelierBlackFormulaImpliedVol(IF(O160&lt;$C$4,"Put","Call"),O160,$C$4,$C$7,R160),"")</f>
        <v>3.1332853432887555E-3</v>
      </c>
      <c r="Y160" s="42"/>
    </row>
    <row r="161" spans="15:25">
      <c r="O161" s="37">
        <f t="shared" si="2"/>
        <v>5.5999999999999965E-3</v>
      </c>
      <c r="P161" s="38">
        <f>IFERROR(_xll.qlBlackFormula(IF(O161&lt;$C$4,"Put","Call"),O161,$C$4,$C$9*SQRT($C$7)),"")</f>
        <v>1.04517140504973E-3</v>
      </c>
      <c r="Q161" s="39">
        <f>IFERROR(_xll.qlBlackFormula(IF(O161&lt;$C$4,"Put","Call"),O161,$C$4,$C$10*SQRT($C$7),,$C$11),"")</f>
        <v>1.0093291468864281E-3</v>
      </c>
      <c r="R161" s="40">
        <f>IFERROR(_xll.qlBachelierBlackFormula(IF(O161&lt;$C$4,"Put","Call"),O161,$C$4,$C$12*SQRT($C$7)),"")</f>
        <v>9.7284853457153667E-4</v>
      </c>
      <c r="S161" s="41">
        <f>IFERROR((_xll.qlBlackFormula(IF(O161&lt;$C$4,"Put","Call"),O161+$C$14,$C$4,$C$9*SQRT($C$7))-
2*_xll.qlBlackFormula(IF(O161&lt;$C$4,"Put","Call"),O161,$C$4,$C$9*SQRT($C$7))+
_xll.qlBlackFormula(IF(O161&lt;$C$4,"Put","Call"),O161-$C$14,$C$4,$C$9*SQRT($C$7)))/$C$14^2,"")</f>
        <v>98.825561449522596</v>
      </c>
      <c r="T161" s="42">
        <f>IFERROR((_xll.qlBlackFormula(IF(O161&lt;$C$4,"Put","Call"),O161+$C$14,$C$4,$C$10*SQRT($C$7),,$C$11)-
2*_xll.qlBlackFormula(IF(O161&lt;$C$4,"Put","Call"),O161,$C$4,$C$10*SQRT($C$7),,$C$11)+
_xll.qlBlackFormula(IF(O161&lt;$C$4,"Put","Call"),O161-$C$14,$C$4,$C$10*SQRT($C$7),,$C$11))/$C$14^2,"")</f>
        <v>112.80833081897535</v>
      </c>
      <c r="U161" s="43">
        <f>IFERROR((_xll.qlBachelierBlackFormula(IF(O161&lt;$C$4,"Put","Call"),O161+$C$14,$C$4,$C$12*SQRT($C$7))-
2*_xll.qlBachelierBlackFormula(IF(O161&lt;$C$4,"Put","Call"),O161,$C$4,$C$12*SQRT($C$7))+
_xll.qlBachelierBlackFormula(IF(O161&lt;$C$4,"Put","Call"),O161-$C$14,$C$4,$C$12*SQRT($C$7)))/$C$14^2,"")</f>
        <v>125.01078395111415</v>
      </c>
      <c r="V161" s="61">
        <f>IFERROR(_xll.qlBachelierBlackFormulaImpliedVol(IF(O161&lt;$C$4,"Put","Call"),O161,$C$4,$C$7,P161),"")</f>
        <v>3.3177382334589663E-3</v>
      </c>
      <c r="W161" s="61">
        <f>IFERROR(_xll.qlBachelierBlackFormulaImpliedVol(IF(O161&lt;$C$4,"Put","Call"),O161,$C$4,$C$7,Q161),"")</f>
        <v>3.2263714648174697E-3</v>
      </c>
      <c r="X161" s="61">
        <f>IFERROR(_xll.qlBachelierBlackFormulaImpliedVol(IF(O161&lt;$C$4,"Put","Call"),O161,$C$4,$C$7,R161),"")</f>
        <v>3.1332853432887438E-3</v>
      </c>
      <c r="Y161" s="42"/>
    </row>
    <row r="162" spans="15:25">
      <c r="O162" s="37">
        <f t="shared" si="2"/>
        <v>5.6999999999999967E-3</v>
      </c>
      <c r="P162" s="38">
        <f>IFERROR(_xll.qlBlackFormula(IF(O162&lt;$C$4,"Put","Call"),O162,$C$4,$C$9*SQRT($C$7)),"")</f>
        <v>1.01468224605551E-3</v>
      </c>
      <c r="Q162" s="39">
        <f>IFERROR(_xll.qlBlackFormula(IF(O162&lt;$C$4,"Put","Call"),O162,$C$4,$C$10*SQRT($C$7),,$C$11),"")</f>
        <v>9.7329126212162718E-4</v>
      </c>
      <c r="R162" s="40">
        <f>IFERROR(_xll.qlBachelierBlackFormula(IF(O162&lt;$C$4,"Put","Call"),O162,$C$4,$C$12*SQRT($C$7)),"")</f>
        <v>9.3106526838925984E-4</v>
      </c>
      <c r="S162" s="41">
        <f>IFERROR((_xll.qlBlackFormula(IF(O162&lt;$C$4,"Put","Call"),O162+$C$14,$C$4,$C$9*SQRT($C$7))-
2*_xll.qlBlackFormula(IF(O162&lt;$C$4,"Put","Call"),O162,$C$4,$C$9*SQRT($C$7))+
_xll.qlBlackFormula(IF(O162&lt;$C$4,"Put","Call"),O162-$C$14,$C$4,$C$9*SQRT($C$7)))/$C$14^2,"")</f>
        <v>95.725257364884243</v>
      </c>
      <c r="T162" s="42">
        <f>IFERROR((_xll.qlBlackFormula(IF(O162&lt;$C$4,"Put","Call"),O162+$C$14,$C$4,$C$10*SQRT($C$7),,$C$11)-
2*_xll.qlBlackFormula(IF(O162&lt;$C$4,"Put","Call"),O162,$C$4,$C$10*SQRT($C$7),,$C$11)+
_xll.qlBlackFormula(IF(O162&lt;$C$4,"Put","Call"),O162-$C$14,$C$4,$C$10*SQRT($C$7),,$C$11))/$C$14^2,"")</f>
        <v>110.56824509789176</v>
      </c>
      <c r="U162" s="43">
        <f>IFERROR((_xll.qlBachelierBlackFormula(IF(O162&lt;$C$4,"Put","Call"),O162+$C$14,$C$4,$C$12*SQRT($C$7))-
2*_xll.qlBachelierBlackFormula(IF(O162&lt;$C$4,"Put","Call"),O162,$C$4,$C$12*SQRT($C$7))+
_xll.qlBachelierBlackFormula(IF(O162&lt;$C$4,"Put","Call"),O162-$C$14,$C$4,$C$12*SQRT($C$7)))/$C$14^2,"")</f>
        <v>124.18584064734229</v>
      </c>
      <c r="V162" s="61">
        <f>IFERROR(_xll.qlBachelierBlackFormulaImpliedVol(IF(O162&lt;$C$4,"Put","Call"),O162,$C$4,$C$7,P162),"")</f>
        <v>3.3478349356047968E-3</v>
      </c>
      <c r="W162" s="61">
        <f>IFERROR(_xll.qlBachelierBlackFormulaImpliedVol(IF(O162&lt;$C$4,"Put","Call"),O162,$C$4,$C$7,Q162),"")</f>
        <v>3.2417143020440804E-3</v>
      </c>
      <c r="X162" s="61">
        <f>IFERROR(_xll.qlBachelierBlackFormulaImpliedVol(IF(O162&lt;$C$4,"Put","Call"),O162,$C$4,$C$7,R162),"")</f>
        <v>3.1332853432887329E-3</v>
      </c>
      <c r="Y162" s="42"/>
    </row>
    <row r="163" spans="15:25">
      <c r="O163" s="37">
        <f t="shared" si="2"/>
        <v>5.799999999999997E-3</v>
      </c>
      <c r="P163" s="38">
        <f>IFERROR(_xll.qlBlackFormula(IF(O163&lt;$C$4,"Put","Call"),O163,$C$4,$C$9*SQRT($C$7)),"")</f>
        <v>9.8515040547708828E-4</v>
      </c>
      <c r="Q163" s="39">
        <f>IFERROR(_xll.qlBlackFormula(IF(O163&lt;$C$4,"Put","Call"),O163,$C$4,$C$10*SQRT($C$7),,$C$11),"")</f>
        <v>9.3835903443811267E-4</v>
      </c>
      <c r="R163" s="40">
        <f>IFERROR(_xll.qlBachelierBlackFormula(IF(O163&lt;$C$4,"Put","Call"),O163,$C$4,$C$12*SQRT($C$7)),"")</f>
        <v>8.9052376048161849E-4</v>
      </c>
      <c r="S163" s="41">
        <f>IFERROR((_xll.qlBlackFormula(IF(O163&lt;$C$4,"Put","Call"),O163+$C$14,$C$4,$C$9*SQRT($C$7))-
2*_xll.qlBlackFormula(IF(O163&lt;$C$4,"Put","Call"),O163,$C$4,$C$9*SQRT($C$7))+
_xll.qlBlackFormula(IF(O163&lt;$C$4,"Put","Call"),O163-$C$14,$C$4,$C$9*SQRT($C$7)))/$C$14^2,"")</f>
        <v>92.703948684214055</v>
      </c>
      <c r="T163" s="42">
        <f>IFERROR((_xll.qlBlackFormula(IF(O163&lt;$C$4,"Put","Call"),O163+$C$14,$C$4,$C$10*SQRT($C$7),,$C$11)-
2*_xll.qlBlackFormula(IF(O163&lt;$C$4,"Put","Call"),O163,$C$4,$C$10*SQRT($C$7),,$C$11)+
_xll.qlBlackFormula(IF(O163&lt;$C$4,"Put","Call"),O163-$C$14,$C$4,$C$10*SQRT($C$7),,$C$11))/$C$14^2,"")</f>
        <v>108.29770110201697</v>
      </c>
      <c r="U163" s="43">
        <f>IFERROR((_xll.qlBachelierBlackFormula(IF(O163&lt;$C$4,"Put","Call"),O163+$C$14,$C$4,$C$12*SQRT($C$7))-
2*_xll.qlBachelierBlackFormula(IF(O163&lt;$C$4,"Put","Call"),O163,$C$4,$C$12*SQRT($C$7))+
_xll.qlBachelierBlackFormula(IF(O163&lt;$C$4,"Put","Call"),O163-$C$14,$C$4,$C$12*SQRT($C$7)))/$C$14^2,"")</f>
        <v>123.24074508303362</v>
      </c>
      <c r="V163" s="61">
        <f>IFERROR(_xll.qlBachelierBlackFormulaImpliedVol(IF(O163&lt;$C$4,"Put","Call"),O163,$C$4,$C$7,P163),"")</f>
        <v>3.3777602203597435E-3</v>
      </c>
      <c r="W163" s="61">
        <f>IFERROR(_xll.qlBachelierBlackFormulaImpliedVol(IF(O163&lt;$C$4,"Put","Call"),O163,$C$4,$C$7,Q163),"")</f>
        <v>3.2570099703248582E-3</v>
      </c>
      <c r="X163" s="61">
        <f>IFERROR(_xll.qlBachelierBlackFormulaImpliedVol(IF(O163&lt;$C$4,"Put","Call"),O163,$C$4,$C$7,R163),"")</f>
        <v>3.1332853432887277E-3</v>
      </c>
      <c r="Y163" s="42"/>
    </row>
    <row r="164" spans="15:25">
      <c r="O164" s="37">
        <f t="shared" si="2"/>
        <v>5.8999999999999973E-3</v>
      </c>
      <c r="P164" s="38">
        <f>IFERROR(_xll.qlBlackFormula(IF(O164&lt;$C$4,"Put","Call"),O164,$C$4,$C$9*SQRT($C$7)),"")</f>
        <v>9.5654567057928898E-4</v>
      </c>
      <c r="Q164" s="39">
        <f>IFERROR(_xll.qlBlackFormula(IF(O164&lt;$C$4,"Put","Call"),O164,$C$4,$C$10*SQRT($C$7),,$C$11),"")</f>
        <v>9.0450976335332365E-4</v>
      </c>
      <c r="R164" s="40">
        <f>IFERROR(_xll.qlBachelierBlackFormula(IF(O164&lt;$C$4,"Put","Call"),O164,$C$4,$C$12*SQRT($C$7)),"")</f>
        <v>8.5121456225520668E-4</v>
      </c>
      <c r="S164" s="41">
        <f>IFERROR((_xll.qlBlackFormula(IF(O164&lt;$C$4,"Put","Call"),O164+$C$14,$C$4,$C$9*SQRT($C$7))-
2*_xll.qlBlackFormula(IF(O164&lt;$C$4,"Put","Call"),O164,$C$4,$C$9*SQRT($C$7))+
_xll.qlBlackFormula(IF(O164&lt;$C$4,"Put","Call"),O164-$C$14,$C$4,$C$9*SQRT($C$7)))/$C$14^2,"")</f>
        <v>89.762063016848856</v>
      </c>
      <c r="T164" s="42">
        <f>IFERROR((_xll.qlBlackFormula(IF(O164&lt;$C$4,"Put","Call"),O164+$C$14,$C$4,$C$10*SQRT($C$7),,$C$11)-
2*_xll.qlBlackFormula(IF(O164&lt;$C$4,"Put","Call"),O164,$C$4,$C$10*SQRT($C$7),,$C$11)+
_xll.qlBlackFormula(IF(O164&lt;$C$4,"Put","Call"),O164-$C$14,$C$4,$C$10*SQRT($C$7),,$C$11))/$C$14^2,"")</f>
        <v>106.00264112661795</v>
      </c>
      <c r="U164" s="43">
        <f>IFERROR((_xll.qlBachelierBlackFormula(IF(O164&lt;$C$4,"Put","Call"),O164+$C$14,$C$4,$C$12*SQRT($C$7))-
2*_xll.qlBachelierBlackFormula(IF(O164&lt;$C$4,"Put","Call"),O164,$C$4,$C$12*SQRT($C$7))+
_xll.qlBachelierBlackFormula(IF(O164&lt;$C$4,"Put","Call"),O164-$C$14,$C$4,$C$12*SQRT($C$7)))/$C$14^2,"")</f>
        <v>122.17832973636378</v>
      </c>
      <c r="V164" s="61">
        <f>IFERROR(_xll.qlBachelierBlackFormulaImpliedVol(IF(O164&lt;$C$4,"Put","Call"),O164,$C$4,$C$7,P164),"")</f>
        <v>3.4075184820533929E-3</v>
      </c>
      <c r="W164" s="61">
        <f>IFERROR(_xll.qlBachelierBlackFormulaImpliedVol(IF(O164&lt;$C$4,"Put","Call"),O164,$C$4,$C$7,Q164),"")</f>
        <v>3.2722591217251807E-3</v>
      </c>
      <c r="X164" s="61">
        <f>IFERROR(_xll.qlBachelierBlackFormulaImpliedVol(IF(O164&lt;$C$4,"Put","Call"),O164,$C$4,$C$7,R164),"")</f>
        <v>3.1332853432887334E-3</v>
      </c>
      <c r="Y164" s="42"/>
    </row>
    <row r="165" spans="15:25">
      <c r="O165" s="37">
        <f t="shared" si="2"/>
        <v>5.9999999999999975E-3</v>
      </c>
      <c r="P165" s="38">
        <f>IFERROR(_xll.qlBlackFormula(IF(O165&lt;$C$4,"Put","Call"),O165,$C$4,$C$9*SQRT($C$7)),"")</f>
        <v>9.2883862255447344E-4</v>
      </c>
      <c r="Q165" s="39">
        <f>IFERROR(_xll.qlBlackFormula(IF(O165&lt;$C$4,"Put","Call"),O165,$C$4,$C$10*SQRT($C$7),,$C$11),"")</f>
        <v>8.7172050297470213E-4</v>
      </c>
      <c r="R165" s="40">
        <f>IFERROR(_xll.qlBachelierBlackFormula(IF(O165&lt;$C$4,"Put","Call"),O165,$C$4,$C$12*SQRT($C$7)),"")</f>
        <v>8.1312705218750505E-4</v>
      </c>
      <c r="S165" s="41">
        <f>IFERROR((_xll.qlBlackFormula(IF(O165&lt;$C$4,"Put","Call"),O165+$C$14,$C$4,$C$9*SQRT($C$7))-
2*_xll.qlBlackFormula(IF(O165&lt;$C$4,"Put","Call"),O165,$C$4,$C$9*SQRT($C$7))+
_xll.qlBlackFormula(IF(O165&lt;$C$4,"Put","Call"),O165-$C$14,$C$4,$C$9*SQRT($C$7)))/$C$14^2,"")</f>
        <v>86.899673871695953</v>
      </c>
      <c r="T165" s="42">
        <f>IFERROR((_xll.qlBlackFormula(IF(O165&lt;$C$4,"Put","Call"),O165+$C$14,$C$4,$C$10*SQRT($C$7),,$C$11)-
2*_xll.qlBlackFormula(IF(O165&lt;$C$4,"Put","Call"),O165,$C$4,$C$10*SQRT($C$7),,$C$11)+
_xll.qlBlackFormula(IF(O165&lt;$C$4,"Put","Call"),O165-$C$14,$C$4,$C$10*SQRT($C$7),,$C$11))/$C$14^2,"")</f>
        <v>103.68871473237506</v>
      </c>
      <c r="U165" s="43">
        <f>IFERROR((_xll.qlBachelierBlackFormula(IF(O165&lt;$C$4,"Put","Call"),O165+$C$14,$C$4,$C$12*SQRT($C$7))-
2*_xll.qlBachelierBlackFormula(IF(O165&lt;$C$4,"Put","Call"),O165,$C$4,$C$12*SQRT($C$7))+
_xll.qlBachelierBlackFormula(IF(O165&lt;$C$4,"Put","Call"),O165-$C$14,$C$4,$C$12*SQRT($C$7)))/$C$14^2,"")</f>
        <v>121.00175820085185</v>
      </c>
      <c r="V165" s="61">
        <f>IFERROR(_xll.qlBachelierBlackFormulaImpliedVol(IF(O165&lt;$C$4,"Put","Call"),O165,$C$4,$C$7,P165),"")</f>
        <v>3.4371139276846647E-3</v>
      </c>
      <c r="W165" s="61">
        <f>IFERROR(_xll.qlBachelierBlackFormulaImpliedVol(IF(O165&lt;$C$4,"Put","Call"),O165,$C$4,$C$7,Q165),"")</f>
        <v>3.2874623932140305E-3</v>
      </c>
      <c r="X165" s="61">
        <f>IFERROR(_xll.qlBachelierBlackFormulaImpliedVol(IF(O165&lt;$C$4,"Put","Call"),O165,$C$4,$C$7,R165),"")</f>
        <v>3.1332853432887524E-3</v>
      </c>
      <c r="Y165" s="42"/>
    </row>
    <row r="166" spans="15:25">
      <c r="O166" s="37">
        <f t="shared" si="2"/>
        <v>6.0999999999999978E-3</v>
      </c>
      <c r="P166" s="38">
        <f>IFERROR(_xll.qlBlackFormula(IF(O166&lt;$C$4,"Put","Call"),O166,$C$4,$C$9*SQRT($C$7)),"")</f>
        <v>9.0200063733368195E-4</v>
      </c>
      <c r="Q166" s="39">
        <f>IFERROR(_xll.qlBlackFormula(IF(O166&lt;$C$4,"Put","Call"),O166,$C$4,$C$10*SQRT($C$7),,$C$11),"")</f>
        <v>8.3996811848649792E-4</v>
      </c>
      <c r="R166" s="40">
        <f>IFERROR(_xll.qlBachelierBlackFormula(IF(O166&lt;$C$4,"Put","Call"),O166,$C$4,$C$12*SQRT($C$7)),"")</f>
        <v>7.762494674667023E-4</v>
      </c>
      <c r="S166" s="41">
        <f>IFERROR((_xll.qlBlackFormula(IF(O166&lt;$C$4,"Put","Call"),O166+$C$14,$C$4,$C$9*SQRT($C$7))-
2*_xll.qlBlackFormula(IF(O166&lt;$C$4,"Put","Call"),O166,$C$4,$C$9*SQRT($C$7))+
_xll.qlBlackFormula(IF(O166&lt;$C$4,"Put","Call"),O166-$C$14,$C$4,$C$9*SQRT($C$7)))/$C$14^2,"")</f>
        <v>84.116558770469524</v>
      </c>
      <c r="T166" s="42">
        <f>IFERROR((_xll.qlBlackFormula(IF(O166&lt;$C$4,"Put","Call"),O166+$C$14,$C$4,$C$10*SQRT($C$7),,$C$11)-
2*_xll.qlBlackFormula(IF(O166&lt;$C$4,"Put","Call"),O166,$C$4,$C$10*SQRT($C$7),,$C$11)+
_xll.qlBlackFormula(IF(O166&lt;$C$4,"Put","Call"),O166-$C$14,$C$4,$C$10*SQRT($C$7),,$C$11))/$C$14^2,"")</f>
        <v>101.36127397489258</v>
      </c>
      <c r="U166" s="43">
        <f>IFERROR((_xll.qlBachelierBlackFormula(IF(O166&lt;$C$4,"Put","Call"),O166+$C$14,$C$4,$C$12*SQRT($C$7))-
2*_xll.qlBachelierBlackFormula(IF(O166&lt;$C$4,"Put","Call"),O166,$C$4,$C$12*SQRT($C$7))+
_xll.qlBachelierBlackFormula(IF(O166&lt;$C$4,"Put","Call"),O166-$C$14,$C$4,$C$12*SQRT($C$7)))/$C$14^2,"")</f>
        <v>119.71451401807803</v>
      </c>
      <c r="V166" s="61">
        <f>IFERROR(_xll.qlBachelierBlackFormulaImpliedVol(IF(O166&lt;$C$4,"Put","Call"),O166,$C$4,$C$7,P166),"")</f>
        <v>3.4665505879418355E-3</v>
      </c>
      <c r="W166" s="61">
        <f>IFERROR(_xll.qlBachelierBlackFormulaImpliedVol(IF(O166&lt;$C$4,"Put","Call"),O166,$C$4,$C$7,Q166),"")</f>
        <v>3.3026204071498321E-3</v>
      </c>
      <c r="X166" s="61">
        <f>IFERROR(_xll.qlBachelierBlackFormulaImpliedVol(IF(O166&lt;$C$4,"Put","Call"),O166,$C$4,$C$7,R166),"")</f>
        <v>3.1332853432887806E-3</v>
      </c>
      <c r="Y166" s="42"/>
    </row>
    <row r="167" spans="15:25">
      <c r="O167" s="37">
        <f t="shared" si="2"/>
        <v>6.199999999999998E-3</v>
      </c>
      <c r="P167" s="38">
        <f>IFERROR(_xll.qlBlackFormula(IF(O167&lt;$C$4,"Put","Call"),O167,$C$4,$C$9*SQRT($C$7)),"")</f>
        <v>8.760038833605919E-4</v>
      </c>
      <c r="Q167" s="39">
        <f>IFERROR(_xll.qlBlackFormula(IF(O167&lt;$C$4,"Put","Call"),O167,$C$4,$C$10*SQRT($C$7),,$C$11),"")</f>
        <v>8.0922933971877553E-4</v>
      </c>
      <c r="R167" s="40">
        <f>IFERROR(_xll.qlBachelierBlackFormula(IF(O167&lt;$C$4,"Put","Call"),O167,$C$4,$C$12*SQRT($C$7)),"")</f>
        <v>7.4056893881185859E-4</v>
      </c>
      <c r="S167" s="41">
        <f>IFERROR((_xll.qlBlackFormula(IF(O167&lt;$C$4,"Put","Call"),O167+$C$14,$C$4,$C$9*SQRT($C$7))-
2*_xll.qlBlackFormula(IF(O167&lt;$C$4,"Put","Call"),O167,$C$4,$C$9*SQRT($C$7))+
_xll.qlBlackFormula(IF(O167&lt;$C$4,"Put","Call"),O167-$C$14,$C$4,$C$9*SQRT($C$7)))/$C$14^2,"")</f>
        <v>81.412228087468506</v>
      </c>
      <c r="T167" s="42">
        <f>IFERROR((_xll.qlBlackFormula(IF(O167&lt;$C$4,"Put","Call"),O167+$C$14,$C$4,$C$10*SQRT($C$7),,$C$11)-
2*_xll.qlBlackFormula(IF(O167&lt;$C$4,"Put","Call"),O167,$C$4,$C$10*SQRT($C$7),,$C$11)+
_xll.qlBlackFormula(IF(O167&lt;$C$4,"Put","Call"),O167-$C$14,$C$4,$C$10*SQRT($C$7),,$C$11))/$C$14^2,"")</f>
        <v>99.025388149848183</v>
      </c>
      <c r="U167" s="43">
        <f>IFERROR((_xll.qlBachelierBlackFormula(IF(O167&lt;$C$4,"Put","Call"),O167+$C$14,$C$4,$C$12*SQRT($C$7))-
2*_xll.qlBachelierBlackFormula(IF(O167&lt;$C$4,"Put","Call"),O167,$C$4,$C$12*SQRT($C$7))+
_xll.qlBachelierBlackFormula(IF(O167&lt;$C$4,"Put","Call"),O167-$C$14,$C$4,$C$12*SQRT($C$7)))/$C$14^2,"")</f>
        <v>118.32038267992756</v>
      </c>
      <c r="V167" s="61">
        <f>IFERROR(_xll.qlBachelierBlackFormulaImpliedVol(IF(O167&lt;$C$4,"Put","Call"),O167,$C$4,$C$7,P167),"")</f>
        <v>3.4958323274027199E-3</v>
      </c>
      <c r="W167" s="61">
        <f>IFERROR(_xll.qlBachelierBlackFormulaImpliedVol(IF(O167&lt;$C$4,"Put","Call"),O167,$C$4,$C$7,Q167),"")</f>
        <v>3.3177337717463385E-3</v>
      </c>
      <c r="X167" s="61">
        <f>IFERROR(_xll.qlBachelierBlackFormulaImpliedVol(IF(O167&lt;$C$4,"Put","Call"),O167,$C$4,$C$7,R167),"")</f>
        <v>3.1332853432888092E-3</v>
      </c>
      <c r="Y167" s="42"/>
    </row>
    <row r="168" spans="15:25">
      <c r="O168" s="37">
        <f t="shared" si="2"/>
        <v>6.2999999999999983E-3</v>
      </c>
      <c r="P168" s="38">
        <f>IFERROR(_xll.qlBlackFormula(IF(O168&lt;$C$4,"Put","Call"),O168,$C$4,$C$9*SQRT($C$7)),"")</f>
        <v>8.5082131673485132E-4</v>
      </c>
      <c r="Q168" s="39">
        <f>IFERROR(_xll.qlBlackFormula(IF(O168&lt;$C$4,"Put","Call"),O168,$C$4,$C$10*SQRT($C$7),,$C$11),"")</f>
        <v>7.7948081179855322E-4</v>
      </c>
      <c r="R168" s="40">
        <f>IFERROR(_xll.qlBachelierBlackFormula(IF(O168&lt;$C$4,"Put","Call"),O168,$C$4,$C$12*SQRT($C$7)),"")</f>
        <v>7.060715283017376E-4</v>
      </c>
      <c r="S168" s="41">
        <f>IFERROR((_xll.qlBlackFormula(IF(O168&lt;$C$4,"Put","Call"),O168+$C$14,$C$4,$C$9*SQRT($C$7))-
2*_xll.qlBlackFormula(IF(O168&lt;$C$4,"Put","Call"),O168,$C$4,$C$9*SQRT($C$7))+
_xll.qlBlackFormula(IF(O168&lt;$C$4,"Put","Call"),O168-$C$14,$C$4,$C$9*SQRT($C$7)))/$C$14^2,"")</f>
        <v>78.785968851344265</v>
      </c>
      <c r="T168" s="42">
        <f>IFERROR((_xll.qlBlackFormula(IF(O168&lt;$C$4,"Put","Call"),O168+$C$14,$C$4,$C$10*SQRT($C$7),,$C$11)-
2*_xll.qlBlackFormula(IF(O168&lt;$C$4,"Put","Call"),O168,$C$4,$C$10*SQRT($C$7),,$C$11)+
_xll.qlBlackFormula(IF(O168&lt;$C$4,"Put","Call"),O168-$C$14,$C$4,$C$10*SQRT($C$7),,$C$11))/$C$14^2,"")</f>
        <v>96.685833384652085</v>
      </c>
      <c r="U168" s="43">
        <f>IFERROR((_xll.qlBachelierBlackFormula(IF(O168&lt;$C$4,"Put","Call"),O168+$C$14,$C$4,$C$12*SQRT($C$7))-
2*_xll.qlBachelierBlackFormula(IF(O168&lt;$C$4,"Put","Call"),O168,$C$4,$C$12*SQRT($C$7))+
_xll.qlBachelierBlackFormula(IF(O168&lt;$C$4,"Put","Call"),O168-$C$14,$C$4,$C$12*SQRT($C$7)))/$C$14^2,"")</f>
        <v>116.82343135401008</v>
      </c>
      <c r="V168" s="61">
        <f>IFERROR(_xll.qlBachelierBlackFormulaImpliedVol(IF(O168&lt;$C$4,"Put","Call"),O168,$C$4,$C$7,P168),"")</f>
        <v>3.5249628539882477E-3</v>
      </c>
      <c r="W168" s="61">
        <f>IFERROR(_xll.qlBachelierBlackFormulaImpliedVol(IF(O168&lt;$C$4,"Put","Call"),O168,$C$4,$C$7,Q168),"")</f>
        <v>3.332803081519647E-3</v>
      </c>
      <c r="X168" s="61">
        <f>IFERROR(_xll.qlBachelierBlackFormulaImpliedVol(IF(O168&lt;$C$4,"Put","Call"),O168,$C$4,$C$7,R168),"")</f>
        <v>3.1332853432888223E-3</v>
      </c>
      <c r="Y168" s="42"/>
    </row>
    <row r="169" spans="15:25">
      <c r="O169" s="37">
        <f t="shared" si="2"/>
        <v>6.3999999999999986E-3</v>
      </c>
      <c r="P169" s="38">
        <f>IFERROR(_xll.qlBlackFormula(IF(O169&lt;$C$4,"Put","Call"),O169,$C$4,$C$9*SQRT($C$7)),"")</f>
        <v>8.2642667408861555E-4</v>
      </c>
      <c r="Q169" s="39">
        <f>IFERROR(_xll.qlBlackFormula(IF(O169&lt;$C$4,"Put","Call"),O169,$C$4,$C$10*SQRT($C$7),,$C$11),"")</f>
        <v>7.5069914289818728E-4</v>
      </c>
      <c r="R169" s="40">
        <f>IFERROR(_xll.qlBachelierBlackFormula(IF(O169&lt;$C$4,"Put","Call"),O169,$C$4,$C$12*SQRT($C$7)),"")</f>
        <v>6.7274227002715823E-4</v>
      </c>
      <c r="S169" s="41">
        <f>IFERROR((_xll.qlBlackFormula(IF(O169&lt;$C$4,"Put","Call"),O169+$C$14,$C$4,$C$9*SQRT($C$7))-
2*_xll.qlBlackFormula(IF(O169&lt;$C$4,"Put","Call"),O169,$C$4,$C$9*SQRT($C$7))+
_xll.qlBlackFormula(IF(O169&lt;$C$4,"Put","Call"),O169-$C$14,$C$4,$C$9*SQRT($C$7)))/$C$14^2,"")</f>
        <v>76.236868163867541</v>
      </c>
      <c r="T169" s="42">
        <f>IFERROR((_xll.qlBlackFormula(IF(O169&lt;$C$4,"Put","Call"),O169+$C$14,$C$4,$C$10*SQRT($C$7),,$C$11)-
2*_xll.qlBlackFormula(IF(O169&lt;$C$4,"Put","Call"),O169,$C$4,$C$10*SQRT($C$7),,$C$11)+
_xll.qlBlackFormula(IF(O169&lt;$C$4,"Put","Call"),O169-$C$14,$C$4,$C$10*SQRT($C$7),,$C$11))/$C$14^2,"")</f>
        <v>94.347092204766227</v>
      </c>
      <c r="U169" s="43">
        <f>IFERROR((_xll.qlBachelierBlackFormula(IF(O169&lt;$C$4,"Put","Call"),O169+$C$14,$C$4,$C$12*SQRT($C$7))-
2*_xll.qlBachelierBlackFormula(IF(O169&lt;$C$4,"Put","Call"),O169,$C$4,$C$12*SQRT($C$7))+
_xll.qlBachelierBlackFormula(IF(O169&lt;$C$4,"Put","Call"),O169-$C$14,$C$4,$C$12*SQRT($C$7)))/$C$14^2,"")</f>
        <v>115.22798893433966</v>
      </c>
      <c r="V169" s="61">
        <f>IFERROR(_xll.qlBachelierBlackFormulaImpliedVol(IF(O169&lt;$C$4,"Put","Call"),O169,$C$4,$C$7,P169),"")</f>
        <v>3.5539457277351792E-3</v>
      </c>
      <c r="W169" s="61">
        <f>IFERROR(_xll.qlBachelierBlackFormulaImpliedVol(IF(O169&lt;$C$4,"Put","Call"),O169,$C$4,$C$7,Q169),"")</f>
        <v>3.3478289177171993E-3</v>
      </c>
      <c r="X169" s="61">
        <f>IFERROR(_xll.qlBachelierBlackFormulaImpliedVol(IF(O169&lt;$C$4,"Put","Call"),O169,$C$4,$C$7,R169),"")</f>
        <v>3.1332853432888153E-3</v>
      </c>
      <c r="Y169" s="42"/>
    </row>
    <row r="170" spans="15:25">
      <c r="O170" s="37">
        <f t="shared" si="2"/>
        <v>6.4999999999999988E-3</v>
      </c>
      <c r="P170" s="38">
        <f>IFERROR(_xll.qlBlackFormula(IF(O170&lt;$C$4,"Put","Call"),O170,$C$4,$C$9*SQRT($C$7)),"")</f>
        <v>8.0279446352133407E-4</v>
      </c>
      <c r="Q170" s="39">
        <f>IFERROR(_xll.qlBlackFormula(IF(O170&lt;$C$4,"Put","Call"),O170,$C$4,$C$10*SQRT($C$7),,$C$11),"")</f>
        <v>7.2286094910972752E-4</v>
      </c>
      <c r="R170" s="40">
        <f>IFERROR(_xll.qlBachelierBlackFormula(IF(O170&lt;$C$4,"Put","Call"),O170,$C$4,$C$12*SQRT($C$7)),"")</f>
        <v>6.4056521336948284E-4</v>
      </c>
      <c r="S170" s="41">
        <f>IFERROR((_xll.qlBlackFormula(IF(O170&lt;$C$4,"Put","Call"),O170+$C$14,$C$4,$C$9*SQRT($C$7))-
2*_xll.qlBlackFormula(IF(O170&lt;$C$4,"Put","Call"),O170,$C$4,$C$9*SQRT($C$7))+
_xll.qlBlackFormula(IF(O170&lt;$C$4,"Put","Call"),O170-$C$14,$C$4,$C$9*SQRT($C$7)))/$C$14^2,"")</f>
        <v>73.763852881728042</v>
      </c>
      <c r="T170" s="42">
        <f>IFERROR((_xll.qlBlackFormula(IF(O170&lt;$C$4,"Put","Call"),O170+$C$14,$C$4,$C$10*SQRT($C$7),,$C$11)-
2*_xll.qlBlackFormula(IF(O170&lt;$C$4,"Put","Call"),O170,$C$4,$C$10*SQRT($C$7),,$C$11)+
_xll.qlBlackFormula(IF(O170&lt;$C$4,"Put","Call"),O170-$C$14,$C$4,$C$10*SQRT($C$7),,$C$11))/$C$14^2,"")</f>
        <v>92.013370447258112</v>
      </c>
      <c r="U170" s="43">
        <f>IFERROR((_xll.qlBachelierBlackFormula(IF(O170&lt;$C$4,"Put","Call"),O170+$C$14,$C$4,$C$12*SQRT($C$7))-
2*_xll.qlBachelierBlackFormula(IF(O170&lt;$C$4,"Put","Call"),O170,$C$4,$C$12*SQRT($C$7))+
_xll.qlBachelierBlackFormula(IF(O170&lt;$C$4,"Put","Call"),O170-$C$14,$C$4,$C$12*SQRT($C$7)))/$C$14^2,"")</f>
        <v>113.53862576675422</v>
      </c>
      <c r="V170" s="61">
        <f>IFERROR(_xll.qlBachelierBlackFormulaImpliedVol(IF(O170&lt;$C$4,"Put","Call"),O170,$C$4,$C$7,P170),"")</f>
        <v>3.5827843689469193E-3</v>
      </c>
      <c r="W170" s="61">
        <f>IFERROR(_xll.qlBachelierBlackFormulaImpliedVol(IF(O170&lt;$C$4,"Put","Call"),O170,$C$4,$C$7,Q170),"")</f>
        <v>3.3628118487296164E-3</v>
      </c>
      <c r="X170" s="61">
        <f>IFERROR(_xll.qlBachelierBlackFormulaImpliedVol(IF(O170&lt;$C$4,"Put","Call"),O170,$C$4,$C$7,R170),"")</f>
        <v>3.1332853432887832E-3</v>
      </c>
      <c r="Y170" s="42"/>
    </row>
    <row r="171" spans="15:25">
      <c r="O171" s="37">
        <f t="shared" si="2"/>
        <v>6.5999999999999991E-3</v>
      </c>
      <c r="P171" s="38">
        <f>IFERROR(_xll.qlBlackFormula(IF(O171&lt;$C$4,"Put","Call"),O171,$C$4,$C$9*SQRT($C$7)),"")</f>
        <v>7.7989995388278452E-4</v>
      </c>
      <c r="Q171" s="39">
        <f>IFERROR(_xll.qlBlackFormula(IF(O171&lt;$C$4,"Put","Call"),O171,$C$4,$C$10*SQRT($C$7),,$C$11),"")</f>
        <v>6.9594289648605484E-4</v>
      </c>
      <c r="R171" s="40">
        <f>IFERROR(_xll.qlBachelierBlackFormula(IF(O171&lt;$C$4,"Put","Call"),O171,$C$4,$C$12*SQRT($C$7)),"")</f>
        <v>6.095234686969834E-4</v>
      </c>
      <c r="S171" s="41">
        <f>IFERROR((_xll.qlBlackFormula(IF(O171&lt;$C$4,"Put","Call"),O171+$C$14,$C$4,$C$9*SQRT($C$7))-
2*_xll.qlBlackFormula(IF(O171&lt;$C$4,"Put","Call"),O171,$C$4,$C$9*SQRT($C$7))+
_xll.qlBlackFormula(IF(O171&lt;$C$4,"Put","Call"),O171-$C$14,$C$4,$C$9*SQRT($C$7)))/$C$14^2,"")</f>
        <v>71.36571368582257</v>
      </c>
      <c r="T171" s="42">
        <f>IFERROR((_xll.qlBlackFormula(IF(O171&lt;$C$4,"Put","Call"),O171+$C$14,$C$4,$C$10*SQRT($C$7),,$C$11)-
2*_xll.qlBlackFormula(IF(O171&lt;$C$4,"Put","Call"),O171,$C$4,$C$10*SQRT($C$7),,$C$11)+
_xll.qlBlackFormula(IF(O171&lt;$C$4,"Put","Call"),O171-$C$14,$C$4,$C$10*SQRT($C$7),,$C$11))/$C$14^2,"")</f>
        <v>89.688593357672985</v>
      </c>
      <c r="U171" s="43">
        <f>IFERROR((_xll.qlBachelierBlackFormula(IF(O171&lt;$C$4,"Put","Call"),O171+$C$14,$C$4,$C$12*SQRT($C$7))-
2*_xll.qlBachelierBlackFormula(IF(O171&lt;$C$4,"Put","Call"),O171,$C$4,$C$12*SQRT($C$7))+
_xll.qlBachelierBlackFormula(IF(O171&lt;$C$4,"Put","Call"),O171-$C$14,$C$4,$C$12*SQRT($C$7)))/$C$14^2,"")</f>
        <v>111.76013565115939</v>
      </c>
      <c r="V171" s="61">
        <f>IFERROR(_xll.qlBachelierBlackFormulaImpliedVol(IF(O171&lt;$C$4,"Put","Call"),O171,$C$4,$C$7,P171),"")</f>
        <v>3.6114820657754377E-3</v>
      </c>
      <c r="W171" s="61">
        <f>IFERROR(_xll.qlBachelierBlackFormulaImpliedVol(IF(O171&lt;$C$4,"Put","Call"),O171,$C$4,$C$7,Q171),"")</f>
        <v>3.377752430486308E-3</v>
      </c>
      <c r="X171" s="61">
        <f>IFERROR(_xll.qlBachelierBlackFormulaImpliedVol(IF(O171&lt;$C$4,"Put","Call"),O171,$C$4,$C$7,R171),"")</f>
        <v>3.1332853432887286E-3</v>
      </c>
      <c r="Y171" s="42"/>
    </row>
    <row r="172" spans="15:25">
      <c r="O172" s="37">
        <f t="shared" si="2"/>
        <v>6.6999999999999994E-3</v>
      </c>
      <c r="P172" s="38">
        <f>IFERROR(_xll.qlBlackFormula(IF(O172&lt;$C$4,"Put","Call"),O172,$C$4,$C$9*SQRT($C$7)),"")</f>
        <v>7.5771916266268238E-4</v>
      </c>
      <c r="Q172" s="39">
        <f>IFERROR(_xll.qlBlackFormula(IF(O172&lt;$C$4,"Put","Call"),O172,$C$4,$C$10*SQRT($C$7),,$C$11),"")</f>
        <v>6.6992174030013844E-4</v>
      </c>
      <c r="R172" s="40">
        <f>IFERROR(_xll.qlBachelierBlackFormula(IF(O172&lt;$C$4,"Put","Call"),O172,$C$4,$C$12*SQRT($C$7)),"")</f>
        <v>5.7959925526135045E-4</v>
      </c>
      <c r="S172" s="41">
        <f>IFERROR((_xll.qlBlackFormula(IF(O172&lt;$C$4,"Put","Call"),O172+$C$14,$C$4,$C$9*SQRT($C$7))-
2*_xll.qlBlackFormula(IF(O172&lt;$C$4,"Put","Call"),O172,$C$4,$C$9*SQRT($C$7))+
_xll.qlBlackFormula(IF(O172&lt;$C$4,"Put","Call"),O172-$C$14,$C$4,$C$9*SQRT($C$7)))/$C$14^2,"")</f>
        <v>69.041118308521561</v>
      </c>
      <c r="T172" s="42">
        <f>IFERROR((_xll.qlBlackFormula(IF(O172&lt;$C$4,"Put","Call"),O172+$C$14,$C$4,$C$10*SQRT($C$7),,$C$11)-
2*_xll.qlBlackFormula(IF(O172&lt;$C$4,"Put","Call"),O172,$C$4,$C$10*SQRT($C$7),,$C$11)+
_xll.qlBlackFormula(IF(O172&lt;$C$4,"Put","Call"),O172-$C$14,$C$4,$C$10*SQRT($C$7),,$C$11))/$C$14^2,"")</f>
        <v>87.376414697332152</v>
      </c>
      <c r="U172" s="43">
        <f>IFERROR((_xll.qlBachelierBlackFormula(IF(O172&lt;$C$4,"Put","Call"),O172+$C$14,$C$4,$C$12*SQRT($C$7))-
2*_xll.qlBachelierBlackFormula(IF(O172&lt;$C$4,"Put","Call"),O172,$C$4,$C$12*SQRT($C$7))+
_xll.qlBachelierBlackFormula(IF(O172&lt;$C$4,"Put","Call"),O172-$C$14,$C$4,$C$12*SQRT($C$7)))/$C$14^2,"")</f>
        <v>109.8975052670273</v>
      </c>
      <c r="V172" s="61">
        <f>IFERROR(_xll.qlBachelierBlackFormulaImpliedVol(IF(O172&lt;$C$4,"Put","Call"),O172,$C$4,$C$7,P172),"")</f>
        <v>3.6400419812821537E-3</v>
      </c>
      <c r="W172" s="61">
        <f>IFERROR(_xll.qlBachelierBlackFormulaImpliedVol(IF(O172&lt;$C$4,"Put","Call"),O172,$C$4,$C$7,Q172),"")</f>
        <v>3.3926512068355183E-3</v>
      </c>
      <c r="X172" s="61">
        <f>IFERROR(_xll.qlBachelierBlackFormulaImpliedVol(IF(O172&lt;$C$4,"Put","Call"),O172,$C$4,$C$7,R172),"")</f>
        <v>3.1332853432886674E-3</v>
      </c>
      <c r="Y172" s="42"/>
    </row>
    <row r="173" spans="15:25">
      <c r="O173" s="37">
        <f t="shared" si="2"/>
        <v>6.7999999999999996E-3</v>
      </c>
      <c r="P173" s="38">
        <f>IFERROR(_xll.qlBlackFormula(IF(O173&lt;$C$4,"Put","Call"),O173,$C$4,$C$9*SQRT($C$7)),"")</f>
        <v>7.3622884271658728E-4</v>
      </c>
      <c r="Q173" s="39">
        <f>IFERROR(_xll.qlBlackFormula(IF(O173&lt;$C$4,"Put","Call"),O173,$C$4,$C$10*SQRT($C$7),,$C$11),"")</f>
        <v>6.4477436158300646E-4</v>
      </c>
      <c r="R173" s="40">
        <f>IFERROR(_xll.qlBachelierBlackFormula(IF(O173&lt;$C$4,"Put","Call"),O173,$C$4,$C$12*SQRT($C$7)),"")</f>
        <v>5.507739510685585E-4</v>
      </c>
      <c r="S173" s="41">
        <f>IFERROR((_xll.qlBlackFormula(IF(O173&lt;$C$4,"Put","Call"),O173+$C$14,$C$4,$C$9*SQRT($C$7))-
2*_xll.qlBlackFormula(IF(O173&lt;$C$4,"Put","Call"),O173,$C$4,$C$9*SQRT($C$7))+
_xll.qlBlackFormula(IF(O173&lt;$C$4,"Put","Call"),O173-$C$14,$C$4,$C$9*SQRT($C$7)))/$C$14^2,"")</f>
        <v>66.788642325010812</v>
      </c>
      <c r="T173" s="42">
        <f>IFERROR((_xll.qlBlackFormula(IF(O173&lt;$C$4,"Put","Call"),O173+$C$14,$C$4,$C$10*SQRT($C$7),,$C$11)-
2*_xll.qlBlackFormula(IF(O173&lt;$C$4,"Put","Call"),O173,$C$4,$C$10*SQRT($C$7),,$C$11)+
_xll.qlBlackFormula(IF(O173&lt;$C$4,"Put","Call"),O173-$C$14,$C$4,$C$10*SQRT($C$7),,$C$11))/$C$14^2,"")</f>
        <v>85.080220212779835</v>
      </c>
      <c r="U173" s="43">
        <f>IFERROR((_xll.qlBachelierBlackFormula(IF(O173&lt;$C$4,"Put","Call"),O173+$C$14,$C$4,$C$12*SQRT($C$7))-
2*_xll.qlBachelierBlackFormula(IF(O173&lt;$C$4,"Put","Call"),O173,$C$4,$C$12*SQRT($C$7))+
_xll.qlBachelierBlackFormula(IF(O173&lt;$C$4,"Put","Call"),O173-$C$14,$C$4,$C$12*SQRT($C$7)))/$C$14^2,"")</f>
        <v>107.95590029560876</v>
      </c>
      <c r="V173" s="61">
        <f>IFERROR(_xll.qlBachelierBlackFormulaImpliedVol(IF(O173&lt;$C$4,"Put","Call"),O173,$C$4,$C$7,P173),"")</f>
        <v>3.6684671600207509E-3</v>
      </c>
      <c r="W173" s="61">
        <f>IFERROR(_xll.qlBachelierBlackFormulaImpliedVol(IF(O173&lt;$C$4,"Put","Call"),O173,$C$4,$C$7,Q173),"")</f>
        <v>3.4075087099096129E-3</v>
      </c>
      <c r="X173" s="61">
        <f>IFERROR(_xll.qlBachelierBlackFormulaImpliedVol(IF(O173&lt;$C$4,"Put","Call"),O173,$C$4,$C$7,R173),"")</f>
        <v>3.133285343288618E-3</v>
      </c>
      <c r="Y173" s="42"/>
    </row>
    <row r="174" spans="15:25">
      <c r="O174" s="37">
        <f t="shared" si="2"/>
        <v>6.8999999999999999E-3</v>
      </c>
      <c r="P174" s="38">
        <f>IFERROR(_xll.qlBlackFormula(IF(O174&lt;$C$4,"Put","Call"),O174,$C$4,$C$9*SQRT($C$7)),"")</f>
        <v>7.1540646803207883E-4</v>
      </c>
      <c r="Q174" s="39">
        <f>IFERROR(_xll.qlBlackFormula(IF(O174&lt;$C$4,"Put","Call"),O174,$C$4,$C$10*SQRT($C$7),,$C$11),"")</f>
        <v>6.2047780100892534E-4</v>
      </c>
      <c r="R174" s="40">
        <f>IFERROR(_xll.qlBachelierBlackFormula(IF(O174&lt;$C$4,"Put","Call"),O174,$C$4,$C$12*SQRT($C$7)),"")</f>
        <v>5.230281444917811E-4</v>
      </c>
      <c r="S174" s="41">
        <f>IFERROR((_xll.qlBlackFormula(IF(O174&lt;$C$4,"Put","Call"),O174+$C$14,$C$4,$C$9*SQRT($C$7))-
2*_xll.qlBlackFormula(IF(O174&lt;$C$4,"Put","Call"),O174,$C$4,$C$9*SQRT($C$7))+
_xll.qlBlackFormula(IF(O174&lt;$C$4,"Put","Call"),O174-$C$14,$C$4,$C$9*SQRT($C$7)))/$C$14^2,"")</f>
        <v>64.606782163717511</v>
      </c>
      <c r="T174" s="42">
        <f>IFERROR((_xll.qlBlackFormula(IF(O174&lt;$C$4,"Put","Call"),O174+$C$14,$C$4,$C$10*SQRT($C$7),,$C$11)-
2*_xll.qlBlackFormula(IF(O174&lt;$C$4,"Put","Call"),O174,$C$4,$C$10*SQRT($C$7),,$C$11)+
_xll.qlBlackFormula(IF(O174&lt;$C$4,"Put","Call"),O174-$C$14,$C$4,$C$10*SQRT($C$7),,$C$11))/$C$14^2,"")</f>
        <v>82.803142814613651</v>
      </c>
      <c r="U174" s="43">
        <f>IFERROR((_xll.qlBachelierBlackFormula(IF(O174&lt;$C$4,"Put","Call"),O174+$C$14,$C$4,$C$12*SQRT($C$7))-
2*_xll.qlBachelierBlackFormula(IF(O174&lt;$C$4,"Put","Call"),O174,$C$4,$C$12*SQRT($C$7))+
_xll.qlBachelierBlackFormula(IF(O174&lt;$C$4,"Put","Call"),O174-$C$14,$C$4,$C$12*SQRT($C$7)))/$C$14^2,"")</f>
        <v>105.94063170124568</v>
      </c>
      <c r="V174" s="61">
        <f>IFERROR(_xll.qlBachelierBlackFormulaImpliedVol(IF(O174&lt;$C$4,"Put","Call"),O174,$C$4,$C$7,P174),"")</f>
        <v>3.6967605341810192E-3</v>
      </c>
      <c r="W174" s="61">
        <f>IFERROR(_xll.qlBachelierBlackFormulaImpliedVol(IF(O174&lt;$C$4,"Put","Call"),O174,$C$4,$C$7,Q174),"")</f>
        <v>3.4223254604762829E-3</v>
      </c>
      <c r="X174" s="61">
        <f>IFERROR(_xll.qlBachelierBlackFormulaImpliedVol(IF(O174&lt;$C$4,"Put","Call"),O174,$C$4,$C$7,R174),"")</f>
        <v>3.1332853432886011E-3</v>
      </c>
      <c r="Y174" s="42"/>
    </row>
    <row r="175" spans="15:25">
      <c r="O175" s="37">
        <f t="shared" si="2"/>
        <v>7.0000000000000001E-3</v>
      </c>
      <c r="P175" s="38">
        <f>IFERROR(_xll.qlBlackFormula(IF(O175&lt;$C$4,"Put","Call"),O175,$C$4,$C$9*SQRT($C$7)),"")</f>
        <v>6.9523021871596767E-4</v>
      </c>
      <c r="Q175" s="39">
        <f>IFERROR(_xll.qlBlackFormula(IF(O175&lt;$C$4,"Put","Call"),O175,$C$4,$C$10*SQRT($C$7),,$C$11),"")</f>
        <v>5.9700929020300173E-4</v>
      </c>
      <c r="R175" s="40">
        <f>IFERROR(_xll.qlBachelierBlackFormula(IF(O175&lt;$C$4,"Put","Call"),O175,$C$4,$C$12*SQRT($C$7)),"")</f>
        <v>4.9634168738898468E-4</v>
      </c>
      <c r="S175" s="41">
        <f>IFERROR((_xll.qlBlackFormula(IF(O175&lt;$C$4,"Put","Call"),O175+$C$14,$C$4,$C$9*SQRT($C$7))-
2*_xll.qlBlackFormula(IF(O175&lt;$C$4,"Put","Call"),O175,$C$4,$C$9*SQRT($C$7))+
_xll.qlBlackFormula(IF(O175&lt;$C$4,"Put","Call"),O175-$C$14,$C$4,$C$9*SQRT($C$7)))/$C$14^2,"")</f>
        <v>62.493977224034602</v>
      </c>
      <c r="T175" s="42">
        <f>IFERROR((_xll.qlBlackFormula(IF(O175&lt;$C$4,"Put","Call"),O175+$C$14,$C$4,$C$10*SQRT($C$7),,$C$11)-
2*_xll.qlBlackFormula(IF(O175&lt;$C$4,"Put","Call"),O175,$C$4,$C$10*SQRT($C$7),,$C$11)+
_xll.qlBlackFormula(IF(O175&lt;$C$4,"Put","Call"),O175-$C$14,$C$4,$C$10*SQRT($C$7),,$C$11))/$C$14^2,"")</f>
        <v>80.548062577484586</v>
      </c>
      <c r="U175" s="43">
        <f>IFERROR((_xll.qlBachelierBlackFormula(IF(O175&lt;$C$4,"Put","Call"),O175+$C$14,$C$4,$C$12*SQRT($C$7))-
2*_xll.qlBachelierBlackFormula(IF(O175&lt;$C$4,"Put","Call"),O175,$C$4,$C$12*SQRT($C$7))+
_xll.qlBachelierBlackFormula(IF(O175&lt;$C$4,"Put","Call"),O175-$C$14,$C$4,$C$12*SQRT($C$7)))/$C$14^2,"")</f>
        <v>103.85714304620569</v>
      </c>
      <c r="V175" s="61">
        <f>IFERROR(_xll.qlBachelierBlackFormulaImpliedVol(IF(O175&lt;$C$4,"Put","Call"),O175,$C$4,$C$7,P175),"")</f>
        <v>3.7249249293288774E-3</v>
      </c>
      <c r="W175" s="61">
        <f>IFERROR(_xll.qlBachelierBlackFormulaImpliedVol(IF(O175&lt;$C$4,"Put","Call"),O175,$C$4,$C$7,Q175),"")</f>
        <v>3.4371019682763173E-3</v>
      </c>
      <c r="X175" s="61">
        <f>IFERROR(_xll.qlBachelierBlackFormulaImpliedVol(IF(O175&lt;$C$4,"Put","Call"),O175,$C$4,$C$7,R175),"")</f>
        <v>3.1332853432886314E-3</v>
      </c>
      <c r="Y175" s="42"/>
    </row>
    <row r="176" spans="15:25">
      <c r="O176" s="37">
        <f t="shared" si="2"/>
        <v>7.1000000000000004E-3</v>
      </c>
      <c r="P176" s="38">
        <f>IFERROR(_xll.qlBlackFormula(IF(O176&lt;$C$4,"Put","Call"),O176,$C$4,$C$9*SQRT($C$7)),"")</f>
        <v>6.7567896536242832E-4</v>
      </c>
      <c r="Q176" s="39">
        <f>IFERROR(_xll.qlBlackFormula(IF(O176&lt;$C$4,"Put","Call"),O176,$C$4,$C$10*SQRT($C$7),,$C$11),"")</f>
        <v>5.7434628055202681E-4</v>
      </c>
      <c r="R176" s="40">
        <f>IFERROR(_xll.qlBachelierBlackFormula(IF(O176&lt;$C$4,"Put","Call"),O176,$C$4,$C$12*SQRT($C$7)),"")</f>
        <v>4.7069374948434102E-4</v>
      </c>
      <c r="S176" s="41">
        <f>IFERROR((_xll.qlBlackFormula(IF(O176&lt;$C$4,"Put","Call"),O176+$C$14,$C$4,$C$9*SQRT($C$7))-
2*_xll.qlBlackFormula(IF(O176&lt;$C$4,"Put","Call"),O176,$C$4,$C$9*SQRT($C$7))+
_xll.qlBlackFormula(IF(O176&lt;$C$4,"Put","Call"),O176-$C$14,$C$4,$C$9*SQRT($C$7)))/$C$14^2,"")</f>
        <v>60.448610960522899</v>
      </c>
      <c r="T176" s="42">
        <f>IFERROR((_xll.qlBlackFormula(IF(O176&lt;$C$4,"Put","Call"),O176+$C$14,$C$4,$C$10*SQRT($C$7),,$C$11)-
2*_xll.qlBlackFormula(IF(O176&lt;$C$4,"Put","Call"),O176,$C$4,$C$10*SQRT($C$7),,$C$11)+
_xll.qlBlackFormula(IF(O176&lt;$C$4,"Put","Call"),O176-$C$14,$C$4,$C$10*SQRT($C$7),,$C$11))/$C$14^2,"")</f>
        <v>78.317617148437876</v>
      </c>
      <c r="U176" s="43">
        <f>IFERROR((_xll.qlBachelierBlackFormula(IF(O176&lt;$C$4,"Put","Call"),O176+$C$14,$C$4,$C$12*SQRT($C$7))-
2*_xll.qlBachelierBlackFormula(IF(O176&lt;$C$4,"Put","Call"),O176,$C$4,$C$12*SQRT($C$7))+
_xll.qlBachelierBlackFormula(IF(O176&lt;$C$4,"Put","Call"),O176-$C$14,$C$4,$C$12*SQRT($C$7)))/$C$14^2,"")</f>
        <v>101.71097373622845</v>
      </c>
      <c r="V176" s="61">
        <f>IFERROR(_xll.qlBachelierBlackFormulaImpliedVol(IF(O176&lt;$C$4,"Put","Call"),O176,$C$4,$C$7,P176),"")</f>
        <v>3.7529630697746242E-3</v>
      </c>
      <c r="W176" s="61">
        <f>IFERROR(_xll.qlBachelierBlackFormulaImpliedVol(IF(O176&lt;$C$4,"Put","Call"),O176,$C$4,$C$7,Q176),"")</f>
        <v>3.451838732348592E-3</v>
      </c>
      <c r="X176" s="61">
        <f>IFERROR(_xll.qlBachelierBlackFormulaImpliedVol(IF(O176&lt;$C$4,"Put","Call"),O176,$C$4,$C$7,R176),"")</f>
        <v>3.1332853432887134E-3</v>
      </c>
      <c r="Y176" s="42"/>
    </row>
    <row r="177" spans="15:25">
      <c r="O177" s="37">
        <f t="shared" si="2"/>
        <v>7.2000000000000007E-3</v>
      </c>
      <c r="P177" s="38">
        <f>IFERROR(_xll.qlBlackFormula(IF(O177&lt;$C$4,"Put","Call"),O177,$C$4,$C$9*SQRT($C$7)),"")</f>
        <v>6.567322529431709E-4</v>
      </c>
      <c r="Q177" s="39">
        <f>IFERROR(_xll.qlBlackFormula(IF(O177&lt;$C$4,"Put","Call"),O177,$C$4,$C$10*SQRT($C$7),,$C$11),"")</f>
        <v>5.524664696039479E-4</v>
      </c>
      <c r="R177" s="40">
        <f>IFERROR(_xll.qlBachelierBlackFormula(IF(O177&lt;$C$4,"Put","Call"),O177,$C$4,$C$12*SQRT($C$7)),"")</f>
        <v>4.4606287377057055E-4</v>
      </c>
      <c r="S177" s="41">
        <f>IFERROR((_xll.qlBlackFormula(IF(O177&lt;$C$4,"Put","Call"),O177+$C$14,$C$4,$C$9*SQRT($C$7))-
2*_xll.qlBlackFormula(IF(O177&lt;$C$4,"Put","Call"),O177,$C$4,$C$9*SQRT($C$7))+
_xll.qlBlackFormula(IF(O177&lt;$C$4,"Put","Call"),O177-$C$14,$C$4,$C$9*SQRT($C$7)))/$C$14^2,"")</f>
        <v>58.469037771125002</v>
      </c>
      <c r="T177" s="42">
        <f>IFERROR((_xll.qlBlackFormula(IF(O177&lt;$C$4,"Put","Call"),O177+$C$14,$C$4,$C$10*SQRT($C$7),,$C$11)-
2*_xll.qlBlackFormula(IF(O177&lt;$C$4,"Put","Call"),O177,$C$4,$C$10*SQRT($C$7),,$C$11)+
_xll.qlBlackFormula(IF(O177&lt;$C$4,"Put","Call"),O177-$C$14,$C$4,$C$10*SQRT($C$7),,$C$11))/$C$14^2,"")</f>
        <v>76.114212588934691</v>
      </c>
      <c r="U177" s="43">
        <f>IFERROR((_xll.qlBachelierBlackFormula(IF(O177&lt;$C$4,"Put","Call"),O177+$C$14,$C$4,$C$12*SQRT($C$7))-
2*_xll.qlBachelierBlackFormula(IF(O177&lt;$C$4,"Put","Call"),O177,$C$4,$C$12*SQRT($C$7))+
_xll.qlBachelierBlackFormula(IF(O177&lt;$C$4,"Put","Call"),O177-$C$14,$C$4,$C$12*SQRT($C$7)))/$C$14^2,"")</f>
        <v>99.507745034317637</v>
      </c>
      <c r="V177" s="61">
        <f>IFERROR(_xll.qlBachelierBlackFormulaImpliedVol(IF(O177&lt;$C$4,"Put","Call"),O177,$C$4,$C$7,P177),"")</f>
        <v>3.7808775835983257E-3</v>
      </c>
      <c r="W177" s="61">
        <f>IFERROR(_xll.qlBachelierBlackFormulaImpliedVol(IF(O177&lt;$C$4,"Put","Call"),O177,$C$4,$C$7,Q177),"")</f>
        <v>3.4665362413428208E-3</v>
      </c>
      <c r="X177" s="61">
        <f>IFERROR(_xll.qlBachelierBlackFormulaImpliedVol(IF(O177&lt;$C$4,"Put","Call"),O177,$C$4,$C$7,R177),"")</f>
        <v>3.1332853432888331E-3</v>
      </c>
      <c r="Y177" s="42"/>
    </row>
    <row r="178" spans="15:25">
      <c r="O178" s="37">
        <f t="shared" si="2"/>
        <v>7.3000000000000009E-3</v>
      </c>
      <c r="P178" s="38">
        <f>IFERROR(_xll.qlBlackFormula(IF(O178&lt;$C$4,"Put","Call"),O178,$C$4,$C$9*SQRT($C$7)),"")</f>
        <v>6.3837028434396274E-4</v>
      </c>
      <c r="Q178" s="39">
        <f>IFERROR(_xll.qlBlackFormula(IF(O178&lt;$C$4,"Put","Call"),O178,$C$4,$C$10*SQRT($C$7),,$C$11),"")</f>
        <v>5.3134782514498982E-4</v>
      </c>
      <c r="R178" s="40">
        <f>IFERROR(_xll.qlBachelierBlackFormula(IF(O178&lt;$C$4,"Put","Call"),O178,$C$4,$C$12*SQRT($C$7)),"")</f>
        <v>4.2242703268886763E-4</v>
      </c>
      <c r="S178" s="41">
        <f>IFERROR((_xll.qlBlackFormula(IF(O178&lt;$C$4,"Put","Call"),O178+$C$14,$C$4,$C$9*SQRT($C$7))-
2*_xll.qlBlackFormula(IF(O178&lt;$C$4,"Put","Call"),O178,$C$4,$C$9*SQRT($C$7))+
_xll.qlBlackFormula(IF(O178&lt;$C$4,"Put","Call"),O178-$C$14,$C$4,$C$9*SQRT($C$7)))/$C$14^2,"")</f>
        <v>56.553588201335714</v>
      </c>
      <c r="T178" s="42">
        <f>IFERROR((_xll.qlBlackFormula(IF(O178&lt;$C$4,"Put","Call"),O178+$C$14,$C$4,$C$10*SQRT($C$7),,$C$11)-
2*_xll.qlBlackFormula(IF(O178&lt;$C$4,"Put","Call"),O178,$C$4,$C$10*SQRT($C$7),,$C$11)+
_xll.qlBlackFormula(IF(O178&lt;$C$4,"Put","Call"),O178-$C$14,$C$4,$C$10*SQRT($C$7),,$C$11))/$C$14^2,"")</f>
        <v>73.940035951597366</v>
      </c>
      <c r="U178" s="43">
        <f>IFERROR((_xll.qlBachelierBlackFormula(IF(O178&lt;$C$4,"Put","Call"),O178+$C$14,$C$4,$C$12*SQRT($C$7))-
2*_xll.qlBachelierBlackFormula(IF(O178&lt;$C$4,"Put","Call"),O178,$C$4,$C$12*SQRT($C$7))+
_xll.qlBachelierBlackFormula(IF(O178&lt;$C$4,"Put","Call"),O178-$C$14,$C$4,$C$12*SQRT($C$7)))/$C$14^2,"")</f>
        <v>97.253130353601449</v>
      </c>
      <c r="V178" s="61">
        <f>IFERROR(_xll.qlBachelierBlackFormulaImpliedVol(IF(O178&lt;$C$4,"Put","Call"),O178,$C$4,$C$7,P178),"")</f>
        <v>3.808671007358857E-3</v>
      </c>
      <c r="W178" s="61">
        <f>IFERROR(_xll.qlBachelierBlackFormulaImpliedVol(IF(O178&lt;$C$4,"Put","Call"),O178,$C$4,$C$7,Q178),"")</f>
        <v>3.4811949738206538E-3</v>
      </c>
      <c r="X178" s="61">
        <f>IFERROR(_xll.qlBachelierBlackFormulaImpliedVol(IF(O178&lt;$C$4,"Put","Call"),O178,$C$4,$C$7,R178),"")</f>
        <v>3.1332853432889606E-3</v>
      </c>
      <c r="Y178" s="42"/>
    </row>
    <row r="179" spans="15:25">
      <c r="O179" s="37">
        <f t="shared" si="2"/>
        <v>7.4000000000000012E-3</v>
      </c>
      <c r="P179" s="38">
        <f>IFERROR(_xll.qlBlackFormula(IF(O179&lt;$C$4,"Put","Call"),O179,$C$4,$C$9*SQRT($C$7)),"")</f>
        <v>6.2057390365665463E-4</v>
      </c>
      <c r="Q179" s="39">
        <f>IFERROR(_xll.qlBlackFormula(IF(O179&lt;$C$4,"Put","Call"),O179,$C$4,$C$10*SQRT($C$7),,$C$11),"")</f>
        <v>5.1096860704621244E-4</v>
      </c>
      <c r="R179" s="40">
        <f>IFERROR(_xll.qlBachelierBlackFormula(IF(O179&lt;$C$4,"Put","Call"),O179,$C$4,$C$12*SQRT($C$7)),"")</f>
        <v>3.9976368484402516E-4</v>
      </c>
      <c r="S179" s="41">
        <f>IFERROR((_xll.qlBlackFormula(IF(O179&lt;$C$4,"Put","Call"),O179+$C$14,$C$4,$C$9*SQRT($C$7))-
2*_xll.qlBlackFormula(IF(O179&lt;$C$4,"Put","Call"),O179,$C$4,$C$9*SQRT($C$7))+
_xll.qlBlackFormula(IF(O179&lt;$C$4,"Put","Call"),O179-$C$14,$C$4,$C$9*SQRT($C$7)))/$C$14^2,"")</f>
        <v>54.700574365212915</v>
      </c>
      <c r="T179" s="42">
        <f>IFERROR((_xll.qlBlackFormula(IF(O179&lt;$C$4,"Put","Call"),O179+$C$14,$C$4,$C$10*SQRT($C$7),,$C$11)-
2*_xll.qlBlackFormula(IF(O179&lt;$C$4,"Put","Call"),O179,$C$4,$C$10*SQRT($C$7),,$C$11)+
_xll.qlBlackFormula(IF(O179&lt;$C$4,"Put","Call"),O179-$C$14,$C$4,$C$10*SQRT($C$7),,$C$11))/$C$14^2,"")</f>
        <v>71.797055280209406</v>
      </c>
      <c r="U179" s="43">
        <f>IFERROR((_xll.qlBachelierBlackFormula(IF(O179&lt;$C$4,"Put","Call"),O179+$C$14,$C$4,$C$12*SQRT($C$7))-
2*_xll.qlBachelierBlackFormula(IF(O179&lt;$C$4,"Put","Call"),O179,$C$4,$C$12*SQRT($C$7))+
_xll.qlBachelierBlackFormula(IF(O179&lt;$C$4,"Put","Call"),O179-$C$14,$C$4,$C$12*SQRT($C$7)))/$C$14^2,"")</f>
        <v>94.952832055406063</v>
      </c>
      <c r="V179" s="61">
        <f>IFERROR(_xll.qlBachelierBlackFormulaImpliedVol(IF(O179&lt;$C$4,"Put","Call"),O179,$C$4,$C$7,P179),"")</f>
        <v>3.8363457905104849E-3</v>
      </c>
      <c r="W179" s="61">
        <f>IFERROR(_xll.qlBachelierBlackFormulaImpliedVol(IF(O179&lt;$C$4,"Put","Call"),O179,$C$4,$C$7,Q179),"")</f>
        <v>3.4958153985456711E-3</v>
      </c>
      <c r="X179" s="61">
        <f>IFERROR(_xll.qlBachelierBlackFormulaImpliedVol(IF(O179&lt;$C$4,"Put","Call"),O179,$C$4,$C$7,R179),"")</f>
        <v>3.1332853432890643E-3</v>
      </c>
      <c r="Y179" s="42"/>
    </row>
    <row r="180" spans="15:25">
      <c r="O180" s="37">
        <f t="shared" si="2"/>
        <v>7.5000000000000015E-3</v>
      </c>
      <c r="P180" s="38">
        <f>IFERROR(_xll.qlBlackFormula(IF(O180&lt;$C$4,"Put","Call"),O180,$C$4,$C$9*SQRT($C$7)),"")</f>
        <v>6.0332457932236148E-4</v>
      </c>
      <c r="Q180" s="39">
        <f>IFERROR(_xll.qlBlackFormula(IF(O180&lt;$C$4,"Put","Call"),O180,$C$4,$C$10*SQRT($C$7),,$C$11),"")</f>
        <v>4.913073869732428E-4</v>
      </c>
      <c r="R180" s="40">
        <f>IFERROR(_xll.qlBachelierBlackFormula(IF(O180&lt;$C$4,"Put","Call"),O180,$C$4,$C$12*SQRT($C$7)),"")</f>
        <v>3.7804983201481684E-4</v>
      </c>
      <c r="S180" s="41">
        <f>IFERROR((_xll.qlBlackFormula(IF(O180&lt;$C$4,"Put","Call"),O180+$C$14,$C$4,$C$9*SQRT($C$7))-
2*_xll.qlBlackFormula(IF(O180&lt;$C$4,"Put","Call"),O180,$C$4,$C$9*SQRT($C$7))+
_xll.qlBlackFormula(IF(O180&lt;$C$4,"Put","Call"),O180-$C$14,$C$4,$C$9*SQRT($C$7)))/$C$14^2,"")</f>
        <v>52.908302738963187</v>
      </c>
      <c r="T180" s="42">
        <f>IFERROR((_xll.qlBlackFormula(IF(O180&lt;$C$4,"Put","Call"),O180+$C$14,$C$4,$C$10*SQRT($C$7),,$C$11)-
2*_xll.qlBlackFormula(IF(O180&lt;$C$4,"Put","Call"),O180,$C$4,$C$10*SQRT($C$7),,$C$11)+
_xll.qlBlackFormula(IF(O180&lt;$C$4,"Put","Call"),O180-$C$14,$C$4,$C$10*SQRT($C$7),,$C$11))/$C$14^2,"")</f>
        <v>69.687036523269356</v>
      </c>
      <c r="U180" s="43">
        <f>IFERROR((_xll.qlBachelierBlackFormula(IF(O180&lt;$C$4,"Put","Call"),O180+$C$14,$C$4,$C$12*SQRT($C$7))-
2*_xll.qlBachelierBlackFormula(IF(O180&lt;$C$4,"Put","Call"),O180,$C$4,$C$12*SQRT($C$7))+
_xll.qlBachelierBlackFormula(IF(O180&lt;$C$4,"Put","Call"),O180-$C$14,$C$4,$C$12*SQRT($C$7)))/$C$14^2,"")</f>
        <v>92.612560632573945</v>
      </c>
      <c r="V180" s="61">
        <f>IFERROR(_xll.qlBachelierBlackFormulaImpliedVol(IF(O180&lt;$C$4,"Put","Call"),O180,$C$4,$C$7,P180),"")</f>
        <v>3.8639042995489464E-3</v>
      </c>
      <c r="W180" s="61">
        <f>IFERROR(_xll.qlBachelierBlackFormulaImpliedVol(IF(O180&lt;$C$4,"Put","Call"),O180,$C$4,$C$7,Q180),"")</f>
        <v>3.5103979747627165E-3</v>
      </c>
      <c r="X180" s="61">
        <f>IFERROR(_xll.qlBachelierBlackFormulaImpliedVol(IF(O180&lt;$C$4,"Put","Call"),O180,$C$4,$C$7,R180),"")</f>
        <v>3.1332853432891042E-3</v>
      </c>
      <c r="Y180" s="42"/>
    </row>
    <row r="181" spans="15:25">
      <c r="O181" s="37">
        <f t="shared" si="2"/>
        <v>7.6000000000000017E-3</v>
      </c>
      <c r="P181" s="38">
        <f>IFERROR(_xll.qlBlackFormula(IF(O181&lt;$C$4,"Put","Call"),O181,$C$4,$C$9*SQRT($C$7)),"")</f>
        <v>5.8660438720931638E-4</v>
      </c>
      <c r="Q181" s="39">
        <f>IFERROR(_xll.qlBlackFormula(IF(O181&lt;$C$4,"Put","Call"),O181,$C$4,$C$10*SQRT($C$7),,$C$11),"")</f>
        <v>4.7234306605420428E-4</v>
      </c>
      <c r="R181" s="40">
        <f>IFERROR(_xll.qlBachelierBlackFormula(IF(O181&lt;$C$4,"Put","Call"),O181,$C$4,$C$12*SQRT($C$7)),"")</f>
        <v>3.572620762235301E-4</v>
      </c>
      <c r="S181" s="41">
        <f>IFERROR((_xll.qlBlackFormula(IF(O181&lt;$C$4,"Put","Call"),O181+$C$14,$C$4,$C$9*SQRT($C$7))-
2*_xll.qlBlackFormula(IF(O181&lt;$C$4,"Put","Call"),O181,$C$4,$C$9*SQRT($C$7))+
_xll.qlBlackFormula(IF(O181&lt;$C$4,"Put","Call"),O181-$C$14,$C$4,$C$9*SQRT($C$7)))/$C$14^2,"")</f>
        <v>51.175080449314407</v>
      </c>
      <c r="T181" s="42">
        <f>IFERROR((_xll.qlBlackFormula(IF(O181&lt;$C$4,"Put","Call"),O181+$C$14,$C$4,$C$10*SQRT($C$7),,$C$11)-
2*_xll.qlBlackFormula(IF(O181&lt;$C$4,"Put","Call"),O181,$C$4,$C$10*SQRT($C$7),,$C$11)+
_xll.qlBlackFormula(IF(O181&lt;$C$4,"Put","Call"),O181-$C$14,$C$4,$C$10*SQRT($C$7),,$C$11))/$C$14^2,"")</f>
        <v>67.611553942331653</v>
      </c>
      <c r="U181" s="43">
        <f>IFERROR((_xll.qlBachelierBlackFormula(IF(O181&lt;$C$4,"Put","Call"),O181+$C$14,$C$4,$C$12*SQRT($C$7))-
2*_xll.qlBachelierBlackFormula(IF(O181&lt;$C$4,"Put","Call"),O181,$C$4,$C$12*SQRT($C$7))+
_xll.qlBachelierBlackFormula(IF(O181&lt;$C$4,"Put","Call"),O181-$C$14,$C$4,$C$12*SQRT($C$7)))/$C$14^2,"")</f>
        <v>90.238005436005238</v>
      </c>
      <c r="V181" s="61">
        <f>IFERROR(_xll.qlBachelierBlackFormulaImpliedVol(IF(O181&lt;$C$4,"Put","Call"),O181,$C$4,$C$7,P181),"")</f>
        <v>3.8913488219069849E-3</v>
      </c>
      <c r="W181" s="61">
        <f>IFERROR(_xll.qlBachelierBlackFormulaImpliedVol(IF(O181&lt;$C$4,"Put","Call"),O181,$C$4,$C$7,Q181),"")</f>
        <v>3.524943152467075E-3</v>
      </c>
      <c r="X181" s="61">
        <f>IFERROR(_xll.qlBachelierBlackFormulaImpliedVol(IF(O181&lt;$C$4,"Put","Call"),O181,$C$4,$C$7,R181),"")</f>
        <v>3.1332853432890499E-3</v>
      </c>
      <c r="Y181" s="42"/>
    </row>
    <row r="182" spans="15:25">
      <c r="O182" s="37">
        <f t="shared" si="2"/>
        <v>7.700000000000002E-3</v>
      </c>
      <c r="P182" s="38">
        <f>IFERROR(_xll.qlBlackFormula(IF(O182&lt;$C$4,"Put","Call"),O182,$C$4,$C$9*SQRT($C$7)),"")</f>
        <v>5.7039599369806699E-4</v>
      </c>
      <c r="Q182" s="39">
        <f>IFERROR(_xll.qlBlackFormula(IF(O182&lt;$C$4,"Put","Call"),O182,$C$4,$C$10*SQRT($C$7),,$C$11),"")</f>
        <v>4.5405489060147512E-4</v>
      </c>
      <c r="R182" s="40">
        <f>IFERROR(_xll.qlBachelierBlackFormula(IF(O182&lt;$C$4,"Put","Call"),O182,$C$4,$C$12*SQRT($C$7)),"")</f>
        <v>3.3737667663369354E-4</v>
      </c>
      <c r="S182" s="41">
        <f>IFERROR((_xll.qlBlackFormula(IF(O182&lt;$C$4,"Put","Call"),O182+$C$14,$C$4,$C$9*SQRT($C$7))-
2*_xll.qlBlackFormula(IF(O182&lt;$C$4,"Put","Call"),O182,$C$4,$C$9*SQRT($C$7))+
_xll.qlBlackFormula(IF(O182&lt;$C$4,"Put","Call"),O182-$C$14,$C$4,$C$9*SQRT($C$7)))/$C$14^2,"")</f>
        <v>49.499223730292698</v>
      </c>
      <c r="T182" s="42">
        <f>IFERROR((_xll.qlBlackFormula(IF(O182&lt;$C$4,"Put","Call"),O182+$C$14,$C$4,$C$10*SQRT($C$7),,$C$11)-
2*_xll.qlBlackFormula(IF(O182&lt;$C$4,"Put","Call"),O182,$C$4,$C$10*SQRT($C$7),,$C$11)+
_xll.qlBlackFormula(IF(O182&lt;$C$4,"Put","Call"),O182-$C$14,$C$4,$C$10*SQRT($C$7),,$C$11))/$C$14^2,"")</f>
        <v>65.571989678325778</v>
      </c>
      <c r="U182" s="43">
        <f>IFERROR((_xll.qlBachelierBlackFormula(IF(O182&lt;$C$4,"Put","Call"),O182+$C$14,$C$4,$C$12*SQRT($C$7))-
2*_xll.qlBachelierBlackFormula(IF(O182&lt;$C$4,"Put","Call"),O182,$C$4,$C$12*SQRT($C$7))+
_xll.qlBachelierBlackFormula(IF(O182&lt;$C$4,"Put","Call"),O182-$C$14,$C$4,$C$12*SQRT($C$7)))/$C$14^2,"")</f>
        <v>87.8348202547688</v>
      </c>
      <c r="V182" s="61">
        <f>IFERROR(_xll.qlBachelierBlackFormulaImpliedVol(IF(O182&lt;$C$4,"Put","Call"),O182,$C$4,$C$7,P182),"")</f>
        <v>3.9186815696176233E-3</v>
      </c>
      <c r="W182" s="61">
        <f>IFERROR(_xll.qlBachelierBlackFormulaImpliedVol(IF(O182&lt;$C$4,"Put","Call"),O182,$C$4,$C$7,Q182),"")</f>
        <v>3.5394513726639625E-3</v>
      </c>
      <c r="X182" s="61">
        <f>IFERROR(_xll.qlBachelierBlackFormulaImpliedVol(IF(O182&lt;$C$4,"Put","Call"),O182,$C$4,$C$7,R182),"")</f>
        <v>3.1332853432888903E-3</v>
      </c>
      <c r="Y182" s="42"/>
    </row>
    <row r="183" spans="15:25">
      <c r="O183" s="37">
        <f t="shared" si="2"/>
        <v>7.8000000000000022E-3</v>
      </c>
      <c r="P183" s="38">
        <f>IFERROR(_xll.qlBlackFormula(IF(O183&lt;$C$4,"Put","Call"),O183,$C$4,$C$9*SQRT($C$7)),"")</f>
        <v>5.5468263883700969E-4</v>
      </c>
      <c r="Q183" s="39">
        <f>IFERROR(_xll.qlBlackFormula(IF(O183&lt;$C$4,"Put","Call"),O183,$C$4,$C$10*SQRT($C$7),,$C$11),"")</f>
        <v>4.3642246598293941E-4</v>
      </c>
      <c r="R183" s="40">
        <f>IFERROR(_xll.qlBachelierBlackFormula(IF(O183&lt;$C$4,"Put","Call"),O183,$C$4,$C$12*SQRT($C$7)),"")</f>
        <v>3.1836960605149977E-4</v>
      </c>
      <c r="S183" s="41">
        <f>IFERROR((_xll.qlBlackFormula(IF(O183&lt;$C$4,"Put","Call"),O183+$C$14,$C$4,$C$9*SQRT($C$7))-
2*_xll.qlBlackFormula(IF(O183&lt;$C$4,"Put","Call"),O183,$C$4,$C$9*SQRT($C$7))+
_xll.qlBlackFormula(IF(O183&lt;$C$4,"Put","Call"),O183-$C$14,$C$4,$C$9*SQRT($C$7)))/$C$14^2,"")</f>
        <v>47.879062910552442</v>
      </c>
      <c r="T183" s="42">
        <f>IFERROR((_xll.qlBlackFormula(IF(O183&lt;$C$4,"Put","Call"),O183+$C$14,$C$4,$C$10*SQRT($C$7),,$C$11)-
2*_xll.qlBlackFormula(IF(O183&lt;$C$4,"Put","Call"),O183,$C$4,$C$10*SQRT($C$7),,$C$11)+
_xll.qlBlackFormula(IF(O183&lt;$C$4,"Put","Call"),O183-$C$14,$C$4,$C$10*SQRT($C$7),,$C$11))/$C$14^2,"")</f>
        <v>63.569556736642333</v>
      </c>
      <c r="U183" s="43">
        <f>IFERROR((_xll.qlBachelierBlackFormula(IF(O183&lt;$C$4,"Put","Call"),O183+$C$14,$C$4,$C$12*SQRT($C$7))-
2*_xll.qlBachelierBlackFormula(IF(O183&lt;$C$4,"Put","Call"),O183,$C$4,$C$12*SQRT($C$7))+
_xll.qlBachelierBlackFormula(IF(O183&lt;$C$4,"Put","Call"),O183-$C$14,$C$4,$C$12*SQRT($C$7)))/$C$14^2,"")</f>
        <v>85.408594584744648</v>
      </c>
      <c r="V183" s="61">
        <f>IFERROR(_xll.qlBachelierBlackFormulaImpliedVol(IF(O183&lt;$C$4,"Put","Call"),O183,$C$4,$C$7,P183),"")</f>
        <v>3.9459046827618315E-3</v>
      </c>
      <c r="W183" s="61">
        <f>IFERROR(_xll.qlBachelierBlackFormulaImpliedVol(IF(O183&lt;$C$4,"Put","Call"),O183,$C$4,$C$7,Q183),"")</f>
        <v>3.5539230676187045E-3</v>
      </c>
      <c r="X183" s="61">
        <f>IFERROR(_xll.qlBachelierBlackFormulaImpliedVol(IF(O183&lt;$C$4,"Put","Call"),O183,$C$4,$C$7,R183),"")</f>
        <v>3.1332853432886401E-3</v>
      </c>
      <c r="Y183" s="42"/>
    </row>
    <row r="184" spans="15:25">
      <c r="O184" s="37">
        <f t="shared" si="2"/>
        <v>7.9000000000000025E-3</v>
      </c>
      <c r="P184" s="38">
        <f>IFERROR(_xll.qlBlackFormula(IF(O184&lt;$C$4,"Put","Call"),O184,$C$4,$C$9*SQRT($C$7)),"")</f>
        <v>5.3944811962260142E-4</v>
      </c>
      <c r="Q184" s="39">
        <f>IFERROR(_xll.qlBlackFormula(IF(O184&lt;$C$4,"Put","Call"),O184,$C$4,$C$10*SQRT($C$7),,$C$11),"")</f>
        <v>4.1942576873794067E-4</v>
      </c>
      <c r="R184" s="40">
        <f>IFERROR(_xll.qlBachelierBlackFormula(IF(O184&lt;$C$4,"Put","Call"),O184,$C$4,$C$12*SQRT($C$7)),"")</f>
        <v>3.0021660681403724E-4</v>
      </c>
      <c r="S184" s="41">
        <f>IFERROR((_xll.qlBlackFormula(IF(O184&lt;$C$4,"Put","Call"),O184+$C$14,$C$4,$C$9*SQRT($C$7))-
2*_xll.qlBlackFormula(IF(O184&lt;$C$4,"Put","Call"),O184,$C$4,$C$9*SQRT($C$7))+
_xll.qlBlackFormula(IF(O184&lt;$C$4,"Put","Call"),O184-$C$14,$C$4,$C$9*SQRT($C$7)))/$C$14^2,"")</f>
        <v>46.312937859727121</v>
      </c>
      <c r="T184" s="42">
        <f>IFERROR((_xll.qlBlackFormula(IF(O184&lt;$C$4,"Put","Call"),O184+$C$14,$C$4,$C$10*SQRT($C$7),,$C$11)-
2*_xll.qlBlackFormula(IF(O184&lt;$C$4,"Put","Call"),O184,$C$4,$C$10*SQRT($C$7),,$C$11)+
_xll.qlBlackFormula(IF(O184&lt;$C$4,"Put","Call"),O184-$C$14,$C$4,$C$10*SQRT($C$7),,$C$11))/$C$14^2,"")</f>
        <v>61.605298119771227</v>
      </c>
      <c r="U184" s="43">
        <f>IFERROR((_xll.qlBachelierBlackFormula(IF(O184&lt;$C$4,"Put","Call"),O184+$C$14,$C$4,$C$12*SQRT($C$7))-
2*_xll.qlBachelierBlackFormula(IF(O184&lt;$C$4,"Put","Call"),O184,$C$4,$C$12*SQRT($C$7))+
_xll.qlBachelierBlackFormula(IF(O184&lt;$C$4,"Put","Call"),O184-$C$14,$C$4,$C$12*SQRT($C$7)))/$C$14^2,"")</f>
        <v>82.964837907692498</v>
      </c>
      <c r="V184" s="61">
        <f>IFERROR(_xll.qlBachelierBlackFormulaImpliedVol(IF(O184&lt;$C$4,"Put","Call"),O184,$C$4,$C$7,P184),"")</f>
        <v>3.9730202327159722E-3</v>
      </c>
      <c r="W184" s="61">
        <f>IFERROR(_xll.qlBachelierBlackFormulaImpliedVol(IF(O184&lt;$C$4,"Put","Call"),O184,$C$4,$C$7,Q184),"")</f>
        <v>3.5683586610980411E-3</v>
      </c>
      <c r="X184" s="61">
        <f>IFERROR(_xll.qlBachelierBlackFormulaImpliedVol(IF(O184&lt;$C$4,"Put","Call"),O184,$C$4,$C$7,R184),"")</f>
        <v>3.1332853432883365E-3</v>
      </c>
      <c r="Y184" s="42"/>
    </row>
    <row r="185" spans="15:25">
      <c r="O185" s="37">
        <f t="shared" si="2"/>
        <v>8.0000000000000019E-3</v>
      </c>
      <c r="P185" s="38">
        <f>IFERROR(_xll.qlBlackFormula(IF(O185&lt;$C$4,"Put","Call"),O185,$C$4,$C$9*SQRT($C$7)),"")</f>
        <v>5.2467677345087362E-4</v>
      </c>
      <c r="Q185" s="39">
        <f>IFERROR(_xll.qlBlackFormula(IF(O185&lt;$C$4,"Put","Call"),O185,$C$4,$C$10*SQRT($C$7),,$C$11),"")</f>
        <v>4.0304515703221133E-4</v>
      </c>
      <c r="R185" s="40">
        <f>IFERROR(_xll.qlBachelierBlackFormula(IF(O185&lt;$C$4,"Put","Call"),O185,$C$4,$C$12*SQRT($C$7)),"")</f>
        <v>2.8289324585620756E-4</v>
      </c>
      <c r="S185" s="41">
        <f>IFERROR((_xll.qlBlackFormula(IF(O185&lt;$C$4,"Put","Call"),O185+$C$14,$C$4,$C$9*SQRT($C$7))-
2*_xll.qlBlackFormula(IF(O185&lt;$C$4,"Put","Call"),O185,$C$4,$C$9*SQRT($C$7))+
_xll.qlBlackFormula(IF(O185&lt;$C$4,"Put","Call"),O185-$C$14,$C$4,$C$9*SQRT($C$7)))/$C$14^2,"")</f>
        <v>44.799218154589759</v>
      </c>
      <c r="T185" s="42">
        <f>IFERROR((_xll.qlBlackFormula(IF(O185&lt;$C$4,"Put","Call"),O185+$C$14,$C$4,$C$10*SQRT($C$7),,$C$11)-
2*_xll.qlBlackFormula(IF(O185&lt;$C$4,"Put","Call"),O185,$C$4,$C$10*SQRT($C$7),,$C$11)+
_xll.qlBlackFormula(IF(O185&lt;$C$4,"Put","Call"),O185-$C$14,$C$4,$C$10*SQRT($C$7),,$C$11))/$C$14^2,"")</f>
        <v>59.680102873493901</v>
      </c>
      <c r="U185" s="43">
        <f>IFERROR((_xll.qlBachelierBlackFormula(IF(O185&lt;$C$4,"Put","Call"),O185+$C$14,$C$4,$C$12*SQRT($C$7))-
2*_xll.qlBachelierBlackFormula(IF(O185&lt;$C$4,"Put","Call"),O185,$C$4,$C$12*SQRT($C$7))+
_xll.qlBachelierBlackFormula(IF(O185&lt;$C$4,"Put","Call"),O185-$C$14,$C$4,$C$12*SQRT($C$7)))/$C$14^2,"")</f>
        <v>80.508955405123046</v>
      </c>
      <c r="V185" s="61">
        <f>IFERROR(_xll.qlBachelierBlackFormulaImpliedVol(IF(O185&lt;$C$4,"Put","Call"),O185,$C$4,$C$7,P185),"")</f>
        <v>4.0000302252129766E-3</v>
      </c>
      <c r="W185" s="61">
        <f>IFERROR(_xll.qlBachelierBlackFormulaImpliedVol(IF(O185&lt;$C$4,"Put","Call"),O185,$C$4,$C$7,Q185),"")</f>
        <v>3.5827585686029149E-3</v>
      </c>
      <c r="X185" s="61">
        <f>IFERROR(_xll.qlBachelierBlackFormulaImpliedVol(IF(O185&lt;$C$4,"Put","Call"),O185,$C$4,$C$7,R185),"")</f>
        <v>3.1332853432880442E-3</v>
      </c>
      <c r="Y185" s="42"/>
    </row>
    <row r="186" spans="15:25">
      <c r="O186" s="37">
        <f t="shared" si="2"/>
        <v>8.1000000000000013E-3</v>
      </c>
      <c r="P186" s="38">
        <f>IFERROR(_xll.qlBlackFormula(IF(O186&lt;$C$4,"Put","Call"),O186,$C$4,$C$9*SQRT($C$7)),"")</f>
        <v>5.1035346178002444E-4</v>
      </c>
      <c r="Q186" s="39">
        <f>IFERROR(_xll.qlBlackFormula(IF(O186&lt;$C$4,"Put","Call"),O186,$C$4,$C$10*SQRT($C$7),,$C$11),"")</f>
        <v>3.8726137954473794E-4</v>
      </c>
      <c r="R186" s="40">
        <f>IFERROR(_xll.qlBachelierBlackFormula(IF(O186&lt;$C$4,"Put","Call"),O186,$C$4,$C$12*SQRT($C$7)),"")</f>
        <v>2.663749687579481E-4</v>
      </c>
      <c r="S186" s="41">
        <f>IFERROR((_xll.qlBlackFormula(IF(O186&lt;$C$4,"Put","Call"),O186+$C$14,$C$4,$C$9*SQRT($C$7))-
2*_xll.qlBlackFormula(IF(O186&lt;$C$4,"Put","Call"),O186,$C$4,$C$9*SQRT($C$7))+
_xll.qlBlackFormula(IF(O186&lt;$C$4,"Put","Call"),O186-$C$14,$C$4,$C$9*SQRT($C$7)))/$C$14^2,"")</f>
        <v>43.336291803350299</v>
      </c>
      <c r="T186" s="42">
        <f>IFERROR((_xll.qlBlackFormula(IF(O186&lt;$C$4,"Put","Call"),O186+$C$14,$C$4,$C$10*SQRT($C$7),,$C$11)-
2*_xll.qlBlackFormula(IF(O186&lt;$C$4,"Put","Call"),O186,$C$4,$C$10*SQRT($C$7),,$C$11)+
_xll.qlBlackFormula(IF(O186&lt;$C$4,"Put","Call"),O186-$C$14,$C$4,$C$10*SQRT($C$7),,$C$11))/$C$14^2,"")</f>
        <v>57.794712158415471</v>
      </c>
      <c r="U186" s="43">
        <f>IFERROR((_xll.qlBachelierBlackFormula(IF(O186&lt;$C$4,"Put","Call"),O186+$C$14,$C$4,$C$12*SQRT($C$7))-
2*_xll.qlBachelierBlackFormula(IF(O186&lt;$C$4,"Put","Call"),O186,$C$4,$C$12*SQRT($C$7))+
_xll.qlBachelierBlackFormula(IF(O186&lt;$C$4,"Put","Call"),O186-$C$14,$C$4,$C$12*SQRT($C$7)))/$C$14^2,"")</f>
        <v>78.046233321568678</v>
      </c>
      <c r="V186" s="61">
        <f>IFERROR(_xll.qlBachelierBlackFormulaImpliedVol(IF(O186&lt;$C$4,"Put","Call"),O186,$C$4,$C$7,P186),"")</f>
        <v>4.0269366032301933E-3</v>
      </c>
      <c r="W186" s="61">
        <f>IFERROR(_xll.qlBachelierBlackFormulaImpliedVol(IF(O186&lt;$C$4,"Put","Call"),O186,$C$4,$C$7,Q186),"")</f>
        <v>3.5971231975931582E-3</v>
      </c>
      <c r="X186" s="61">
        <f>IFERROR(_xll.qlBachelierBlackFormulaImpliedVol(IF(O186&lt;$C$4,"Put","Call"),O186,$C$4,$C$7,R186),"")</f>
        <v>3.1332853432878352E-3</v>
      </c>
      <c r="Y186" s="42"/>
    </row>
    <row r="187" spans="15:25">
      <c r="O187" s="37">
        <f t="shared" si="2"/>
        <v>8.2000000000000007E-3</v>
      </c>
      <c r="P187" s="38">
        <f>IFERROR(_xll.qlBlackFormula(IF(O187&lt;$C$4,"Put","Call"),O187,$C$4,$C$9*SQRT($C$7)),"")</f>
        <v>4.9646355403774357E-4</v>
      </c>
      <c r="Q187" s="39">
        <f>IFERROR(_xll.qlBlackFormula(IF(O187&lt;$C$4,"Put","Call"),O187,$C$4,$C$10*SQRT($C$7),,$C$11),"")</f>
        <v>3.7205558287784846E-4</v>
      </c>
      <c r="R187" s="40">
        <f>IFERROR(_xll.qlBachelierBlackFormula(IF(O187&lt;$C$4,"Put","Call"),O187,$C$4,$C$12*SQRT($C$7)),"")</f>
        <v>2.5063715258409115E-4</v>
      </c>
      <c r="S187" s="41">
        <f>IFERROR((_xll.qlBlackFormula(IF(O187&lt;$C$4,"Put","Call"),O187+$C$14,$C$4,$C$9*SQRT($C$7))-
2*_xll.qlBlackFormula(IF(O187&lt;$C$4,"Put","Call"),O187,$C$4,$C$9*SQRT($C$7))+
_xll.qlBlackFormula(IF(O187&lt;$C$4,"Put","Call"),O187-$C$14,$C$4,$C$9*SQRT($C$7)))/$C$14^2,"")</f>
        <v>41.922578906603</v>
      </c>
      <c r="T187" s="42">
        <f>IFERROR((_xll.qlBlackFormula(IF(O187&lt;$C$4,"Put","Call"),O187+$C$14,$C$4,$C$10*SQRT($C$7),,$C$11)-
2*_xll.qlBlackFormula(IF(O187&lt;$C$4,"Put","Call"),O187,$C$4,$C$10*SQRT($C$7),,$C$11)+
_xll.qlBlackFormula(IF(O187&lt;$C$4,"Put","Call"),O187-$C$14,$C$4,$C$10*SQRT($C$7),,$C$11))/$C$14^2,"")</f>
        <v>55.949729224624711</v>
      </c>
      <c r="U187" s="43">
        <f>IFERROR((_xll.qlBachelierBlackFormula(IF(O187&lt;$C$4,"Put","Call"),O187+$C$14,$C$4,$C$12*SQRT($C$7))-
2*_xll.qlBachelierBlackFormula(IF(O187&lt;$C$4,"Put","Call"),O187,$C$4,$C$12*SQRT($C$7))+
_xll.qlBachelierBlackFormula(IF(O187&lt;$C$4,"Put","Call"),O187-$C$14,$C$4,$C$12*SQRT($C$7)))/$C$14^2,"")</f>
        <v>75.581817063699603</v>
      </c>
      <c r="V187" s="61">
        <f>IFERROR(_xll.qlBachelierBlackFormulaImpliedVol(IF(O187&lt;$C$4,"Put","Call"),O187,$C$4,$C$7,P187),"")</f>
        <v>4.0537412497157694E-3</v>
      </c>
      <c r="W187" s="61">
        <f>IFERROR(_xll.qlBachelierBlackFormulaImpliedVol(IF(O187&lt;$C$4,"Put","Call"),O187,$C$4,$C$7,Q187),"")</f>
        <v>3.6114529477043276E-3</v>
      </c>
      <c r="X187" s="61">
        <f>IFERROR(_xll.qlBachelierBlackFormulaImpliedVol(IF(O187&lt;$C$4,"Put","Call"),O187,$C$4,$C$7,R187),"")</f>
        <v>3.1332853432877819E-3</v>
      </c>
      <c r="Y187" s="42"/>
    </row>
    <row r="188" spans="15:25">
      <c r="O188" s="37">
        <f t="shared" si="2"/>
        <v>8.3000000000000001E-3</v>
      </c>
      <c r="P188" s="38">
        <f>IFERROR(_xll.qlBlackFormula(IF(O188&lt;$C$4,"Put","Call"),O188,$C$4,$C$9*SQRT($C$7)),"")</f>
        <v>4.8299291180150237E-4</v>
      </c>
      <c r="Q188" s="39">
        <f>IFERROR(_xll.qlBlackFormula(IF(O188&lt;$C$4,"Put","Call"),O188,$C$4,$C$10*SQRT($C$7),,$C$11),"")</f>
        <v>3.574093175798571E-4</v>
      </c>
      <c r="R188" s="40">
        <f>IFERROR(_xll.qlBachelierBlackFormula(IF(O188&lt;$C$4,"Put","Call"),O188,$C$4,$C$12*SQRT($C$7)),"")</f>
        <v>2.3565515734067985E-4</v>
      </c>
      <c r="S188" s="41">
        <f>IFERROR((_xll.qlBlackFormula(IF(O188&lt;$C$4,"Put","Call"),O188+$C$14,$C$4,$C$9*SQRT($C$7))-
2*_xll.qlBlackFormula(IF(O188&lt;$C$4,"Put","Call"),O188,$C$4,$C$9*SQRT($C$7))+
_xll.qlBlackFormula(IF(O188&lt;$C$4,"Put","Call"),O188-$C$14,$C$4,$C$9*SQRT($C$7)))/$C$14^2,"")</f>
        <v>40.556526453155996</v>
      </c>
      <c r="T188" s="42">
        <f>IFERROR((_xll.qlBlackFormula(IF(O188&lt;$C$4,"Put","Call"),O188+$C$14,$C$4,$C$10*SQRT($C$7),,$C$11)-
2*_xll.qlBlackFormula(IF(O188&lt;$C$4,"Put","Call"),O188,$C$4,$C$10*SQRT($C$7),,$C$11)+
_xll.qlBlackFormula(IF(O188&lt;$C$4,"Put","Call"),O188-$C$14,$C$4,$C$10*SQRT($C$7),,$C$11))/$C$14^2,"")</f>
        <v>54.14562201377926</v>
      </c>
      <c r="U188" s="43">
        <f>IFERROR((_xll.qlBachelierBlackFormula(IF(O188&lt;$C$4,"Put","Call"),O188+$C$14,$C$4,$C$12*SQRT($C$7))-
2*_xll.qlBachelierBlackFormula(IF(O188&lt;$C$4,"Put","Call"),O188,$C$4,$C$12*SQRT($C$7))+
_xll.qlBachelierBlackFormula(IF(O188&lt;$C$4,"Put","Call"),O188-$C$14,$C$4,$C$12*SQRT($C$7)))/$C$14^2,"")</f>
        <v>73.120701008823346</v>
      </c>
      <c r="V188" s="61">
        <f>IFERROR(_xll.qlBachelierBlackFormulaImpliedVol(IF(O188&lt;$C$4,"Put","Call"),O188,$C$4,$C$7,P188),"")</f>
        <v>4.0804459901644082E-3</v>
      </c>
      <c r="W188" s="61">
        <f>IFERROR(_xll.qlBachelierBlackFormulaImpliedVol(IF(O188&lt;$C$4,"Put","Call"),O188,$C$4,$C$7,Q188),"")</f>
        <v>3.6257482109571348E-3</v>
      </c>
      <c r="X188" s="61">
        <f>IFERROR(_xll.qlBachelierBlackFormulaImpliedVol(IF(O188&lt;$C$4,"Put","Call"),O188,$C$4,$C$7,R188),"")</f>
        <v>3.1332853432879358E-3</v>
      </c>
      <c r="Y188" s="42"/>
    </row>
    <row r="189" spans="15:25">
      <c r="O189" s="37">
        <f t="shared" si="2"/>
        <v>8.3999999999999995E-3</v>
      </c>
      <c r="P189" s="38">
        <f>IFERROR(_xll.qlBlackFormula(IF(O189&lt;$C$4,"Put","Call"),O189,$C$4,$C$9*SQRT($C$7)),"")</f>
        <v>4.6992787327523183E-4</v>
      </c>
      <c r="Q189" s="39">
        <f>IFERROR(_xll.qlBlackFormula(IF(O189&lt;$C$4,"Put","Call"),O189,$C$4,$C$10*SQRT($C$7),,$C$11),"")</f>
        <v>3.4330454286736348E-4</v>
      </c>
      <c r="R189" s="40">
        <f>IFERROR(_xll.qlBachelierBlackFormula(IF(O189&lt;$C$4,"Put","Call"),O189,$C$4,$C$12*SQRT($C$7)),"")</f>
        <v>2.2140437588381498E-4</v>
      </c>
      <c r="S189" s="41">
        <f>IFERROR((_xll.qlBlackFormula(IF(O189&lt;$C$4,"Put","Call"),O189+$C$14,$C$4,$C$9*SQRT($C$7))-
2*_xll.qlBlackFormula(IF(O189&lt;$C$4,"Put","Call"),O189,$C$4,$C$9*SQRT($C$7))+
_xll.qlBlackFormula(IF(O189&lt;$C$4,"Put","Call"),O189-$C$14,$C$4,$C$9*SQRT($C$7)))/$C$14^2,"")</f>
        <v>39.236613307361281</v>
      </c>
      <c r="T189" s="42">
        <f>IFERROR((_xll.qlBlackFormula(IF(O189&lt;$C$4,"Put","Call"),O189+$C$14,$C$4,$C$10*SQRT($C$7),,$C$11)-
2*_xll.qlBlackFormula(IF(O189&lt;$C$4,"Put","Call"),O189,$C$4,$C$10*SQRT($C$7),,$C$11)+
_xll.qlBlackFormula(IF(O189&lt;$C$4,"Put","Call"),O189-$C$14,$C$4,$C$10*SQRT($C$7),,$C$11))/$C$14^2,"")</f>
        <v>52.382742457904307</v>
      </c>
      <c r="U189" s="43">
        <f>IFERROR((_xll.qlBachelierBlackFormula(IF(O189&lt;$C$4,"Put","Call"),O189+$C$14,$C$4,$C$12*SQRT($C$7))-
2*_xll.qlBachelierBlackFormula(IF(O189&lt;$C$4,"Put","Call"),O189,$C$4,$C$12*SQRT($C$7))+
_xll.qlBachelierBlackFormula(IF(O189&lt;$C$4,"Put","Call"),O189-$C$14,$C$4,$C$12*SQRT($C$7)))/$C$14^2,"")</f>
        <v>70.667706061899878</v>
      </c>
      <c r="V189" s="61">
        <f>IFERROR(_xll.qlBachelierBlackFormulaImpliedVol(IF(O189&lt;$C$4,"Put","Call"),O189,$C$4,$C$7,P189),"")</f>
        <v>4.1070525950526139E-3</v>
      </c>
      <c r="W189" s="61">
        <f>IFERROR(_xll.qlBachelierBlackFormulaImpliedVol(IF(O189&lt;$C$4,"Put","Call"),O189,$C$4,$C$7,Q189),"")</f>
        <v>3.6400093719596606E-3</v>
      </c>
      <c r="X189" s="61">
        <f>IFERROR(_xll.qlBachelierBlackFormulaImpliedVol(IF(O189&lt;$C$4,"Put","Call"),O189,$C$4,$C$7,R189),"")</f>
        <v>3.1332853432883222E-3</v>
      </c>
      <c r="Y189" s="42"/>
    </row>
    <row r="190" spans="15:25">
      <c r="O190" s="37">
        <f t="shared" si="2"/>
        <v>8.4999999999999989E-3</v>
      </c>
      <c r="P190" s="38">
        <f>IFERROR(_xll.qlBlackFormula(IF(O190&lt;$C$4,"Put","Call"),O190,$C$4,$C$9*SQRT($C$7)),"")</f>
        <v>4.5725523808154704E-4</v>
      </c>
      <c r="Q190" s="39">
        <f>IFERROR(_xll.qlBlackFormula(IF(O190&lt;$C$4,"Put","Call"),O190,$C$4,$C$10*SQRT($C$7),,$C$11),"")</f>
        <v>3.297236301318964E-4</v>
      </c>
      <c r="R190" s="40">
        <f>IFERROR(_xll.qlBachelierBlackFormula(IF(O190&lt;$C$4,"Put","Call"),O190,$C$4,$C$12*SQRT($C$7)),"")</f>
        <v>2.0786028212992677E-4</v>
      </c>
      <c r="S190" s="41">
        <f>IFERROR((_xll.qlBlackFormula(IF(O190&lt;$C$4,"Put","Call"),O190+$C$14,$C$4,$C$9*SQRT($C$7))-
2*_xll.qlBlackFormula(IF(O190&lt;$C$4,"Put","Call"),O190,$C$4,$C$9*SQRT($C$7))+
_xll.qlBlackFormula(IF(O190&lt;$C$4,"Put","Call"),O190-$C$14,$C$4,$C$9*SQRT($C$7)))/$C$14^2,"")</f>
        <v>37.961350642795601</v>
      </c>
      <c r="T190" s="42">
        <f>IFERROR((_xll.qlBlackFormula(IF(O190&lt;$C$4,"Put","Call"),O190+$C$14,$C$4,$C$10*SQRT($C$7),,$C$11)-
2*_xll.qlBlackFormula(IF(O190&lt;$C$4,"Put","Call"),O190,$C$4,$C$10*SQRT($C$7),,$C$11)+
_xll.qlBlackFormula(IF(O190&lt;$C$4,"Put","Call"),O190-$C$14,$C$4,$C$10*SQRT($C$7),,$C$11))/$C$14^2,"")</f>
        <v>50.661326913073459</v>
      </c>
      <c r="U190" s="43">
        <f>IFERROR((_xll.qlBachelierBlackFormula(IF(O190&lt;$C$4,"Put","Call"),O190+$C$14,$C$4,$C$12*SQRT($C$7))-
2*_xll.qlBachelierBlackFormula(IF(O190&lt;$C$4,"Put","Call"),O190,$C$4,$C$12*SQRT($C$7))+
_xll.qlBachelierBlackFormula(IF(O190&lt;$C$4,"Put","Call"),O190-$C$14,$C$4,$C$12*SQRT($C$7)))/$C$14^2,"")</f>
        <v>68.227471144554499</v>
      </c>
      <c r="V190" s="61">
        <f>IFERROR(_xll.qlBachelierBlackFormulaImpliedVol(IF(O190&lt;$C$4,"Put","Call"),O190,$C$4,$C$7,P190),"")</f>
        <v>4.1335627821426539E-3</v>
      </c>
      <c r="W190" s="61">
        <f>IFERROR(_xll.qlBachelierBlackFormulaImpliedVol(IF(O190&lt;$C$4,"Put","Call"),O190,$C$4,$C$7,Q190),"")</f>
        <v>3.6542368081027648E-3</v>
      </c>
      <c r="X190" s="61">
        <f>IFERROR(_xll.qlBachelierBlackFormulaImpliedVol(IF(O190&lt;$C$4,"Put","Call"),O190,$C$4,$C$7,R190),"")</f>
        <v>3.1332853432889198E-3</v>
      </c>
      <c r="Y190" s="42"/>
    </row>
    <row r="191" spans="15:25">
      <c r="O191" s="37">
        <f t="shared" si="2"/>
        <v>8.5999999999999983E-3</v>
      </c>
      <c r="P191" s="38">
        <f>IFERROR(_xll.qlBlackFormula(IF(O191&lt;$C$4,"Put","Call"),O191,$C$4,$C$9*SQRT($C$7)),"")</f>
        <v>4.4496225238491063E-4</v>
      </c>
      <c r="Q191" s="39">
        <f>IFERROR(_xll.qlBlackFormula(IF(O191&lt;$C$4,"Put","Call"),O191,$C$4,$C$10*SQRT($C$7),,$C$11),"")</f>
        <v>3.1664936531297541E-4</v>
      </c>
      <c r="R191" s="40">
        <f>IFERROR(_xll.qlBachelierBlackFormula(IF(O191&lt;$C$4,"Put","Call"),O191,$C$4,$C$12*SQRT($C$7)),"")</f>
        <v>1.9499847742972969E-4</v>
      </c>
      <c r="S191" s="41">
        <f>IFERROR((_xll.qlBlackFormula(IF(O191&lt;$C$4,"Put","Call"),O191+$C$14,$C$4,$C$9*SQRT($C$7))-
2*_xll.qlBlackFormula(IF(O191&lt;$C$4,"Put","Call"),O191,$C$4,$C$9*SQRT($C$7))+
_xll.qlBlackFormula(IF(O191&lt;$C$4,"Put","Call"),O191-$C$14,$C$4,$C$9*SQRT($C$7)))/$C$14^2,"")</f>
        <v>36.729285411707394</v>
      </c>
      <c r="T191" s="42">
        <f>IFERROR((_xll.qlBlackFormula(IF(O191&lt;$C$4,"Put","Call"),O191+$C$14,$C$4,$C$10*SQRT($C$7),,$C$11)-
2*_xll.qlBlackFormula(IF(O191&lt;$C$4,"Put","Call"),O191,$C$4,$C$10*SQRT($C$7),,$C$11)+
_xll.qlBlackFormula(IF(O191&lt;$C$4,"Put","Call"),O191-$C$14,$C$4,$C$10*SQRT($C$7),,$C$11))/$C$14^2,"")</f>
        <v>48.981503748823933</v>
      </c>
      <c r="U191" s="43">
        <f>IFERROR((_xll.qlBachelierBlackFormula(IF(O191&lt;$C$4,"Put","Call"),O191+$C$14,$C$4,$C$12*SQRT($C$7))-
2*_xll.qlBachelierBlackFormula(IF(O191&lt;$C$4,"Put","Call"),O191,$C$4,$C$12*SQRT($C$7))+
_xll.qlBachelierBlackFormula(IF(O191&lt;$C$4,"Put","Call"),O191-$C$14,$C$4,$C$12*SQRT($C$7)))/$C$14^2,"")</f>
        <v>65.804438178877774</v>
      </c>
      <c r="V191" s="61">
        <f>IFERROR(_xll.qlBachelierBlackFormulaImpliedVol(IF(O191&lt;$C$4,"Put","Call"),O191,$C$4,$C$7,P191),"")</f>
        <v>4.1599782186637468E-3</v>
      </c>
      <c r="W191" s="61">
        <f>IFERROR(_xll.qlBachelierBlackFormulaImpliedVol(IF(O191&lt;$C$4,"Put","Call"),O191,$C$4,$C$7,Q191),"")</f>
        <v>3.6684308897488751E-3</v>
      </c>
      <c r="X191" s="61">
        <f>IFERROR(_xll.qlBachelierBlackFormulaImpliedVol(IF(O191&lt;$C$4,"Put","Call"),O191,$C$4,$C$7,R191),"")</f>
        <v>3.1332853432896679E-3</v>
      </c>
      <c r="Y191" s="42"/>
    </row>
    <row r="192" spans="15:25">
      <c r="O192" s="37">
        <f t="shared" si="2"/>
        <v>8.6999999999999977E-3</v>
      </c>
      <c r="P192" s="38">
        <f>IFERROR(_xll.qlBlackFormula(IF(O192&lt;$C$4,"Put","Call"),O192,$C$4,$C$9*SQRT($C$7)),"")</f>
        <v>4.3303659435780378E-4</v>
      </c>
      <c r="Q192" s="39">
        <f>IFERROR(_xll.qlBlackFormula(IF(O192&lt;$C$4,"Put","Call"),O192,$C$4,$C$10*SQRT($C$7),,$C$11),"")</f>
        <v>3.0406495021691095E-4</v>
      </c>
      <c r="R192" s="40">
        <f>IFERROR(_xll.qlBachelierBlackFormula(IF(O192&lt;$C$4,"Put","Call"),O192,$C$4,$C$12*SQRT($C$7)),"")</f>
        <v>1.8279473498184124E-4</v>
      </c>
      <c r="S192" s="41">
        <f>IFERROR((_xll.qlBlackFormula(IF(O192&lt;$C$4,"Put","Call"),O192+$C$14,$C$4,$C$9*SQRT($C$7))-
2*_xll.qlBlackFormula(IF(O192&lt;$C$4,"Put","Call"),O192,$C$4,$C$9*SQRT($C$7))+
_xll.qlBlackFormula(IF(O192&lt;$C$4,"Put","Call"),O192-$C$14,$C$4,$C$9*SQRT($C$7)))/$C$14^2,"")</f>
        <v>35.539001212378516</v>
      </c>
      <c r="T192" s="42">
        <f>IFERROR((_xll.qlBlackFormula(IF(O192&lt;$C$4,"Put","Call"),O192+$C$14,$C$4,$C$10*SQRT($C$7),,$C$11)-
2*_xll.qlBlackFormula(IF(O192&lt;$C$4,"Put","Call"),O192,$C$4,$C$10*SQRT($C$7),,$C$11)+
_xll.qlBlackFormula(IF(O192&lt;$C$4,"Put","Call"),O192-$C$14,$C$4,$C$10*SQRT($C$7),,$C$11))/$C$14^2,"")</f>
        <v>47.343308526986981</v>
      </c>
      <c r="U192" s="43">
        <f>IFERROR((_xll.qlBachelierBlackFormula(IF(O192&lt;$C$4,"Put","Call"),O192+$C$14,$C$4,$C$12*SQRT($C$7))-
2*_xll.qlBachelierBlackFormula(IF(O192&lt;$C$4,"Put","Call"),O192,$C$4,$C$12*SQRT($C$7))+
_xll.qlBachelierBlackFormula(IF(O192&lt;$C$4,"Put","Call"),O192-$C$14,$C$4,$C$12*SQRT($C$7)))/$C$14^2,"")</f>
        <v>63.402842600656513</v>
      </c>
      <c r="V192" s="61">
        <f>IFERROR(_xll.qlBachelierBlackFormulaImpliedVol(IF(O192&lt;$C$4,"Put","Call"),O192,$C$4,$C$7,P192),"")</f>
        <v>4.1863005233784964E-3</v>
      </c>
      <c r="W192" s="61">
        <f>IFERROR(_xll.qlBachelierBlackFormulaImpliedVol(IF(O192&lt;$C$4,"Put","Call"),O192,$C$4,$C$7,Q192),"")</f>
        <v>3.6825919804144868E-3</v>
      </c>
      <c r="X192" s="61">
        <f>IFERROR(_xll.qlBachelierBlackFormulaImpliedVol(IF(O192&lt;$C$4,"Put","Call"),O192,$C$4,$C$7,R192),"")</f>
        <v>3.1332853432904529E-3</v>
      </c>
      <c r="Y192" s="42"/>
    </row>
    <row r="193" spans="15:25">
      <c r="O193" s="37">
        <f t="shared" si="2"/>
        <v>8.7999999999999971E-3</v>
      </c>
      <c r="P193" s="38">
        <f>IFERROR(_xll.qlBlackFormula(IF(O193&lt;$C$4,"Put","Call"),O193,$C$4,$C$9*SQRT($C$7)),"")</f>
        <v>4.2146635999903872E-4</v>
      </c>
      <c r="Q193" s="39">
        <f>IFERROR(_xll.qlBlackFormula(IF(O193&lt;$C$4,"Put","Call"),O193,$C$4,$C$10*SQRT($C$7),,$C$11),"")</f>
        <v>2.9195400285784013E-4</v>
      </c>
      <c r="R193" s="40">
        <f>IFERROR(_xll.qlBachelierBlackFormula(IF(O193&lt;$C$4,"Put","Call"),O193,$C$4,$C$12*SQRT($C$7)),"")</f>
        <v>1.7122504217607904E-4</v>
      </c>
      <c r="S193" s="41">
        <f>IFERROR((_xll.qlBlackFormula(IF(O193&lt;$C$4,"Put","Call"),O193+$C$14,$C$4,$C$9*SQRT($C$7))-
2*_xll.qlBlackFormula(IF(O193&lt;$C$4,"Put","Call"),O193,$C$4,$C$9*SQRT($C$7))+
_xll.qlBlackFormula(IF(O193&lt;$C$4,"Put","Call"),O193-$C$14,$C$4,$C$9*SQRT($C$7)))/$C$14^2,"")</f>
        <v>34.389114385996457</v>
      </c>
      <c r="T193" s="42">
        <f>IFERROR((_xll.qlBlackFormula(IF(O193&lt;$C$4,"Put","Call"),O193+$C$14,$C$4,$C$10*SQRT($C$7),,$C$11)-
2*_xll.qlBlackFormula(IF(O193&lt;$C$4,"Put","Call"),O193,$C$4,$C$10*SQRT($C$7),,$C$11)+
_xll.qlBlackFormula(IF(O193&lt;$C$4,"Put","Call"),O193-$C$14,$C$4,$C$10*SQRT($C$7),,$C$11))/$C$14^2,"")</f>
        <v>45.74668595325182</v>
      </c>
      <c r="U193" s="43">
        <f>IFERROR((_xll.qlBachelierBlackFormula(IF(O193&lt;$C$4,"Put","Call"),O193+$C$14,$C$4,$C$12*SQRT($C$7))-
2*_xll.qlBachelierBlackFormula(IF(O193&lt;$C$4,"Put","Call"),O193,$C$4,$C$12*SQRT($C$7))+
_xll.qlBachelierBlackFormula(IF(O193&lt;$C$4,"Put","Call"),O193-$C$14,$C$4,$C$12*SQRT($C$7)))/$C$14^2,"")</f>
        <v>61.026701758410546</v>
      </c>
      <c r="V193" s="61">
        <f>IFERROR(_xll.qlBachelierBlackFormulaImpliedVol(IF(O193&lt;$C$4,"Put","Call"),O193,$C$4,$C$7,P193),"")</f>
        <v>4.2125312685417282E-3</v>
      </c>
      <c r="W193" s="61">
        <f>IFERROR(_xll.qlBachelierBlackFormulaImpliedVol(IF(O193&lt;$C$4,"Put","Call"),O193,$C$4,$C$7,Q193),"")</f>
        <v>3.6967204369466248E-3</v>
      </c>
      <c r="X193" s="61">
        <f>IFERROR(_xll.qlBachelierBlackFormulaImpliedVol(IF(O193&lt;$C$4,"Put","Call"),O193,$C$4,$C$7,R193),"")</f>
        <v>3.1332853432911411E-3</v>
      </c>
      <c r="Y193" s="42"/>
    </row>
    <row r="194" spans="15:25">
      <c r="O194" s="37">
        <f t="shared" si="2"/>
        <v>8.8999999999999965E-3</v>
      </c>
      <c r="P194" s="38">
        <f>IFERROR(_xll.qlBlackFormula(IF(O194&lt;$C$4,"Put","Call"),O194,$C$4,$C$9*SQRT($C$7)),"")</f>
        <v>4.102400493107795E-4</v>
      </c>
      <c r="Q194" s="39">
        <f>IFERROR(_xll.qlBlackFormula(IF(O194&lt;$C$4,"Put","Call"),O194,$C$4,$C$10*SQRT($C$7),,$C$11),"")</f>
        <v>2.8030055689450841E-4</v>
      </c>
      <c r="R194" s="40">
        <f>IFERROR(_xll.qlBachelierBlackFormula(IF(O194&lt;$C$4,"Put","Call"),O194,$C$4,$C$12*SQRT($C$7)),"")</f>
        <v>1.6026564077063397E-4</v>
      </c>
      <c r="S194" s="41">
        <f>IFERROR((_xll.qlBlackFormula(IF(O194&lt;$C$4,"Put","Call"),O194+$C$14,$C$4,$C$9*SQRT($C$7))-
2*_xll.qlBlackFormula(IF(O194&lt;$C$4,"Put","Call"),O194,$C$4,$C$9*SQRT($C$7))+
_xll.qlBlackFormula(IF(O194&lt;$C$4,"Put","Call"),O194-$C$14,$C$4,$C$9*SQRT($C$7)))/$C$14^2,"")</f>
        <v>33.278277919782106</v>
      </c>
      <c r="T194" s="42">
        <f>IFERROR((_xll.qlBlackFormula(IF(O194&lt;$C$4,"Put","Call"),O194+$C$14,$C$4,$C$10*SQRT($C$7),,$C$11)-
2*_xll.qlBlackFormula(IF(O194&lt;$C$4,"Put","Call"),O194,$C$4,$C$10*SQRT($C$7),,$C$11)+
_xll.qlBlackFormula(IF(O194&lt;$C$4,"Put","Call"),O194-$C$14,$C$4,$C$10*SQRT($C$7),,$C$11))/$C$14^2,"")</f>
        <v>44.191495081336022</v>
      </c>
      <c r="U194" s="43">
        <f>IFERROR((_xll.qlBachelierBlackFormula(IF(O194&lt;$C$4,"Put","Call"),O194+$C$14,$C$4,$C$12*SQRT($C$7))-
2*_xll.qlBachelierBlackFormula(IF(O194&lt;$C$4,"Put","Call"),O194,$C$4,$C$12*SQRT($C$7))+
_xll.qlBachelierBlackFormula(IF(O194&lt;$C$4,"Put","Call"),O194-$C$14,$C$4,$C$12*SQRT($C$7)))/$C$14^2,"")</f>
        <v>58.679810522373892</v>
      </c>
      <c r="V194" s="61">
        <f>IFERROR(_xll.qlBachelierBlackFormulaImpliedVol(IF(O194&lt;$C$4,"Put","Call"),O194,$C$4,$C$7,P194),"")</f>
        <v>4.2386719817586096E-3</v>
      </c>
      <c r="W194" s="61">
        <f>IFERROR(_xll.qlBachelierBlackFormulaImpliedVol(IF(O194&lt;$C$4,"Put","Call"),O194,$C$4,$C$7,Q194),"")</f>
        <v>3.7108166096934676E-3</v>
      </c>
      <c r="X194" s="61">
        <f>IFERROR(_xll.qlBachelierBlackFormulaImpliedVol(IF(O194&lt;$C$4,"Put","Call"),O194,$C$4,$C$7,R194),"")</f>
        <v>3.1332853432915809E-3</v>
      </c>
      <c r="Y194" s="42"/>
    </row>
    <row r="195" spans="15:25">
      <c r="O195" s="37">
        <f t="shared" si="2"/>
        <v>8.9999999999999959E-3</v>
      </c>
      <c r="P195" s="38">
        <f>IFERROR(_xll.qlBlackFormula(IF(O195&lt;$C$4,"Put","Call"),O195,$C$4,$C$9*SQRT($C$7)),"")</f>
        <v>3.993465528385761E-4</v>
      </c>
      <c r="Q195" s="39">
        <f>IFERROR(_xll.qlBlackFormula(IF(O195&lt;$C$4,"Put","Call"),O195,$C$4,$C$10*SQRT($C$7),,$C$11),"")</f>
        <v>2.6908906023336465E-4</v>
      </c>
      <c r="R195" s="40">
        <f>IFERROR(_xll.qlBachelierBlackFormula(IF(O195&lt;$C$4,"Put","Call"),O195,$C$4,$C$12*SQRT($C$7)),"")</f>
        <v>1.4989306482159987E-4</v>
      </c>
      <c r="S195" s="41">
        <f>IFERROR((_xll.qlBlackFormula(IF(O195&lt;$C$4,"Put","Call"),O195+$C$14,$C$4,$C$9*SQRT($C$7))-
2*_xll.qlBlackFormula(IF(O195&lt;$C$4,"Put","Call"),O195,$C$4,$C$9*SQRT($C$7))+
_xll.qlBlackFormula(IF(O195&lt;$C$4,"Put","Call"),O195-$C$14,$C$4,$C$9*SQRT($C$7)))/$C$14^2,"")</f>
        <v>32.205181121729154</v>
      </c>
      <c r="T195" s="42">
        <f>IFERROR((_xll.qlBlackFormula(IF(O195&lt;$C$4,"Put","Call"),O195+$C$14,$C$4,$C$10*SQRT($C$7),,$C$11)-
2*_xll.qlBlackFormula(IF(O195&lt;$C$4,"Put","Call"),O195,$C$4,$C$10*SQRT($C$7),,$C$11)+
_xll.qlBlackFormula(IF(O195&lt;$C$4,"Put","Call"),O195-$C$14,$C$4,$C$10*SQRT($C$7),,$C$11))/$C$14^2,"")</f>
        <v>42.677518853964649</v>
      </c>
      <c r="U195" s="43">
        <f>IFERROR((_xll.qlBachelierBlackFormula(IF(O195&lt;$C$4,"Put","Call"),O195+$C$14,$C$4,$C$12*SQRT($C$7))-
2*_xll.qlBachelierBlackFormula(IF(O195&lt;$C$4,"Put","Call"),O195,$C$4,$C$12*SQRT($C$7))+
_xll.qlBachelierBlackFormula(IF(O195&lt;$C$4,"Put","Call"),O195-$C$14,$C$4,$C$12*SQRT($C$7)))/$C$14^2,"")</f>
        <v>56.36573049668317</v>
      </c>
      <c r="V195" s="61">
        <f>IFERROR(_xll.qlBachelierBlackFormulaImpliedVol(IF(O195&lt;$C$4,"Put","Call"),O195,$C$4,$C$7,P195),"")</f>
        <v>4.2647241477482261E-3</v>
      </c>
      <c r="W195" s="61">
        <f>IFERROR(_xll.qlBachelierBlackFormulaImpliedVol(IF(O195&lt;$C$4,"Put","Call"),O195,$C$4,$C$7,Q195),"")</f>
        <v>3.7248808426694363E-3</v>
      </c>
      <c r="X195" s="61">
        <f>IFERROR(_xll.qlBachelierBlackFormulaImpliedVol(IF(O195&lt;$C$4,"Put","Call"),O195,$C$4,$C$7,R195),"")</f>
        <v>3.1332853432916399E-3</v>
      </c>
      <c r="Y195" s="42"/>
    </row>
    <row r="196" spans="15:25">
      <c r="O196" s="37">
        <f t="shared" si="2"/>
        <v>9.0999999999999952E-3</v>
      </c>
      <c r="P196" s="38">
        <f>IFERROR(_xll.qlBlackFormula(IF(O196&lt;$C$4,"Put","Call"),O196,$C$4,$C$9*SQRT($C$7)),"")</f>
        <v>3.8877513857675777E-4</v>
      </c>
      <c r="Q196" s="39">
        <f>IFERROR(_xll.qlBlackFormula(IF(O196&lt;$C$4,"Put","Call"),O196,$C$4,$C$10*SQRT($C$7),,$C$11),"")</f>
        <v>2.5830437286547504E-4</v>
      </c>
      <c r="R196" s="40">
        <f>IFERROR(_xll.qlBachelierBlackFormula(IF(O196&lt;$C$4,"Put","Call"),O196,$C$4,$C$12*SQRT($C$7)),"")</f>
        <v>1.400841762975626E-4</v>
      </c>
      <c r="S196" s="41">
        <f>IFERROR((_xll.qlBlackFormula(IF(O196&lt;$C$4,"Put","Call"),O196+$C$14,$C$4,$C$9*SQRT($C$7))-
2*_xll.qlBlackFormula(IF(O196&lt;$C$4,"Put","Call"),O196,$C$4,$C$9*SQRT($C$7))+
_xll.qlBlackFormula(IF(O196&lt;$C$4,"Put","Call"),O196-$C$14,$C$4,$C$9*SQRT($C$7)))/$C$14^2,"")</f>
        <v>31.168555692136223</v>
      </c>
      <c r="T196" s="42">
        <f>IFERROR((_xll.qlBlackFormula(IF(O196&lt;$C$4,"Put","Call"),O196+$C$14,$C$4,$C$10*SQRT($C$7),,$C$11)-
2*_xll.qlBlackFormula(IF(O196&lt;$C$4,"Put","Call"),O196,$C$4,$C$10*SQRT($C$7),,$C$11)+
_xll.qlBlackFormula(IF(O196&lt;$C$4,"Put","Call"),O196-$C$14,$C$4,$C$10*SQRT($C$7),,$C$11))/$C$14^2,"")</f>
        <v>41.204470391242864</v>
      </c>
      <c r="U196" s="43">
        <f>IFERROR((_xll.qlBachelierBlackFormula(IF(O196&lt;$C$4,"Put","Call"),O196+$C$14,$C$4,$C$12*SQRT($C$7))-
2*_xll.qlBachelierBlackFormula(IF(O196&lt;$C$4,"Put","Call"),O196,$C$4,$C$12*SQRT($C$7))+
_xll.qlBachelierBlackFormula(IF(O196&lt;$C$4,"Put","Call"),O196-$C$14,$C$4,$C$12*SQRT($C$7)))/$C$14^2,"")</f>
        <v>54.08778611624976</v>
      </c>
      <c r="V196" s="61">
        <f>IFERROR(_xll.qlBachelierBlackFormulaImpliedVol(IF(O196&lt;$C$4,"Put","Call"),O196,$C$4,$C$7,P196),"")</f>
        <v>4.290689210018515E-3</v>
      </c>
      <c r="W196" s="61">
        <f>IFERROR(_xll.qlBachelierBlackFormulaImpliedVol(IF(O196&lt;$C$4,"Put","Call"),O196,$C$4,$C$7,Q196),"")</f>
        <v>3.7389134737148737E-3</v>
      </c>
      <c r="X196" s="61">
        <f>IFERROR(_xll.qlBachelierBlackFormulaImpliedVol(IF(O196&lt;$C$4,"Put","Call"),O196,$C$4,$C$7,R196),"")</f>
        <v>3.1332853432912066E-3</v>
      </c>
      <c r="Y196" s="42"/>
    </row>
    <row r="197" spans="15:25">
      <c r="O197" s="37">
        <f t="shared" si="2"/>
        <v>9.1999999999999946E-3</v>
      </c>
      <c r="P197" s="38">
        <f>IFERROR(_xll.qlBlackFormula(IF(O197&lt;$C$4,"Put","Call"),O197,$C$4,$C$9*SQRT($C$7)),"")</f>
        <v>3.7851543923980355E-4</v>
      </c>
      <c r="Q197" s="39">
        <f>IFERROR(_xll.qlBlackFormula(IF(O197&lt;$C$4,"Put","Call"),O197,$C$4,$C$10*SQRT($C$7),,$C$11),"")</f>
        <v>2.479317640017365E-4</v>
      </c>
      <c r="R197" s="40">
        <f>IFERROR(_xll.qlBachelierBlackFormula(IF(O197&lt;$C$4,"Put","Call"),O197,$C$4,$C$12*SQRT($C$7)),"")</f>
        <v>1.3081619832606257E-4</v>
      </c>
      <c r="S197" s="41">
        <f>IFERROR((_xll.qlBlackFormula(IF(O197&lt;$C$4,"Put","Call"),O197+$C$14,$C$4,$C$9*SQRT($C$7))-
2*_xll.qlBlackFormula(IF(O197&lt;$C$4,"Put","Call"),O197,$C$4,$C$9*SQRT($C$7))+
_xll.qlBlackFormula(IF(O197&lt;$C$4,"Put","Call"),O197-$C$14,$C$4,$C$9*SQRT($C$7)))/$C$14^2,"")</f>
        <v>30.167164231063861</v>
      </c>
      <c r="T197" s="42">
        <f>IFERROR((_xll.qlBlackFormula(IF(O197&lt;$C$4,"Put","Call"),O197+$C$14,$C$4,$C$10*SQRT($C$7),,$C$11)-
2*_xll.qlBlackFormula(IF(O197&lt;$C$4,"Put","Call"),O197,$C$4,$C$10*SQRT($C$7),,$C$11)+
_xll.qlBlackFormula(IF(O197&lt;$C$4,"Put","Call"),O197-$C$14,$C$4,$C$10*SQRT($C$7),,$C$11))/$C$14^2,"")</f>
        <v>39.771996460102876</v>
      </c>
      <c r="U197" s="43">
        <f>IFERROR((_xll.qlBachelierBlackFormula(IF(O197&lt;$C$4,"Put","Call"),O197+$C$14,$C$4,$C$12*SQRT($C$7))-
2*_xll.qlBachelierBlackFormula(IF(O197&lt;$C$4,"Put","Call"),O197,$C$4,$C$12*SQRT($C$7))+
_xll.qlBachelierBlackFormula(IF(O197&lt;$C$4,"Put","Call"),O197-$C$14,$C$4,$C$12*SQRT($C$7)))/$C$14^2,"")</f>
        <v>51.849061882044275</v>
      </c>
      <c r="V197" s="61">
        <f>IFERROR(_xll.qlBachelierBlackFormulaImpliedVol(IF(O197&lt;$C$4,"Put","Call"),O197,$C$4,$C$7,P197),"")</f>
        <v>4.3165685724578795E-3</v>
      </c>
      <c r="W197" s="61">
        <f>IFERROR(_xll.qlBachelierBlackFormulaImpliedVol(IF(O197&lt;$C$4,"Put","Call"),O197,$C$4,$C$7,Q197),"")</f>
        <v>3.752914834650639E-3</v>
      </c>
      <c r="X197" s="61">
        <f>IFERROR(_xll.qlBachelierBlackFormulaImpliedVol(IF(O197&lt;$C$4,"Put","Call"),O197,$C$4,$C$7,R197),"")</f>
        <v>3.1332853432902339E-3</v>
      </c>
      <c r="Y197" s="42"/>
    </row>
    <row r="198" spans="15:25">
      <c r="O198" s="37">
        <f t="shared" si="2"/>
        <v>9.299999999999994E-3</v>
      </c>
      <c r="P198" s="38">
        <f>IFERROR(_xll.qlBlackFormula(IF(O198&lt;$C$4,"Put","Call"),O198,$C$4,$C$9*SQRT($C$7)),"")</f>
        <v>3.6855743989882173E-4</v>
      </c>
      <c r="Q198" s="39">
        <f>IFERROR(_xll.qlBlackFormula(IF(O198&lt;$C$4,"Put","Call"),O198,$C$4,$C$10*SQRT($C$7),,$C$11),"")</f>
        <v>2.3795690856783631E-4</v>
      </c>
      <c r="R198" s="40">
        <f>IFERROR(_xll.qlBachelierBlackFormula(IF(O198&lt;$C$4,"Put","Call"),O198,$C$4,$C$12*SQRT($C$7)),"")</f>
        <v>1.2206674603262911E-4</v>
      </c>
      <c r="S198" s="41">
        <f>IFERROR((_xll.qlBlackFormula(IF(O198&lt;$C$4,"Put","Call"),O198+$C$14,$C$4,$C$9*SQRT($C$7))-
2*_xll.qlBlackFormula(IF(O198&lt;$C$4,"Put","Call"),O198,$C$4,$C$9*SQRT($C$7))+
_xll.qlBlackFormula(IF(O198&lt;$C$4,"Put","Call"),O198-$C$14,$C$4,$C$9*SQRT($C$7)))/$C$14^2,"")</f>
        <v>29.199803599361253</v>
      </c>
      <c r="T198" s="42">
        <f>IFERROR((_xll.qlBlackFormula(IF(O198&lt;$C$4,"Put","Call"),O198+$C$14,$C$4,$C$10*SQRT($C$7),,$C$11)-
2*_xll.qlBlackFormula(IF(O198&lt;$C$4,"Put","Call"),O198,$C$4,$C$10*SQRT($C$7),,$C$11)+
_xll.qlBlackFormula(IF(O198&lt;$C$4,"Put","Call"),O198-$C$14,$C$4,$C$10*SQRT($C$7),,$C$11))/$C$14^2,"")</f>
        <v>38.37968723212348</v>
      </c>
      <c r="U198" s="43">
        <f>IFERROR((_xll.qlBachelierBlackFormula(IF(O198&lt;$C$4,"Put","Call"),O198+$C$14,$C$4,$C$12*SQRT($C$7))-
2*_xll.qlBachelierBlackFormula(IF(O198&lt;$C$4,"Put","Call"),O198,$C$4,$C$12*SQRT($C$7))+
_xll.qlBachelierBlackFormula(IF(O198&lt;$C$4,"Put","Call"),O198-$C$14,$C$4,$C$12*SQRT($C$7)))/$C$14^2,"")</f>
        <v>49.652398891649604</v>
      </c>
      <c r="V198" s="61">
        <f>IFERROR(_xll.qlBachelierBlackFormulaImpliedVol(IF(O198&lt;$C$4,"Put","Call"),O198,$C$4,$C$7,P198),"")</f>
        <v>4.342363600848529E-3</v>
      </c>
      <c r="W198" s="61">
        <f>IFERROR(_xll.qlBachelierBlackFormulaImpliedVol(IF(O198&lt;$C$4,"Put","Call"),O198,$C$4,$C$7,Q198),"")</f>
        <v>3.7668852514277117E-3</v>
      </c>
      <c r="X198" s="61">
        <f>IFERROR(_xll.qlBachelierBlackFormulaImpliedVol(IF(O198&lt;$C$4,"Put","Call"),O198,$C$4,$C$7,R198),"")</f>
        <v>3.1332853432887464E-3</v>
      </c>
      <c r="Y198" s="42"/>
    </row>
    <row r="199" spans="15:25">
      <c r="O199" s="37">
        <f t="shared" ref="O199:O262" si="3">O198+0.01%</f>
        <v>9.3999999999999934E-3</v>
      </c>
      <c r="P199" s="38">
        <f>IFERROR(_xll.qlBlackFormula(IF(O199&lt;$C$4,"Put","Call"),O199,$C$4,$C$9*SQRT($C$7)),"")</f>
        <v>3.5889146598097642E-4</v>
      </c>
      <c r="Q199" s="39">
        <f>IFERROR(_xll.qlBlackFormula(IF(O199&lt;$C$4,"Put","Call"),O199,$C$4,$C$10*SQRT($C$7),,$C$11),"")</f>
        <v>2.2836588311737579E-4</v>
      </c>
      <c r="R199" s="40">
        <f>IFERROR(_xll.qlBachelierBlackFormula(IF(O199&lt;$C$4,"Put","Call"),O199,$C$4,$C$12*SQRT($C$7)),"")</f>
        <v>1.1381385494664835E-4</v>
      </c>
      <c r="S199" s="41">
        <f>IFERROR((_xll.qlBlackFormula(IF(O199&lt;$C$4,"Put","Call"),O199+$C$14,$C$4,$C$9*SQRT($C$7))-
2*_xll.qlBlackFormula(IF(O199&lt;$C$4,"Put","Call"),O199,$C$4,$C$9*SQRT($C$7))+
_xll.qlBlackFormula(IF(O199&lt;$C$4,"Put","Call"),O199-$C$14,$C$4,$C$9*SQRT($C$7)))/$C$14^2,"")</f>
        <v>28.265311315459062</v>
      </c>
      <c r="T199" s="42">
        <f>IFERROR((_xll.qlBlackFormula(IF(O199&lt;$C$4,"Put","Call"),O199+$C$14,$C$4,$C$10*SQRT($C$7),,$C$11)-
2*_xll.qlBlackFormula(IF(O199&lt;$C$4,"Put","Call"),O199,$C$4,$C$10*SQRT($C$7),,$C$11)+
_xll.qlBlackFormula(IF(O199&lt;$C$4,"Put","Call"),O199-$C$14,$C$4,$C$10*SQRT($C$7),,$C$11))/$C$14^2,"")</f>
        <v>37.027089944477453</v>
      </c>
      <c r="U199" s="43">
        <f>IFERROR((_xll.qlBachelierBlackFormula(IF(O199&lt;$C$4,"Put","Call"),O199+$C$14,$C$4,$C$12*SQRT($C$7))-
2*_xll.qlBachelierBlackFormula(IF(O199&lt;$C$4,"Put","Call"),O199,$C$4,$C$12*SQRT($C$7))+
_xll.qlBachelierBlackFormula(IF(O199&lt;$C$4,"Put","Call"),O199-$C$14,$C$4,$C$12*SQRT($C$7)))/$C$14^2,"")</f>
        <v>47.500392020335262</v>
      </c>
      <c r="V199" s="61">
        <f>IFERROR(_xll.qlBachelierBlackFormulaImpliedVol(IF(O199&lt;$C$4,"Put","Call"),O199,$C$4,$C$7,P199),"")</f>
        <v>4.3680756243061579E-3</v>
      </c>
      <c r="W199" s="61">
        <f>IFERROR(_xll.qlBachelierBlackFormulaImpliedVol(IF(O199&lt;$C$4,"Put","Call"),O199,$C$4,$C$7,Q199),"")</f>
        <v>3.7808250442720667E-3</v>
      </c>
      <c r="X199" s="61">
        <f>IFERROR(_xll.qlBachelierBlackFormulaImpliedVol(IF(O199&lt;$C$4,"Put","Call"),O199,$C$4,$C$7,R199),"")</f>
        <v>3.1332853432868503E-3</v>
      </c>
      <c r="Y199" s="42"/>
    </row>
    <row r="200" spans="15:25">
      <c r="O200" s="37">
        <f t="shared" si="3"/>
        <v>9.4999999999999928E-3</v>
      </c>
      <c r="P200" s="38">
        <f>IFERROR(_xll.qlBlackFormula(IF(O200&lt;$C$4,"Put","Call"),O200,$C$4,$C$9*SQRT($C$7)),"")</f>
        <v>3.4950817162861356E-4</v>
      </c>
      <c r="Q200" s="39">
        <f>IFERROR(_xll.qlBlackFormula(IF(O200&lt;$C$4,"Put","Call"),O200,$C$4,$C$10*SQRT($C$7),,$C$11),"")</f>
        <v>2.1914516121862159E-4</v>
      </c>
      <c r="R200" s="40">
        <f>IFERROR(_xll.qlBachelierBlackFormula(IF(O200&lt;$C$4,"Put","Call"),O200,$C$4,$C$12*SQRT($C$7)),"")</f>
        <v>1.0603600696150575E-4</v>
      </c>
      <c r="S200" s="41">
        <f>IFERROR((_xll.qlBlackFormula(IF(O200&lt;$C$4,"Put","Call"),O200+$C$14,$C$4,$C$9*SQRT($C$7))-
2*_xll.qlBlackFormula(IF(O200&lt;$C$4,"Put","Call"),O200,$C$4,$C$9*SQRT($C$7))+
_xll.qlBlackFormula(IF(O200&lt;$C$4,"Put","Call"),O200-$C$14,$C$4,$C$9*SQRT($C$7)))/$C$14^2,"")</f>
        <v>27.362561110140515</v>
      </c>
      <c r="T200" s="42">
        <f>IFERROR((_xll.qlBlackFormula(IF(O200&lt;$C$4,"Put","Call"),O200+$C$14,$C$4,$C$10*SQRT($C$7),,$C$11)-
2*_xll.qlBlackFormula(IF(O200&lt;$C$4,"Put","Call"),O200,$C$4,$C$10*SQRT($C$7),,$C$11)+
_xll.qlBlackFormula(IF(O200&lt;$C$4,"Put","Call"),O200-$C$14,$C$4,$C$10*SQRT($C$7),,$C$11))/$C$14^2,"")</f>
        <v>35.713684180121994</v>
      </c>
      <c r="U200" s="43">
        <f>IFERROR((_xll.qlBachelierBlackFormula(IF(O200&lt;$C$4,"Put","Call"),O200+$C$14,$C$4,$C$12*SQRT($C$7))-
2*_xll.qlBachelierBlackFormula(IF(O200&lt;$C$4,"Put","Call"),O200,$C$4,$C$12*SQRT($C$7))+
_xll.qlBachelierBlackFormula(IF(O200&lt;$C$4,"Put","Call"),O200-$C$14,$C$4,$C$12*SQRT($C$7)))/$C$14^2,"")</f>
        <v>45.395393661554898</v>
      </c>
      <c r="V200" s="61">
        <f>IFERROR(_xll.qlBachelierBlackFormulaImpliedVol(IF(O200&lt;$C$4,"Put","Call"),O200,$C$4,$C$7,P200),"")</f>
        <v>4.3937059366503757E-3</v>
      </c>
      <c r="W200" s="61">
        <f>IFERROR(_xll.qlBachelierBlackFormulaImpliedVol(IF(O200&lt;$C$4,"Put","Call"),O200,$C$4,$C$7,Q200),"")</f>
        <v>3.794734527825013E-3</v>
      </c>
      <c r="X200" s="61">
        <f>IFERROR(_xll.qlBachelierBlackFormulaImpliedVol(IF(O200&lt;$C$4,"Put","Call"),O200,$C$4,$C$7,R200),"")</f>
        <v>3.1332853432847149E-3</v>
      </c>
      <c r="Y200" s="42"/>
    </row>
    <row r="201" spans="15:25">
      <c r="O201" s="37">
        <f t="shared" si="3"/>
        <v>9.5999999999999922E-3</v>
      </c>
      <c r="P201" s="38">
        <f>IFERROR(_xll.qlBlackFormula(IF(O201&lt;$C$4,"Put","Call"),O201,$C$4,$C$9*SQRT($C$7)),"")</f>
        <v>3.4039852841386714E-4</v>
      </c>
      <c r="Q201" s="39">
        <f>IFERROR(_xll.qlBlackFormula(IF(O201&lt;$C$4,"Put","Call"),O201,$C$4,$C$10*SQRT($C$7),,$C$11),"")</f>
        <v>2.1028160836735659E-4</v>
      </c>
      <c r="R201" s="40">
        <f>IFERROR(_xll.qlBachelierBlackFormula(IF(O201&lt;$C$4,"Put","Call"),O201,$C$4,$C$12*SQRT($C$7)),"")</f>
        <v>9.8712153849151937E-5</v>
      </c>
      <c r="S201" s="41">
        <f>IFERROR((_xll.qlBlackFormula(IF(O201&lt;$C$4,"Put","Call"),O201+$C$14,$C$4,$C$9*SQRT($C$7))-
2*_xll.qlBlackFormula(IF(O201&lt;$C$4,"Put","Call"),O201,$C$4,$C$9*SQRT($C$7))+
_xll.qlBlackFormula(IF(O201&lt;$C$4,"Put","Call"),O201-$C$14,$C$4,$C$9*SQRT($C$7)))/$C$14^2,"")</f>
        <v>26.490454361344231</v>
      </c>
      <c r="T201" s="42">
        <f>IFERROR((_xll.qlBlackFormula(IF(O201&lt;$C$4,"Put","Call"),O201+$C$14,$C$4,$C$10*SQRT($C$7),,$C$11)-
2*_xll.qlBlackFormula(IF(O201&lt;$C$4,"Put","Call"),O201,$C$4,$C$10*SQRT($C$7),,$C$11)+
_xll.qlBlackFormula(IF(O201&lt;$C$4,"Put","Call"),O201-$C$14,$C$4,$C$10*SQRT($C$7),,$C$11))/$C$14^2,"")</f>
        <v>34.438923718002613</v>
      </c>
      <c r="U201" s="43">
        <f>IFERROR((_xll.qlBachelierBlackFormula(IF(O201&lt;$C$4,"Put","Call"),O201+$C$14,$C$4,$C$12*SQRT($C$7))-
2*_xll.qlBachelierBlackFormula(IF(O201&lt;$C$4,"Put","Call"),O201,$C$4,$C$12*SQRT($C$7))+
_xll.qlBachelierBlackFormula(IF(O201&lt;$C$4,"Put","Call"),O201-$C$14,$C$4,$C$12*SQRT($C$7)))/$C$14^2,"")</f>
        <v>43.339511612752041</v>
      </c>
      <c r="V201" s="61">
        <f>IFERROR(_xll.qlBachelierBlackFormulaImpliedVol(IF(O201&lt;$C$4,"Put","Call"),O201,$C$4,$C$7,P201),"")</f>
        <v>4.419255797709863E-3</v>
      </c>
      <c r="W201" s="61">
        <f>IFERROR(_xll.qlBachelierBlackFormulaImpliedVol(IF(O201&lt;$C$4,"Put","Call"),O201,$C$4,$C$7,Q201),"")</f>
        <v>3.8086140112790585E-3</v>
      </c>
      <c r="X201" s="61">
        <f>IFERROR(_xll.qlBachelierBlackFormulaImpliedVol(IF(O201&lt;$C$4,"Put","Call"),O201,$C$4,$C$7,R201),"")</f>
        <v>3.1332853432825946E-3</v>
      </c>
      <c r="Y201" s="42"/>
    </row>
    <row r="202" spans="15:25">
      <c r="O202" s="37">
        <f t="shared" si="3"/>
        <v>9.6999999999999916E-3</v>
      </c>
      <c r="P202" s="38">
        <f>IFERROR(_xll.qlBlackFormula(IF(O202&lt;$C$4,"Put","Call"),O202,$C$4,$C$9*SQRT($C$7)),"")</f>
        <v>3.3155381440372735E-4</v>
      </c>
      <c r="Q202" s="39">
        <f>IFERROR(_xll.qlBlackFormula(IF(O202&lt;$C$4,"Put","Call"),O202,$C$4,$C$10*SQRT($C$7),,$C$11),"")</f>
        <v>2.0176247647550973E-4</v>
      </c>
      <c r="R202" s="40">
        <f>IFERROR(_xll.qlBachelierBlackFormula(IF(O202&lt;$C$4,"Put","Call"),O202,$C$4,$C$12*SQRT($C$7)),"")</f>
        <v>9.1821738341401813E-5</v>
      </c>
      <c r="S202" s="41">
        <f>IFERROR((_xll.qlBlackFormula(IF(O202&lt;$C$4,"Put","Call"),O202+$C$14,$C$4,$C$9*SQRT($C$7))-
2*_xll.qlBlackFormula(IF(O202&lt;$C$4,"Put","Call"),O202,$C$4,$C$9*SQRT($C$7))+
_xll.qlBlackFormula(IF(O202&lt;$C$4,"Put","Call"),O202-$C$14,$C$4,$C$9*SQRT($C$7)))/$C$14^2,"")</f>
        <v>25.647938417180939</v>
      </c>
      <c r="T202" s="42">
        <f>IFERROR((_xll.qlBlackFormula(IF(O202&lt;$C$4,"Put","Call"),O202+$C$14,$C$4,$C$10*SQRT($C$7),,$C$11)-
2*_xll.qlBlackFormula(IF(O202&lt;$C$4,"Put","Call"),O202,$C$4,$C$10*SQRT($C$7),,$C$11)+
_xll.qlBlackFormula(IF(O202&lt;$C$4,"Put","Call"),O202-$C$14,$C$4,$C$10*SQRT($C$7),,$C$11))/$C$14^2,"")</f>
        <v>33.202221787903554</v>
      </c>
      <c r="U202" s="43">
        <f>IFERROR((_xll.qlBachelierBlackFormula(IF(O202&lt;$C$4,"Put","Call"),O202+$C$14,$C$4,$C$12*SQRT($C$7))-
2*_xll.qlBachelierBlackFormula(IF(O202&lt;$C$4,"Put","Call"),O202,$C$4,$C$12*SQRT($C$7))+
_xll.qlBachelierBlackFormula(IF(O202&lt;$C$4,"Put","Call"),O202-$C$14,$C$4,$C$12*SQRT($C$7)))/$C$14^2,"")</f>
        <v>41.334611785865533</v>
      </c>
      <c r="V202" s="61">
        <f>IFERROR(_xll.qlBachelierBlackFormulaImpliedVol(IF(O202&lt;$C$4,"Put","Call"),O202,$C$4,$C$7,P202),"")</f>
        <v>4.4447264345659869E-3</v>
      </c>
      <c r="W202" s="61">
        <f>IFERROR(_xll.qlBachelierBlackFormulaImpliedVol(IF(O202&lt;$C$4,"Put","Call"),O202,$C$4,$C$7,Q202),"")</f>
        <v>3.8224637985096303E-3</v>
      </c>
      <c r="X202" s="61">
        <f>IFERROR(_xll.qlBachelierBlackFormulaImpliedVol(IF(O202&lt;$C$4,"Put","Call"),O202,$C$4,$C$7,R202),"")</f>
        <v>3.1332853432807744E-3</v>
      </c>
      <c r="Y202" s="42"/>
    </row>
    <row r="203" spans="15:25">
      <c r="O203" s="37">
        <f t="shared" si="3"/>
        <v>9.799999999999991E-3</v>
      </c>
      <c r="P203" s="38">
        <f>IFERROR(_xll.qlBlackFormula(IF(O203&lt;$C$4,"Put","Call"),O203,$C$4,$C$9*SQRT($C$7)),"")</f>
        <v>3.2296560356989896E-4</v>
      </c>
      <c r="Q203" s="39">
        <f>IFERROR(_xll.qlBlackFormula(IF(O203&lt;$C$4,"Put","Call"),O203,$C$4,$C$10*SQRT($C$7),,$C$11),"")</f>
        <v>1.935753979823505E-4</v>
      </c>
      <c r="R203" s="40">
        <f>IFERROR(_xll.qlBachelierBlackFormula(IF(O203&lt;$C$4,"Put","Call"),O203,$C$4,$C$12*SQRT($C$7)),"")</f>
        <v>8.5344712801847279E-5</v>
      </c>
      <c r="S203" s="41">
        <f>IFERROR((_xll.qlBlackFormula(IF(O203&lt;$C$4,"Put","Call"),O203+$C$14,$C$4,$C$9*SQRT($C$7))-
2*_xll.qlBlackFormula(IF(O203&lt;$C$4,"Put","Call"),O203,$C$4,$C$9*SQRT($C$7))+
_xll.qlBlackFormula(IF(O203&lt;$C$4,"Put","Call"),O203-$C$14,$C$4,$C$9*SQRT($C$7)))/$C$14^2,"")</f>
        <v>24.833982851905912</v>
      </c>
      <c r="T203" s="42">
        <f>IFERROR((_xll.qlBlackFormula(IF(O203&lt;$C$4,"Put","Call"),O203+$C$14,$C$4,$C$10*SQRT($C$7),,$C$11)-
2*_xll.qlBlackFormula(IF(O203&lt;$C$4,"Put","Call"),O203,$C$4,$C$10*SQRT($C$7),,$C$11)+
_xll.qlBlackFormula(IF(O203&lt;$C$4,"Put","Call"),O203-$C$14,$C$4,$C$10*SQRT($C$7),,$C$11))/$C$14^2,"")</f>
        <v>32.002949769405213</v>
      </c>
      <c r="U203" s="43">
        <f>IFERROR((_xll.qlBachelierBlackFormula(IF(O203&lt;$C$4,"Put","Call"),O203+$C$14,$C$4,$C$12*SQRT($C$7))-
2*_xll.qlBachelierBlackFormula(IF(O203&lt;$C$4,"Put","Call"),O203,$C$4,$C$12*SQRT($C$7))+
_xll.qlBachelierBlackFormula(IF(O203&lt;$C$4,"Put","Call"),O203-$C$14,$C$4,$C$12*SQRT($C$7)))/$C$14^2,"")</f>
        <v>39.382324766752689</v>
      </c>
      <c r="V203" s="61">
        <f>IFERROR(_xll.qlBachelierBlackFormulaImpliedVol(IF(O203&lt;$C$4,"Put","Call"),O203,$C$4,$C$7,P203),"")</f>
        <v>4.4701190427385061E-3</v>
      </c>
      <c r="W203" s="61">
        <f>IFERROR(_xll.qlBachelierBlackFormulaImpliedVol(IF(O203&lt;$C$4,"Put","Call"),O203,$C$4,$C$7,Q203),"")</f>
        <v>3.8362841882027036E-3</v>
      </c>
      <c r="X203" s="61">
        <f>IFERROR(_xll.qlBachelierBlackFormulaImpliedVol(IF(O203&lt;$C$4,"Put","Call"),O203,$C$4,$C$7,R203),"")</f>
        <v>3.1332853432795697E-3</v>
      </c>
      <c r="Y203" s="42"/>
    </row>
    <row r="204" spans="15:25">
      <c r="O204" s="37">
        <f t="shared" si="3"/>
        <v>9.8999999999999904E-3</v>
      </c>
      <c r="P204" s="38">
        <f>IFERROR(_xll.qlBlackFormula(IF(O204&lt;$C$4,"Put","Call"),O204,$C$4,$C$9*SQRT($C$7)),"")</f>
        <v>3.1462575553717852E-4</v>
      </c>
      <c r="Q204" s="39">
        <f>IFERROR(_xll.qlBlackFormula(IF(O204&lt;$C$4,"Put","Call"),O204,$C$4,$C$10*SQRT($C$7),,$C$11),"")</f>
        <v>1.857083796323216E-4</v>
      </c>
      <c r="R204" s="40">
        <f>IFERROR(_xll.qlBachelierBlackFormula(IF(O204&lt;$C$4,"Put","Call"),O204,$C$4,$C$12*SQRT($C$7)),"")</f>
        <v>7.9261555523176355E-5</v>
      </c>
      <c r="S204" s="41">
        <f>IFERROR((_xll.qlBlackFormula(IF(O204&lt;$C$4,"Put","Call"),O204+$C$14,$C$4,$C$9*SQRT($C$7))-
2*_xll.qlBlackFormula(IF(O204&lt;$C$4,"Put","Call"),O204,$C$4,$C$9*SQRT($C$7))+
_xll.qlBlackFormula(IF(O204&lt;$C$4,"Put","Call"),O204-$C$14,$C$4,$C$9*SQRT($C$7)))/$C$14^2,"")</f>
        <v>24.047598005776106</v>
      </c>
      <c r="T204" s="42">
        <f>IFERROR((_xll.qlBlackFormula(IF(O204&lt;$C$4,"Put","Call"),O204+$C$14,$C$4,$C$10*SQRT($C$7),,$C$11)-
2*_xll.qlBlackFormula(IF(O204&lt;$C$4,"Put","Call"),O204,$C$4,$C$10*SQRT($C$7),,$C$11)+
_xll.qlBlackFormula(IF(O204&lt;$C$4,"Put","Call"),O204-$C$14,$C$4,$C$10*SQRT($C$7),,$C$11))/$C$14^2,"")</f>
        <v>30.840459526448871</v>
      </c>
      <c r="U204" s="43">
        <f>IFERROR((_xll.qlBachelierBlackFormula(IF(O204&lt;$C$4,"Put","Call"),O204+$C$14,$C$4,$C$12*SQRT($C$7))-
2*_xll.qlBachelierBlackFormula(IF(O204&lt;$C$4,"Put","Call"),O204,$C$4,$C$12*SQRT($C$7))+
_xll.qlBachelierBlackFormula(IF(O204&lt;$C$4,"Put","Call"),O204-$C$14,$C$4,$C$12*SQRT($C$7)))/$C$14^2,"")</f>
        <v>37.484046736761115</v>
      </c>
      <c r="V204" s="61">
        <f>IFERROR(_xll.qlBachelierBlackFormulaImpliedVol(IF(O204&lt;$C$4,"Put","Call"),O204,$C$4,$C$7,P204),"")</f>
        <v>4.4954347873164555E-3</v>
      </c>
      <c r="W204" s="61">
        <f>IFERROR(_xll.qlBachelierBlackFormulaImpliedVol(IF(O204&lt;$C$4,"Put","Call"),O204,$C$4,$C$7,Q204),"")</f>
        <v>3.8500754739784759E-3</v>
      </c>
      <c r="X204" s="61">
        <f>IFERROR(_xll.qlBachelierBlackFormulaImpliedVol(IF(O204&lt;$C$4,"Put","Call"),O204,$C$4,$C$7,R204),"")</f>
        <v>3.1332853432792531E-3</v>
      </c>
      <c r="Y204" s="42"/>
    </row>
    <row r="205" spans="15:25">
      <c r="O205" s="37">
        <f t="shared" si="3"/>
        <v>9.9999999999999898E-3</v>
      </c>
      <c r="P205" s="38">
        <f>IFERROR(_xll.qlBlackFormula(IF(O205&lt;$C$4,"Put","Call"),O205,$C$4,$C$9*SQRT($C$7)),"")</f>
        <v>3.0652640566364525E-4</v>
      </c>
      <c r="Q205" s="39">
        <f>IFERROR(_xll.qlBlackFormula(IF(O205&lt;$C$4,"Put","Call"),O205,$C$4,$C$10*SQRT($C$7),,$C$11),"")</f>
        <v>1.7814979596095302E-4</v>
      </c>
      <c r="R205" s="40">
        <f>IFERROR(_xll.qlBachelierBlackFormula(IF(O205&lt;$C$4,"Put","Call"),O205,$C$4,$C$12*SQRT($C$7)),"")</f>
        <v>7.3553284694898968E-5</v>
      </c>
      <c r="S205" s="41">
        <f>IFERROR((_xll.qlBlackFormula(IF(O205&lt;$C$4,"Put","Call"),O205+$C$14,$C$4,$C$9*SQRT($C$7))-
2*_xll.qlBlackFormula(IF(O205&lt;$C$4,"Put","Call"),O205,$C$4,$C$9*SQRT($C$7))+
_xll.qlBlackFormula(IF(O205&lt;$C$4,"Put","Call"),O205-$C$14,$C$4,$C$9*SQRT($C$7)))/$C$14^2,"")</f>
        <v>23.287825010390172</v>
      </c>
      <c r="T205" s="42">
        <f>IFERROR((_xll.qlBlackFormula(IF(O205&lt;$C$4,"Put","Call"),O205+$C$14,$C$4,$C$10*SQRT($C$7),,$C$11)-
2*_xll.qlBlackFormula(IF(O205&lt;$C$4,"Put","Call"),O205,$C$4,$C$10*SQRT($C$7),,$C$11)+
_xll.qlBlackFormula(IF(O205&lt;$C$4,"Put","Call"),O205-$C$14,$C$4,$C$10*SQRT($C$7),,$C$11))/$C$14^2,"")</f>
        <v>29.714073649517172</v>
      </c>
      <c r="U205" s="43">
        <f>IFERROR((_xll.qlBachelierBlackFormula(IF(O205&lt;$C$4,"Put","Call"),O205+$C$14,$C$4,$C$12*SQRT($C$7))-
2*_xll.qlBachelierBlackFormula(IF(O205&lt;$C$4,"Put","Call"),O205,$C$4,$C$12*SQRT($C$7))+
_xll.qlBachelierBlackFormula(IF(O205&lt;$C$4,"Put","Call"),O205-$C$14,$C$4,$C$12*SQRT($C$7)))/$C$14^2,"")</f>
        <v>35.640944893739622</v>
      </c>
      <c r="V205" s="61">
        <f>IFERROR(_xll.qlBachelierBlackFormulaImpliedVol(IF(O205&lt;$C$4,"Put","Call"),O205,$C$4,$C$7,P205),"")</f>
        <v>4.5206748040374526E-3</v>
      </c>
      <c r="W205" s="61">
        <f>IFERROR(_xll.qlBachelierBlackFormulaImpliedVol(IF(O205&lt;$C$4,"Put","Call"),O205,$C$4,$C$7,Q205),"")</f>
        <v>3.8638379445113278E-3</v>
      </c>
      <c r="X205" s="61">
        <f>IFERROR(_xll.qlBachelierBlackFormulaImpliedVol(IF(O205&lt;$C$4,"Put","Call"),O205,$C$4,$C$7,R205),"")</f>
        <v>3.1332853432800645E-3</v>
      </c>
      <c r="Y205" s="42"/>
    </row>
    <row r="206" spans="15:25">
      <c r="O206" s="37">
        <f t="shared" si="3"/>
        <v>1.0099999999999989E-2</v>
      </c>
      <c r="P206" s="38">
        <f>IFERROR(_xll.qlBlackFormula(IF(O206&lt;$C$4,"Put","Call"),O206,$C$4,$C$9*SQRT($C$7)),"")</f>
        <v>2.9865995544556051E-4</v>
      </c>
      <c r="Q206" s="39">
        <f>IFERROR(_xll.qlBlackFormula(IF(O206&lt;$C$4,"Put","Call"),O206,$C$4,$C$10*SQRT($C$7),,$C$11),"")</f>
        <v>1.7088838252765984E-4</v>
      </c>
      <c r="R206" s="40">
        <f>IFERROR(_xll.qlBachelierBlackFormula(IF(O206&lt;$C$4,"Put","Call"),O206,$C$4,$C$12*SQRT($C$7)),"")</f>
        <v>6.8201470095947676E-5</v>
      </c>
      <c r="S206" s="41">
        <f>IFERROR((_xll.qlBlackFormula(IF(O206&lt;$C$4,"Put","Call"),O206+$C$14,$C$4,$C$9*SQRT($C$7))-
2*_xll.qlBlackFormula(IF(O206&lt;$C$4,"Put","Call"),O206,$C$4,$C$9*SQRT($C$7))+
_xll.qlBlackFormula(IF(O206&lt;$C$4,"Put","Call"),O206-$C$14,$C$4,$C$9*SQRT($C$7)))/$C$14^2,"")</f>
        <v>22.5537353550076</v>
      </c>
      <c r="T206" s="42">
        <f>IFERROR((_xll.qlBlackFormula(IF(O206&lt;$C$4,"Put","Call"),O206+$C$14,$C$4,$C$10*SQRT($C$7),,$C$11)-
2*_xll.qlBlackFormula(IF(O206&lt;$C$4,"Put","Call"),O206,$C$4,$C$10*SQRT($C$7),,$C$11)+
_xll.qlBlackFormula(IF(O206&lt;$C$4,"Put","Call"),O206-$C$14,$C$4,$C$10*SQRT($C$7),,$C$11))/$C$14^2,"")</f>
        <v>28.623093695570589</v>
      </c>
      <c r="U206" s="43">
        <f>IFERROR((_xll.qlBachelierBlackFormula(IF(O206&lt;$C$4,"Put","Call"),O206+$C$14,$C$4,$C$12*SQRT($C$7))-
2*_xll.qlBachelierBlackFormula(IF(O206&lt;$C$4,"Put","Call"),O206,$C$4,$C$12*SQRT($C$7))+
_xll.qlBachelierBlackFormula(IF(O206&lt;$C$4,"Put","Call"),O206-$C$14,$C$4,$C$12*SQRT($C$7)))/$C$14^2,"")</f>
        <v>33.85396916142161</v>
      </c>
      <c r="V206" s="61">
        <f>IFERROR(_xll.qlBachelierBlackFormulaImpliedVol(IF(O206&lt;$C$4,"Put","Call"),O206,$C$4,$C$7,P206),"")</f>
        <v>4.5458402003181707E-3</v>
      </c>
      <c r="W206" s="61">
        <f>IFERROR(_xll.qlBachelierBlackFormulaImpliedVol(IF(O206&lt;$C$4,"Put","Call"),O206,$C$4,$C$7,Q206),"")</f>
        <v>3.877571883646114E-3</v>
      </c>
      <c r="X206" s="61">
        <f>IFERROR(_xll.qlBachelierBlackFormulaImpliedVol(IF(O206&lt;$C$4,"Put","Call"),O206,$C$4,$C$7,R206),"")</f>
        <v>3.1332853432821457E-3</v>
      </c>
      <c r="Y206" s="42"/>
    </row>
    <row r="207" spans="15:25">
      <c r="O207" s="37">
        <f t="shared" si="3"/>
        <v>1.0199999999999989E-2</v>
      </c>
      <c r="P207" s="38">
        <f>IFERROR(_xll.qlBlackFormula(IF(O207&lt;$C$4,"Put","Call"),O207,$C$4,$C$9*SQRT($C$7)),"")</f>
        <v>2.9101906323959759E-4</v>
      </c>
      <c r="Q207" s="39">
        <f>IFERROR(_xll.qlBlackFormula(IF(O207&lt;$C$4,"Put","Call"),O207,$C$4,$C$10*SQRT($C$7),,$C$11),"")</f>
        <v>1.6391322893179595E-4</v>
      </c>
      <c r="R207" s="40">
        <f>IFERROR(_xll.qlBachelierBlackFormula(IF(O207&lt;$C$4,"Put","Call"),O207,$C$4,$C$12*SQRT($C$7)),"")</f>
        <v>6.3188242575330528E-5</v>
      </c>
      <c r="S207" s="41">
        <f>IFERROR((_xll.qlBlackFormula(IF(O207&lt;$C$4,"Put","Call"),O207+$C$14,$C$4,$C$9*SQRT($C$7))-
2*_xll.qlBlackFormula(IF(O207&lt;$C$4,"Put","Call"),O207,$C$4,$C$9*SQRT($C$7))+
_xll.qlBlackFormula(IF(O207&lt;$C$4,"Put","Call"),O207-$C$14,$C$4,$C$9*SQRT($C$7)))/$C$14^2,"")</f>
        <v>21.844431537069998</v>
      </c>
      <c r="T207" s="42">
        <f>IFERROR((_xll.qlBlackFormula(IF(O207&lt;$C$4,"Put","Call"),O207+$C$14,$C$4,$C$10*SQRT($C$7),,$C$11)-
2*_xll.qlBlackFormula(IF(O207&lt;$C$4,"Put","Call"),O207,$C$4,$C$10*SQRT($C$7),,$C$11)+
_xll.qlBlackFormula(IF(O207&lt;$C$4,"Put","Call"),O207-$C$14,$C$4,$C$10*SQRT($C$7),,$C$11))/$C$14^2,"")</f>
        <v>27.566802356451813</v>
      </c>
      <c r="U207" s="43">
        <f>IFERROR((_xll.qlBachelierBlackFormula(IF(O207&lt;$C$4,"Put","Call"),O207+$C$14,$C$4,$C$12*SQRT($C$7))-
2*_xll.qlBachelierBlackFormula(IF(O207&lt;$C$4,"Put","Call"),O207,$C$4,$C$12*SQRT($C$7))+
_xll.qlBachelierBlackFormula(IF(O207&lt;$C$4,"Put","Call"),O207-$C$14,$C$4,$C$12*SQRT($C$7)))/$C$14^2,"")</f>
        <v>32.123851322063416</v>
      </c>
      <c r="V207" s="61">
        <f>IFERROR(_xll.qlBachelierBlackFormulaImpliedVol(IF(O207&lt;$C$4,"Put","Call"),O207,$C$4,$C$7,P207),"")</f>
        <v>4.570932056238642E-3</v>
      </c>
      <c r="W207" s="61">
        <f>IFERROR(_xll.qlBachelierBlackFormulaImpliedVol(IF(O207&lt;$C$4,"Put","Call"),O207,$C$4,$C$7,Q207),"")</f>
        <v>3.8912775705109994E-3</v>
      </c>
      <c r="X207" s="61">
        <f>IFERROR(_xll.qlBachelierBlackFormulaImpliedVol(IF(O207&lt;$C$4,"Put","Call"),O207,$C$4,$C$7,R207),"")</f>
        <v>3.1332853432855146E-3</v>
      </c>
      <c r="Y207" s="42"/>
    </row>
    <row r="208" spans="15:25">
      <c r="O208" s="37">
        <f t="shared" si="3"/>
        <v>1.0299999999999988E-2</v>
      </c>
      <c r="P208" s="38">
        <f>IFERROR(_xll.qlBlackFormula(IF(O208&lt;$C$4,"Put","Call"),O208,$C$4,$C$9*SQRT($C$7)),"")</f>
        <v>2.8359663529476309E-4</v>
      </c>
      <c r="Q208" s="39">
        <f>IFERROR(_xll.qlBlackFormula(IF(O208&lt;$C$4,"Put","Call"),O208,$C$4,$C$10*SQRT($C$7),,$C$11),"")</f>
        <v>1.5721377164588522E-4</v>
      </c>
      <c r="R208" s="40">
        <f>IFERROR(_xll.qlBachelierBlackFormula(IF(O208&lt;$C$4,"Put","Call"),O208,$C$4,$C$12*SQRT($C$7)),"")</f>
        <v>5.8496301391900888E-5</v>
      </c>
      <c r="S208" s="41">
        <f>IFERROR((_xll.qlBlackFormula(IF(O208&lt;$C$4,"Put","Call"),O208+$C$14,$C$4,$C$9*SQRT($C$7))-
2*_xll.qlBlackFormula(IF(O208&lt;$C$4,"Put","Call"),O208,$C$4,$C$9*SQRT($C$7))+
_xll.qlBlackFormula(IF(O208&lt;$C$4,"Put","Call"),O208-$C$14,$C$4,$C$9*SQRT($C$7)))/$C$14^2,"")</f>
        <v>21.159049881126769</v>
      </c>
      <c r="T208" s="42">
        <f>IFERROR((_xll.qlBlackFormula(IF(O208&lt;$C$4,"Put","Call"),O208+$C$14,$C$4,$C$10*SQRT($C$7),,$C$11)-
2*_xll.qlBlackFormula(IF(O208&lt;$C$4,"Put","Call"),O208,$C$4,$C$10*SQRT($C$7),,$C$11)+
_xll.qlBlackFormula(IF(O208&lt;$C$4,"Put","Call"),O208-$C$14,$C$4,$C$10*SQRT($C$7),,$C$11))/$C$14^2,"")</f>
        <v>26.544464543087898</v>
      </c>
      <c r="U208" s="43">
        <f>IFERROR((_xll.qlBachelierBlackFormula(IF(O208&lt;$C$4,"Put","Call"),O208+$C$14,$C$4,$C$12*SQRT($C$7))-
2*_xll.qlBachelierBlackFormula(IF(O208&lt;$C$4,"Put","Call"),O208,$C$4,$C$12*SQRT($C$7))+
_xll.qlBachelierBlackFormula(IF(O208&lt;$C$4,"Put","Call"),O208-$C$14,$C$4,$C$12*SQRT($C$7)))/$C$14^2,"")</f>
        <v>30.451118596076451</v>
      </c>
      <c r="V208" s="61">
        <f>IFERROR(_xll.qlBachelierBlackFormulaImpliedVol(IF(O208&lt;$C$4,"Put","Call"),O208,$C$4,$C$7,P208),"")</f>
        <v>4.5959514254829952E-3</v>
      </c>
      <c r="W208" s="61">
        <f>IFERROR(_xll.qlBachelierBlackFormulaImpliedVol(IF(O208&lt;$C$4,"Put","Call"),O208,$C$4,$C$7,Q208),"")</f>
        <v>3.904955279626878E-3</v>
      </c>
      <c r="X208" s="61">
        <f>IFERROR(_xll.qlBachelierBlackFormulaImpliedVol(IF(O208&lt;$C$4,"Put","Call"),O208,$C$4,$C$7,R208),"")</f>
        <v>3.133285343290073E-3</v>
      </c>
      <c r="Y208" s="42"/>
    </row>
    <row r="209" spans="15:25">
      <c r="O209" s="37">
        <f t="shared" si="3"/>
        <v>1.0399999999999987E-2</v>
      </c>
      <c r="P209" s="38">
        <f>IFERROR(_xll.qlBlackFormula(IF(O209&lt;$C$4,"Put","Call"),O209,$C$4,$C$9*SQRT($C$7)),"")</f>
        <v>2.763858170862322E-4</v>
      </c>
      <c r="Q209" s="39">
        <f>IFERROR(_xll.qlBlackFormula(IF(O209&lt;$C$4,"Put","Call"),O209,$C$4,$C$10*SQRT($C$7),,$C$11),"")</f>
        <v>1.507797866976792E-4</v>
      </c>
      <c r="R209" s="40">
        <f>IFERROR(_xll.qlBachelierBlackFormula(IF(O209&lt;$C$4,"Put","Call"),O209,$C$4,$C$12*SQRT($C$7)),"")</f>
        <v>5.4108919491414518E-5</v>
      </c>
      <c r="S209" s="41">
        <f>IFERROR((_xll.qlBlackFormula(IF(O209&lt;$C$4,"Put","Call"),O209+$C$14,$C$4,$C$9*SQRT($C$7))-
2*_xll.qlBlackFormula(IF(O209&lt;$C$4,"Put","Call"),O209,$C$4,$C$9*SQRT($C$7))+
_xll.qlBlackFormula(IF(O209&lt;$C$4,"Put","Call"),O209-$C$14,$C$4,$C$9*SQRT($C$7)))/$C$14^2,"")</f>
        <v>20.496750781015539</v>
      </c>
      <c r="T209" s="42">
        <f>IFERROR((_xll.qlBlackFormula(IF(O209&lt;$C$4,"Put","Call"),O209+$C$14,$C$4,$C$10*SQRT($C$7),,$C$11)-
2*_xll.qlBlackFormula(IF(O209&lt;$C$4,"Put","Call"),O209,$C$4,$C$10*SQRT($C$7),,$C$11)+
_xll.qlBlackFormula(IF(O209&lt;$C$4,"Put","Call"),O209-$C$14,$C$4,$C$10*SQRT($C$7),,$C$11))/$C$14^2,"")</f>
        <v>25.555342022219598</v>
      </c>
      <c r="U209" s="43">
        <f>IFERROR((_xll.qlBachelierBlackFormula(IF(O209&lt;$C$4,"Put","Call"),O209+$C$14,$C$4,$C$12*SQRT($C$7))-
2*_xll.qlBachelierBlackFormula(IF(O209&lt;$C$4,"Put","Call"),O209,$C$4,$C$12*SQRT($C$7))+
_xll.qlBachelierBlackFormula(IF(O209&lt;$C$4,"Put","Call"),O209-$C$14,$C$4,$C$12*SQRT($C$7)))/$C$14^2,"")</f>
        <v>28.836099821979641</v>
      </c>
      <c r="V209" s="61">
        <f>IFERROR(_xll.qlBachelierBlackFormulaImpliedVol(IF(O209&lt;$C$4,"Put","Call"),O209,$C$4,$C$7,P209),"")</f>
        <v>4.6208993362388375E-3</v>
      </c>
      <c r="W209" s="61">
        <f>IFERROR(_xll.qlBachelierBlackFormulaImpliedVol(IF(O209&lt;$C$4,"Put","Call"),O209,$C$4,$C$7,Q209),"")</f>
        <v>3.9186052810135487E-3</v>
      </c>
      <c r="X209" s="61">
        <f>IFERROR(_xll.qlBachelierBlackFormulaImpliedVol(IF(O209&lt;$C$4,"Put","Call"),O209,$C$4,$C$7,R209),"")</f>
        <v>3.1332853432955755E-3</v>
      </c>
      <c r="Y209" s="42"/>
    </row>
    <row r="210" spans="15:25">
      <c r="O210" s="37">
        <f t="shared" si="3"/>
        <v>1.0499999999999987E-2</v>
      </c>
      <c r="P210" s="38">
        <f>IFERROR(_xll.qlBlackFormula(IF(O210&lt;$C$4,"Put","Call"),O210,$C$4,$C$9*SQRT($C$7)),"")</f>
        <v>2.693799849431825E-4</v>
      </c>
      <c r="Q210" s="39">
        <f>IFERROR(_xll.qlBlackFormula(IF(O210&lt;$C$4,"Put","Call"),O210,$C$4,$C$10*SQRT($C$7),,$C$11),"")</f>
        <v>1.4460138223046761E-4</v>
      </c>
      <c r="R210" s="40">
        <f>IFERROR(_xll.qlBachelierBlackFormula(IF(O210&lt;$C$4,"Put","Call"),O210,$C$4,$C$12*SQRT($C$7)),"")</f>
        <v>5.000994680530663E-5</v>
      </c>
      <c r="S210" s="41">
        <f>IFERROR((_xll.qlBlackFormula(IF(O210&lt;$C$4,"Put","Call"),O210+$C$14,$C$4,$C$9*SQRT($C$7))-
2*_xll.qlBlackFormula(IF(O210&lt;$C$4,"Put","Call"),O210,$C$4,$C$9*SQRT($C$7))+
_xll.qlBlackFormula(IF(O210&lt;$C$4,"Put","Call"),O210-$C$14,$C$4,$C$9*SQRT($C$7)))/$C$14^2,"")</f>
        <v>19.856723578771941</v>
      </c>
      <c r="T210" s="42">
        <f>IFERROR((_xll.qlBlackFormula(IF(O210&lt;$C$4,"Put","Call"),O210+$C$14,$C$4,$C$10*SQRT($C$7),,$C$11)-
2*_xll.qlBlackFormula(IF(O210&lt;$C$4,"Put","Call"),O210,$C$4,$C$10*SQRT($C$7),,$C$11)+
_xll.qlBlackFormula(IF(O210&lt;$C$4,"Put","Call"),O210-$C$14,$C$4,$C$10*SQRT($C$7),,$C$11))/$C$14^2,"")</f>
        <v>24.598678129150731</v>
      </c>
      <c r="U210" s="43">
        <f>IFERROR((_xll.qlBachelierBlackFormula(IF(O210&lt;$C$4,"Put","Call"),O210+$C$14,$C$4,$C$12*SQRT($C$7))-
2*_xll.qlBachelierBlackFormula(IF(O210&lt;$C$4,"Put","Call"),O210,$C$4,$C$12*SQRT($C$7))+
_xll.qlBachelierBlackFormula(IF(O210&lt;$C$4,"Put","Call"),O210-$C$14,$C$4,$C$12*SQRT($C$7)))/$C$14^2,"")</f>
        <v>27.278936054475622</v>
      </c>
      <c r="V210" s="61">
        <f>IFERROR(_xll.qlBachelierBlackFormulaImpliedVol(IF(O210&lt;$C$4,"Put","Call"),O210,$C$4,$C$7,P210),"")</f>
        <v>4.6457767920575887E-3</v>
      </c>
      <c r="W210" s="61">
        <f>IFERROR(_xll.qlBachelierBlackFormulaImpliedVol(IF(O210&lt;$C$4,"Put","Call"),O210,$C$4,$C$7,Q210),"")</f>
        <v>3.9322278402928379E-3</v>
      </c>
      <c r="X210" s="61">
        <f>IFERROR(_xll.qlBachelierBlackFormulaImpliedVol(IF(O210&lt;$C$4,"Put","Call"),O210,$C$4,$C$7,R210),"")</f>
        <v>3.1332853433016358E-3</v>
      </c>
      <c r="Y210" s="42"/>
    </row>
    <row r="211" spans="15:25">
      <c r="O211" s="37">
        <f t="shared" si="3"/>
        <v>1.0599999999999986E-2</v>
      </c>
      <c r="P211" s="38">
        <f>IFERROR(_xll.qlBlackFormula(IF(O211&lt;$C$4,"Put","Call"),O211,$C$4,$C$9*SQRT($C$7)),"")</f>
        <v>2.6257273796264789E-4</v>
      </c>
      <c r="Q211" s="39">
        <f>IFERROR(_xll.qlBlackFormula(IF(O211&lt;$C$4,"Put","Call"),O211,$C$4,$C$10*SQRT($C$7),,$C$11),"")</f>
        <v>1.3866899096892714E-4</v>
      </c>
      <c r="R211" s="40">
        <f>IFERROR(_xll.qlBachelierBlackFormula(IF(O211&lt;$C$4,"Put","Call"),O211,$C$4,$C$12*SQRT($C$7)),"")</f>
        <v>4.6183811661078939E-5</v>
      </c>
      <c r="S211" s="41">
        <f>IFERROR((_xll.qlBlackFormula(IF(O211&lt;$C$4,"Put","Call"),O211+$C$14,$C$4,$C$9*SQRT($C$7))-
2*_xll.qlBlackFormula(IF(O211&lt;$C$4,"Put","Call"),O211,$C$4,$C$9*SQRT($C$7))+
_xll.qlBlackFormula(IF(O211&lt;$C$4,"Put","Call"),O211-$C$14,$C$4,$C$9*SQRT($C$7)))/$C$14^2,"")</f>
        <v>19.238192744581994</v>
      </c>
      <c r="T211" s="42">
        <f>IFERROR((_xll.qlBlackFormula(IF(O211&lt;$C$4,"Put","Call"),O211+$C$14,$C$4,$C$10*SQRT($C$7),,$C$11)-
2*_xll.qlBlackFormula(IF(O211&lt;$C$4,"Put","Call"),O211,$C$4,$C$10*SQRT($C$7),,$C$11)+
_xll.qlBlackFormula(IF(O211&lt;$C$4,"Put","Call"),O211-$C$14,$C$4,$C$10*SQRT($C$7),,$C$11))/$C$14^2,"")</f>
        <v>23.673713054998824</v>
      </c>
      <c r="U211" s="43">
        <f>IFERROR((_xll.qlBachelierBlackFormula(IF(O211&lt;$C$4,"Put","Call"),O211+$C$14,$C$4,$C$12*SQRT($C$7))-
2*_xll.qlBachelierBlackFormula(IF(O211&lt;$C$4,"Put","Call"),O211,$C$4,$C$12*SQRT($C$7))+
_xll.qlBachelierBlackFormula(IF(O211&lt;$C$4,"Put","Call"),O211-$C$14,$C$4,$C$12*SQRT($C$7)))/$C$14^2,"")</f>
        <v>25.779587720185098</v>
      </c>
      <c r="V211" s="61">
        <f>IFERROR(_xll.qlBachelierBlackFormulaImpliedVol(IF(O211&lt;$C$4,"Put","Call"),O211,$C$4,$C$7,P211),"")</f>
        <v>4.6705847726777518E-3</v>
      </c>
      <c r="W211" s="61">
        <f>IFERROR(_xll.qlBachelierBlackFormulaImpliedVol(IF(O211&lt;$C$4,"Put","Call"),O211,$C$4,$C$7,Q211),"")</f>
        <v>3.9458232187885795E-3</v>
      </c>
      <c r="X211" s="61">
        <f>IFERROR(_xll.qlBachelierBlackFormulaImpliedVol(IF(O211&lt;$C$4,"Put","Call"),O211,$C$4,$C$7,R211),"")</f>
        <v>3.1332853433077698E-3</v>
      </c>
      <c r="Y211" s="42"/>
    </row>
    <row r="212" spans="15:25">
      <c r="O212" s="37">
        <f t="shared" si="3"/>
        <v>1.0699999999999986E-2</v>
      </c>
      <c r="P212" s="38">
        <f>IFERROR(_xll.qlBlackFormula(IF(O212&lt;$C$4,"Put","Call"),O212,$C$4,$C$9*SQRT($C$7)),"")</f>
        <v>2.5595789020139406E-4</v>
      </c>
      <c r="Q212" s="39">
        <f>IFERROR(_xll.qlBlackFormula(IF(O212&lt;$C$4,"Put","Call"),O212,$C$4,$C$10*SQRT($C$7),,$C$11),"")</f>
        <v>1.3297336261580163E-4</v>
      </c>
      <c r="R212" s="40">
        <f>IFERROR(_xll.qlBachelierBlackFormula(IF(O212&lt;$C$4,"Put","Call"),O212,$C$4,$C$12*SQRT($C$7)),"")</f>
        <v>4.2615520398806483E-5</v>
      </c>
      <c r="S212" s="41">
        <f>IFERROR((_xll.qlBlackFormula(IF(O212&lt;$C$4,"Put","Call"),O212+$C$14,$C$4,$C$9*SQRT($C$7))-
2*_xll.qlBlackFormula(IF(O212&lt;$C$4,"Put","Call"),O212,$C$4,$C$9*SQRT($C$7))+
_xll.qlBlackFormula(IF(O212&lt;$C$4,"Put","Call"),O212-$C$14,$C$4,$C$9*SQRT($C$7)))/$C$14^2,"")</f>
        <v>18.640402806371913</v>
      </c>
      <c r="T212" s="42">
        <f>IFERROR((_xll.qlBlackFormula(IF(O212&lt;$C$4,"Put","Call"),O212+$C$14,$C$4,$C$10*SQRT($C$7),,$C$11)-
2*_xll.qlBlackFormula(IF(O212&lt;$C$4,"Put","Call"),O212,$C$4,$C$10*SQRT($C$7),,$C$11)+
_xll.qlBlackFormula(IF(O212&lt;$C$4,"Put","Call"),O212-$C$14,$C$4,$C$10*SQRT($C$7),,$C$11))/$C$14^2,"")</f>
        <v>22.779679943567277</v>
      </c>
      <c r="U212" s="43">
        <f>IFERROR((_xll.qlBachelierBlackFormula(IF(O212&lt;$C$4,"Put","Call"),O212+$C$14,$C$4,$C$12*SQRT($C$7))-
2*_xll.qlBachelierBlackFormula(IF(O212&lt;$C$4,"Put","Call"),O212,$C$4,$C$12*SQRT($C$7))+
_xll.qlBachelierBlackFormula(IF(O212&lt;$C$4,"Put","Call"),O212-$C$14,$C$4,$C$12*SQRT($C$7)))/$C$14^2,"")</f>
        <v>24.337845242828131</v>
      </c>
      <c r="V212" s="61">
        <f>IFERROR(_xll.qlBachelierBlackFormulaImpliedVol(IF(O212&lt;$C$4,"Put","Call"),O212,$C$4,$C$7,P212),"")</f>
        <v>4.6953242348130872E-3</v>
      </c>
      <c r="W212" s="61">
        <f>IFERROR(_xll.qlBachelierBlackFormulaImpliedVol(IF(O212&lt;$C$4,"Put","Call"),O212,$C$4,$C$7,Q212),"")</f>
        <v>3.9593916736237944E-3</v>
      </c>
      <c r="X212" s="61">
        <f>IFERROR(_xll.qlBachelierBlackFormulaImpliedVol(IF(O212&lt;$C$4,"Put","Call"),O212,$C$4,$C$7,R212),"")</f>
        <v>3.1332853433134007E-3</v>
      </c>
      <c r="Y212" s="42"/>
    </row>
    <row r="213" spans="15:25">
      <c r="O213" s="37">
        <f t="shared" si="3"/>
        <v>1.0799999999999985E-2</v>
      </c>
      <c r="P213" s="38">
        <f>IFERROR(_xll.qlBlackFormula(IF(O213&lt;$C$4,"Put","Call"),O213,$C$4,$C$9*SQRT($C$7)),"")</f>
        <v>2.4952946313779847E-4</v>
      </c>
      <c r="Q213" s="39">
        <f>IFERROR(_xll.qlBlackFormula(IF(O213&lt;$C$4,"Put","Call"),O213,$C$4,$C$10*SQRT($C$7),,$C$11),"")</f>
        <v>1.2750555620274833E-4</v>
      </c>
      <c r="R213" s="40">
        <f>IFERROR(_xll.qlBachelierBlackFormula(IF(O213&lt;$C$4,"Put","Call"),O213,$C$4,$C$12*SQRT($C$7)),"")</f>
        <v>3.9290655292110191E-5</v>
      </c>
      <c r="S213" s="41">
        <f>IFERROR((_xll.qlBlackFormula(IF(O213&lt;$C$4,"Put","Call"),O213+$C$14,$C$4,$C$9*SQRT($C$7))-
2*_xll.qlBlackFormula(IF(O213&lt;$C$4,"Put","Call"),O213,$C$4,$C$9*SQRT($C$7))+
_xll.qlBlackFormula(IF(O213&lt;$C$4,"Put","Call"),O213-$C$14,$C$4,$C$9*SQRT($C$7)))/$C$14^2,"")</f>
        <v>18.062622903457225</v>
      </c>
      <c r="T213" s="42">
        <f>IFERROR((_xll.qlBlackFormula(IF(O213&lt;$C$4,"Put","Call"),O213+$C$14,$C$4,$C$10*SQRT($C$7),,$C$11)-
2*_xll.qlBlackFormula(IF(O213&lt;$C$4,"Put","Call"),O213,$C$4,$C$10*SQRT($C$7),,$C$11)+
_xll.qlBlackFormula(IF(O213&lt;$C$4,"Put","Call"),O213-$C$14,$C$4,$C$10*SQRT($C$7),,$C$11))/$C$14^2,"")</f>
        <v>21.915812914441446</v>
      </c>
      <c r="U213" s="43">
        <f>IFERROR((_xll.qlBachelierBlackFormula(IF(O213&lt;$C$4,"Put","Call"),O213+$C$14,$C$4,$C$12*SQRT($C$7))-
2*_xll.qlBachelierBlackFormula(IF(O213&lt;$C$4,"Put","Call"),O213,$C$4,$C$12*SQRT($C$7))+
_xll.qlBachelierBlackFormula(IF(O213&lt;$C$4,"Put","Call"),O213-$C$14,$C$4,$C$12*SQRT($C$7)))/$C$14^2,"")</f>
        <v>22.953341836809763</v>
      </c>
      <c r="V213" s="61">
        <f>IFERROR(_xll.qlBachelierBlackFormulaImpliedVol(IF(O213&lt;$C$4,"Put","Call"),O213,$C$4,$C$7,P213),"")</f>
        <v>4.7199961129075069E-3</v>
      </c>
      <c r="W213" s="61">
        <f>IFERROR(_xll.qlBachelierBlackFormulaImpliedVol(IF(O213&lt;$C$4,"Put","Call"),O213,$C$4,$C$7,Q213),"")</f>
        <v>3.9729334578149774E-3</v>
      </c>
      <c r="X213" s="61">
        <f>IFERROR(_xll.qlBachelierBlackFormulaImpliedVol(IF(O213&lt;$C$4,"Put","Call"),O213,$C$4,$C$7,R213),"")</f>
        <v>3.1332853433179045E-3</v>
      </c>
      <c r="Y213" s="42"/>
    </row>
    <row r="214" spans="15:25">
      <c r="O214" s="37">
        <f t="shared" si="3"/>
        <v>1.0899999999999984E-2</v>
      </c>
      <c r="P214" s="38">
        <f>IFERROR(_xll.qlBlackFormula(IF(O214&lt;$C$4,"Put","Call"),O214,$C$4,$C$9*SQRT($C$7)),"")</f>
        <v>2.4328167839578034E-4</v>
      </c>
      <c r="Q214" s="39">
        <f>IFERROR(_xll.qlBlackFormula(IF(O214&lt;$C$4,"Put","Call"),O214,$C$4,$C$10*SQRT($C$7),,$C$11),"")</f>
        <v>1.2225693241687435E-4</v>
      </c>
      <c r="R214" s="40">
        <f>IFERROR(_xll.qlBachelierBlackFormula(IF(O214&lt;$C$4,"Put","Call"),O214,$C$4,$C$12*SQRT($C$7)),"")</f>
        <v>3.6195370874970154E-5</v>
      </c>
      <c r="S214" s="41">
        <f>IFERROR((_xll.qlBlackFormula(IF(O214&lt;$C$4,"Put","Call"),O214+$C$14,$C$4,$C$9*SQRT($C$7))-
2*_xll.qlBlackFormula(IF(O214&lt;$C$4,"Put","Call"),O214,$C$4,$C$9*SQRT($C$7))+
_xll.qlBlackFormula(IF(O214&lt;$C$4,"Put","Call"),O214-$C$14,$C$4,$C$9*SQRT($C$7)))/$C$14^2,"")</f>
        <v>17.504154484378198</v>
      </c>
      <c r="T214" s="42">
        <f>IFERROR((_xll.qlBlackFormula(IF(O214&lt;$C$4,"Put","Call"),O214+$C$14,$C$4,$C$10*SQRT($C$7),,$C$11)-
2*_xll.qlBlackFormula(IF(O214&lt;$C$4,"Put","Call"),O214,$C$4,$C$10*SQRT($C$7),,$C$11)+
_xll.qlBlackFormula(IF(O214&lt;$C$4,"Put","Call"),O214-$C$14,$C$4,$C$10*SQRT($C$7),,$C$11))/$C$14^2,"")</f>
        <v>21.081342726179951</v>
      </c>
      <c r="U214" s="43">
        <f>IFERROR((_xll.qlBachelierBlackFormula(IF(O214&lt;$C$4,"Put","Call"),O214+$C$14,$C$4,$C$12*SQRT($C$7))-
2*_xll.qlBachelierBlackFormula(IF(O214&lt;$C$4,"Put","Call"),O214,$C$4,$C$12*SQRT($C$7))+
_xll.qlBachelierBlackFormula(IF(O214&lt;$C$4,"Put","Call"),O214-$C$14,$C$4,$C$12*SQRT($C$7)))/$C$14^2,"")</f>
        <v>21.625560446113941</v>
      </c>
      <c r="V214" s="61">
        <f>IFERROR(_xll.qlBachelierBlackFormulaImpliedVol(IF(O214&lt;$C$4,"Put","Call"),O214,$C$4,$C$7,P214),"")</f>
        <v>4.744601319858344E-3</v>
      </c>
      <c r="W214" s="61">
        <f>IFERROR(_xll.qlBachelierBlackFormulaImpliedVol(IF(O214&lt;$C$4,"Put","Call"),O214,$C$4,$C$7,Q214),"")</f>
        <v>3.9864488203637605E-3</v>
      </c>
      <c r="X214" s="61">
        <f>IFERROR(_xll.qlBachelierBlackFormulaImpliedVol(IF(O214&lt;$C$4,"Put","Call"),O214,$C$4,$C$7,R214),"")</f>
        <v>3.1332853433206805E-3</v>
      </c>
      <c r="Y214" s="42"/>
    </row>
    <row r="215" spans="15:25">
      <c r="O215" s="37">
        <f t="shared" si="3"/>
        <v>1.0999999999999984E-2</v>
      </c>
      <c r="P215" s="38">
        <f>IFERROR(_xll.qlBlackFormula(IF(O215&lt;$C$4,"Put","Call"),O215,$C$4,$C$9*SQRT($C$7)),"")</f>
        <v>2.372089507228734E-4</v>
      </c>
      <c r="Q215" s="39">
        <f>IFERROR(_xll.qlBlackFormula(IF(O215&lt;$C$4,"Put","Call"),O215,$C$4,$C$10*SQRT($C$7),,$C$11),"")</f>
        <v>1.1721914592270372E-4</v>
      </c>
      <c r="R215" s="40">
        <f>IFERROR(_xll.qlBachelierBlackFormula(IF(O215&lt;$C$4,"Put","Call"),O215,$C$4,$C$12*SQRT($C$7)),"")</f>
        <v>3.3316388778015753E-5</v>
      </c>
      <c r="S215" s="41">
        <f>IFERROR((_xll.qlBlackFormula(IF(O215&lt;$C$4,"Put","Call"),O215+$C$14,$C$4,$C$9*SQRT($C$7))-
2*_xll.qlBlackFormula(IF(O215&lt;$C$4,"Put","Call"),O215,$C$4,$C$9*SQRT($C$7))+
_xll.qlBlackFormula(IF(O215&lt;$C$4,"Put","Call"),O215-$C$14,$C$4,$C$9*SQRT($C$7)))/$C$14^2,"")</f>
        <v>16.964318296473767</v>
      </c>
      <c r="T215" s="42">
        <f>IFERROR((_xll.qlBlackFormula(IF(O215&lt;$C$4,"Put","Call"),O215+$C$14,$C$4,$C$10*SQRT($C$7),,$C$11)-
2*_xll.qlBlackFormula(IF(O215&lt;$C$4,"Put","Call"),O215,$C$4,$C$10*SQRT($C$7),,$C$11)+
_xll.qlBlackFormula(IF(O215&lt;$C$4,"Put","Call"),O215-$C$14,$C$4,$C$10*SQRT($C$7),,$C$11))/$C$14^2,"")</f>
        <v>20.275504582570324</v>
      </c>
      <c r="U215" s="43">
        <f>IFERROR((_xll.qlBachelierBlackFormula(IF(O215&lt;$C$4,"Put","Call"),O215+$C$14,$C$4,$C$12*SQRT($C$7))-
2*_xll.qlBachelierBlackFormula(IF(O215&lt;$C$4,"Put","Call"),O215,$C$4,$C$12*SQRT($C$7))+
_xll.qlBachelierBlackFormula(IF(O215&lt;$C$4,"Put","Call"),O215-$C$14,$C$4,$C$12*SQRT($C$7)))/$C$14^2,"")</f>
        <v>20.353842851601744</v>
      </c>
      <c r="V215" s="61">
        <f>IFERROR(_xll.qlBachelierBlackFormulaImpliedVol(IF(O215&lt;$C$4,"Put","Call"),O215,$C$4,$C$7,P215),"")</f>
        <v>4.7691407477096865E-3</v>
      </c>
      <c r="W215" s="61">
        <f>IFERROR(_xll.qlBachelierBlackFormulaImpliedVol(IF(O215&lt;$C$4,"Put","Call"),O215,$C$4,$C$7,Q215),"")</f>
        <v>3.9999380063458594E-3</v>
      </c>
      <c r="X215" s="61">
        <f>IFERROR(_xll.qlBachelierBlackFormulaImpliedVol(IF(O215&lt;$C$4,"Put","Call"),O215,$C$4,$C$7,R215),"")</f>
        <v>3.1332853433211731E-3</v>
      </c>
      <c r="Y215" s="42"/>
    </row>
    <row r="216" spans="15:25">
      <c r="O216" s="37">
        <f t="shared" si="3"/>
        <v>1.1099999999999983E-2</v>
      </c>
      <c r="P216" s="38">
        <f>IFERROR(_xll.qlBlackFormula(IF(O216&lt;$C$4,"Put","Call"),O216,$C$4,$C$9*SQRT($C$7)),"")</f>
        <v>2.3130588121461669E-4</v>
      </c>
      <c r="Q216" s="39">
        <f>IFERROR(_xll.qlBlackFormula(IF(O216&lt;$C$4,"Put","Call"),O216,$C$4,$C$10*SQRT($C$7),,$C$11),"")</f>
        <v>1.1238413769770565E-4</v>
      </c>
      <c r="R216" s="40">
        <f>IFERROR(_xll.qlBachelierBlackFormula(IF(O216&lt;$C$4,"Put","Call"),O216,$C$4,$C$12*SQRT($C$7)),"")</f>
        <v>3.0640991179459924E-5</v>
      </c>
      <c r="S216" s="41">
        <f>IFERROR((_xll.qlBlackFormula(IF(O216&lt;$C$4,"Put","Call"),O216+$C$14,$C$4,$C$9*SQRT($C$7))-
2*_xll.qlBlackFormula(IF(O216&lt;$C$4,"Put","Call"),O216,$C$4,$C$9*SQRT($C$7))+
_xll.qlBlackFormula(IF(O216&lt;$C$4,"Put","Call"),O216-$C$14,$C$4,$C$9*SQRT($C$7)))/$C$14^2,"")</f>
        <v>16.442461324775447</v>
      </c>
      <c r="T216" s="42">
        <f>IFERROR((_xll.qlBlackFormula(IF(O216&lt;$C$4,"Put","Call"),O216+$C$14,$C$4,$C$10*SQRT($C$7),,$C$11)-
2*_xll.qlBlackFormula(IF(O216&lt;$C$4,"Put","Call"),O216,$C$4,$C$10*SQRT($C$7),,$C$11)+
_xll.qlBlackFormula(IF(O216&lt;$C$4,"Put","Call"),O216-$C$14,$C$4,$C$10*SQRT($C$7),,$C$11))/$C$14^2,"")</f>
        <v>19.49753379582031</v>
      </c>
      <c r="U216" s="43">
        <f>IFERROR((_xll.qlBachelierBlackFormula(IF(O216&lt;$C$4,"Put","Call"),O216+$C$14,$C$4,$C$12*SQRT($C$7))-
2*_xll.qlBachelierBlackFormula(IF(O216&lt;$C$4,"Put","Call"),O216,$C$4,$C$12*SQRT($C$7))+
_xll.qlBachelierBlackFormula(IF(O216&lt;$C$4,"Put","Call"),O216-$C$14,$C$4,$C$12*SQRT($C$7)))/$C$14^2,"")</f>
        <v>19.137407831397795</v>
      </c>
      <c r="V216" s="61">
        <f>IFERROR(_xll.qlBachelierBlackFormulaImpliedVol(IF(O216&lt;$C$4,"Put","Call"),O216,$C$4,$C$7,P216),"")</f>
        <v>4.7936152683171925E-3</v>
      </c>
      <c r="W216" s="61">
        <f>IFERROR(_xll.qlBachelierBlackFormulaImpliedVol(IF(O216&lt;$C$4,"Put","Call"),O216,$C$4,$C$7,Q216),"")</f>
        <v>4.0134012569976044E-3</v>
      </c>
      <c r="X216" s="61">
        <f>IFERROR(_xll.qlBachelierBlackFormulaImpliedVol(IF(O216&lt;$C$4,"Put","Call"),O216,$C$4,$C$7,R216),"")</f>
        <v>3.1332853433189371E-3</v>
      </c>
      <c r="Y216" s="42"/>
    </row>
    <row r="217" spans="15:25">
      <c r="O217" s="37">
        <f t="shared" si="3"/>
        <v>1.1199999999999983E-2</v>
      </c>
      <c r="P217" s="38">
        <f>IFERROR(_xll.qlBlackFormula(IF(O217&lt;$C$4,"Put","Call"),O217,$C$4,$C$9*SQRT($C$7)),"")</f>
        <v>2.255672507775505E-4</v>
      </c>
      <c r="Q217" s="39">
        <f>IFERROR(_xll.qlBlackFormula(IF(O217&lt;$C$4,"Put","Call"),O217,$C$4,$C$10*SQRT($C$7),,$C$11),"")</f>
        <v>1.0774412739790961E-4</v>
      </c>
      <c r="R217" s="40">
        <f>IFERROR(_xll.qlBachelierBlackFormula(IF(O217&lt;$C$4,"Put","Call"),O217,$C$4,$C$12*SQRT($C$7)),"")</f>
        <v>2.815701297666096E-5</v>
      </c>
      <c r="S217" s="41">
        <f>IFERROR((_xll.qlBlackFormula(IF(O217&lt;$C$4,"Put","Call"),O217+$C$14,$C$4,$C$9*SQRT($C$7))-
2*_xll.qlBlackFormula(IF(O217&lt;$C$4,"Put","Call"),O217,$C$4,$C$9*SQRT($C$7))+
_xll.qlBlackFormula(IF(O217&lt;$C$4,"Put","Call"),O217-$C$14,$C$4,$C$9*SQRT($C$7)))/$C$14^2,"")</f>
        <v>15.937953539400807</v>
      </c>
      <c r="T217" s="42">
        <f>IFERROR((_xll.qlBlackFormula(IF(O217&lt;$C$4,"Put","Call"),O217+$C$14,$C$4,$C$10*SQRT($C$7),,$C$11)-
2*_xll.qlBlackFormula(IF(O217&lt;$C$4,"Put","Call"),O217,$C$4,$C$10*SQRT($C$7),,$C$11)+
_xll.qlBlackFormula(IF(O217&lt;$C$4,"Put","Call"),O217-$C$14,$C$4,$C$10*SQRT($C$7),,$C$11))/$C$14^2,"")</f>
        <v>18.746670882308081</v>
      </c>
      <c r="U217" s="43">
        <f>IFERROR((_xll.qlBachelierBlackFormula(IF(O217&lt;$C$4,"Put","Call"),O217+$C$14,$C$4,$C$12*SQRT($C$7))-
2*_xll.qlBachelierBlackFormula(IF(O217&lt;$C$4,"Put","Call"),O217,$C$4,$C$12*SQRT($C$7))+
_xll.qlBachelierBlackFormula(IF(O217&lt;$C$4,"Put","Call"),O217-$C$14,$C$4,$C$12*SQRT($C$7)))/$C$14^2,"")</f>
        <v>17.975353329294578</v>
      </c>
      <c r="V217" s="61">
        <f>IFERROR(_xll.qlBachelierBlackFormulaImpliedVol(IF(O217&lt;$C$4,"Put","Call"),O217,$C$4,$C$7,P217),"")</f>
        <v>4.8180257339858444E-3</v>
      </c>
      <c r="W217" s="61">
        <f>IFERROR(_xll.qlBachelierBlackFormulaImpliedVol(IF(O217&lt;$C$4,"Put","Call"),O217,$C$4,$C$7,Q217),"")</f>
        <v>4.0268388097999437E-3</v>
      </c>
      <c r="X217" s="61">
        <f>IFERROR(_xll.qlBachelierBlackFormulaImpliedVol(IF(O217&lt;$C$4,"Put","Call"),O217,$C$4,$C$7,R217),"")</f>
        <v>3.1332853433136782E-3</v>
      </c>
      <c r="Y217" s="42"/>
    </row>
    <row r="218" spans="15:25">
      <c r="O218" s="37">
        <f t="shared" si="3"/>
        <v>1.1299999999999982E-2</v>
      </c>
      <c r="P218" s="38">
        <f>IFERROR(_xll.qlBlackFormula(IF(O218&lt;$C$4,"Put","Call"),O218,$C$4,$C$9*SQRT($C$7)),"")</f>
        <v>2.1998801382322843E-4</v>
      </c>
      <c r="Q218" s="39">
        <f>IFERROR(_xll.qlBlackFormula(IF(O218&lt;$C$4,"Put","Call"),O218,$C$4,$C$10*SQRT($C$7),,$C$11),"")</f>
        <v>1.0329160576866584E-4</v>
      </c>
      <c r="R218" s="40">
        <f>IFERROR(_xll.qlBachelierBlackFormula(IF(O218&lt;$C$4,"Put","Call"),O218,$C$4,$C$12*SQRT($C$7)),"")</f>
        <v>2.5852832784422134E-5</v>
      </c>
      <c r="S218" s="41">
        <f>IFERROR((_xll.qlBlackFormula(IF(O218&lt;$C$4,"Put","Call"),O218+$C$14,$C$4,$C$9*SQRT($C$7))-
2*_xll.qlBlackFormula(IF(O218&lt;$C$4,"Put","Call"),O218,$C$4,$C$9*SQRT($C$7))+
_xll.qlBlackFormula(IF(O218&lt;$C$4,"Put","Call"),O218-$C$14,$C$4,$C$9*SQRT($C$7)))/$C$14^2,"")</f>
        <v>15.450184317686301</v>
      </c>
      <c r="T218" s="42">
        <f>IFERROR((_xll.qlBlackFormula(IF(O218&lt;$C$4,"Put","Call"),O218+$C$14,$C$4,$C$10*SQRT($C$7),,$C$11)-
2*_xll.qlBlackFormula(IF(O218&lt;$C$4,"Put","Call"),O218,$C$4,$C$10*SQRT($C$7),,$C$11)+
_xll.qlBlackFormula(IF(O218&lt;$C$4,"Put","Call"),O218-$C$14,$C$4,$C$10*SQRT($C$7),,$C$11))/$C$14^2,"")</f>
        <v>18.022163947827018</v>
      </c>
      <c r="U218" s="43">
        <f>IFERROR((_xll.qlBachelierBlackFormula(IF(O218&lt;$C$4,"Put","Call"),O218+$C$14,$C$4,$C$12*SQRT($C$7))-
2*_xll.qlBachelierBlackFormula(IF(O218&lt;$C$4,"Put","Call"),O218,$C$4,$C$12*SQRT($C$7))+
_xll.qlBachelierBlackFormula(IF(O218&lt;$C$4,"Put","Call"),O218-$C$14,$C$4,$C$12*SQRT($C$7)))/$C$14^2,"")</f>
        <v>16.866671660687935</v>
      </c>
      <c r="V218" s="61">
        <f>IFERROR(_xll.qlBachelierBlackFormulaImpliedVol(IF(O218&lt;$C$4,"Put","Call"),O218,$C$4,$C$7,P218),"")</f>
        <v>4.8423729780820305E-3</v>
      </c>
      <c r="W218" s="61">
        <f>IFERROR(_xll.qlBachelierBlackFormulaImpliedVol(IF(O218&lt;$C$4,"Put","Call"),O218,$C$4,$C$7,Q218),"")</f>
        <v>4.0402508985601373E-3</v>
      </c>
      <c r="X218" s="61">
        <f>IFERROR(_xll.qlBachelierBlackFormulaImpliedVol(IF(O218&lt;$C$4,"Put","Call"),O218,$C$4,$C$7,R218),"")</f>
        <v>3.133285343305306E-3</v>
      </c>
      <c r="Y218" s="42"/>
    </row>
    <row r="219" spans="15:25">
      <c r="O219" s="37">
        <f t="shared" si="3"/>
        <v>1.1399999999999981E-2</v>
      </c>
      <c r="P219" s="38">
        <f>IFERROR(_xll.qlBlackFormula(IF(O219&lt;$C$4,"Put","Call"),O219,$C$4,$C$9*SQRT($C$7)),"")</f>
        <v>2.1456329218575917E-4</v>
      </c>
      <c r="Q219" s="39">
        <f>IFERROR(_xll.qlBlackFormula(IF(O219&lt;$C$4,"Put","Call"),O219,$C$4,$C$10*SQRT($C$7),,$C$11),"")</f>
        <v>9.9019327114231097E-5</v>
      </c>
      <c r="R219" s="40">
        <f>IFERROR(_xll.qlBachelierBlackFormula(IF(O219&lt;$C$4,"Put","Call"),O219,$C$4,$C$12*SQRT($C$7)),"")</f>
        <v>2.3717362865656444E-5</v>
      </c>
      <c r="S219" s="41">
        <f>IFERROR((_xll.qlBlackFormula(IF(O219&lt;$C$4,"Put","Call"),O219+$C$14,$C$4,$C$9*SQRT($C$7))-
2*_xll.qlBlackFormula(IF(O219&lt;$C$4,"Put","Call"),O219,$C$4,$C$9*SQRT($C$7))+
_xll.qlBlackFormula(IF(O219&lt;$C$4,"Put","Call"),O219-$C$14,$C$4,$C$9*SQRT($C$7)))/$C$14^2,"")</f>
        <v>14.978571876746171</v>
      </c>
      <c r="T219" s="42">
        <f>IFERROR((_xll.qlBlackFormula(IF(O219&lt;$C$4,"Put","Call"),O219+$C$14,$C$4,$C$10*SQRT($C$7),,$C$11)-
2*_xll.qlBlackFormula(IF(O219&lt;$C$4,"Put","Call"),O219,$C$4,$C$10*SQRT($C$7),,$C$11)+
_xll.qlBlackFormula(IF(O219&lt;$C$4,"Put","Call"),O219-$C$14,$C$4,$C$10*SQRT($C$7),,$C$11))/$C$14^2,"")</f>
        <v>17.323263374995069</v>
      </c>
      <c r="U219" s="43">
        <f>IFERROR((_xll.qlBachelierBlackFormula(IF(O219&lt;$C$4,"Put","Call"),O219+$C$14,$C$4,$C$12*SQRT($C$7))-
2*_xll.qlBachelierBlackFormula(IF(O219&lt;$C$4,"Put","Call"),O219,$C$4,$C$12*SQRT($C$7))+
_xll.qlBachelierBlackFormula(IF(O219&lt;$C$4,"Put","Call"),O219-$C$14,$C$4,$C$12*SQRT($C$7)))/$C$14^2,"")</f>
        <v>15.810258945135949</v>
      </c>
      <c r="V219" s="61">
        <f>IFERROR(_xll.qlBachelierBlackFormulaImpliedVol(IF(O219&lt;$C$4,"Put","Call"),O219,$C$4,$C$7,P219),"")</f>
        <v>4.8666578156210567E-3</v>
      </c>
      <c r="W219" s="61">
        <f>IFERROR(_xll.qlBachelierBlackFormulaImpliedVol(IF(O219&lt;$C$4,"Put","Call"),O219,$C$4,$C$7,Q219),"")</f>
        <v>4.0536377534912049E-3</v>
      </c>
      <c r="X219" s="61">
        <f>IFERROR(_xll.qlBachelierBlackFormulaImpliedVol(IF(O219&lt;$C$4,"Put","Call"),O219,$C$4,$C$7,R219),"")</f>
        <v>3.1332853432939419E-3</v>
      </c>
      <c r="Y219" s="42"/>
    </row>
    <row r="220" spans="15:25">
      <c r="O220" s="37">
        <f t="shared" si="3"/>
        <v>1.1499999999999981E-2</v>
      </c>
      <c r="P220" s="38">
        <f>IFERROR(_xll.qlBlackFormula(IF(O220&lt;$C$4,"Put","Call"),O220,$C$4,$C$9*SQRT($C$7)),"")</f>
        <v>2.0928836925559026E-4</v>
      </c>
      <c r="Q220" s="39">
        <f>IFERROR(_xll.qlBlackFormula(IF(O220&lt;$C$4,"Put","Call"),O220,$C$4,$C$10*SQRT($C$7),,$C$11),"")</f>
        <v>9.4920301838489823E-5</v>
      </c>
      <c r="R220" s="40">
        <f>IFERROR(_xll.qlBachelierBlackFormula(IF(O220&lt;$C$4,"Put","Call"),O220,$C$4,$C$12*SQRT($C$7)),"")</f>
        <v>2.1740038098940498E-5</v>
      </c>
      <c r="S220" s="41">
        <f>IFERROR((_xll.qlBlackFormula(IF(O220&lt;$C$4,"Put","Call"),O220+$C$14,$C$4,$C$9*SQRT($C$7))-
2*_xll.qlBlackFormula(IF(O220&lt;$C$4,"Put","Call"),O220,$C$4,$C$9*SQRT($C$7))+
_xll.qlBlackFormula(IF(O220&lt;$C$4,"Put","Call"),O220-$C$14,$C$4,$C$9*SQRT($C$7)))/$C$14^2,"")</f>
        <v>14.52254690201965</v>
      </c>
      <c r="T220" s="42">
        <f>IFERROR((_xll.qlBlackFormula(IF(O220&lt;$C$4,"Put","Call"),O220+$C$14,$C$4,$C$10*SQRT($C$7),,$C$11)-
2*_xll.qlBlackFormula(IF(O220&lt;$C$4,"Put","Call"),O220,$C$4,$C$10*SQRT($C$7),,$C$11)+
_xll.qlBlackFormula(IF(O220&lt;$C$4,"Put","Call"),O220-$C$14,$C$4,$C$10*SQRT($C$7),,$C$11))/$C$14^2,"")</f>
        <v>16.649239387329928</v>
      </c>
      <c r="U220" s="43">
        <f>IFERROR((_xll.qlBachelierBlackFormula(IF(O220&lt;$C$4,"Put","Call"),O220+$C$14,$C$4,$C$12*SQRT($C$7))-
2*_xll.qlBachelierBlackFormula(IF(O220&lt;$C$4,"Put","Call"),O220,$C$4,$C$12*SQRT($C$7))+
_xll.qlBachelierBlackFormula(IF(O220&lt;$C$4,"Put","Call"),O220-$C$14,$C$4,$C$12*SQRT($C$7)))/$C$14^2,"")</f>
        <v>14.804924267867309</v>
      </c>
      <c r="V220" s="61">
        <f>IFERROR(_xll.qlBachelierBlackFormulaImpliedVol(IF(O220&lt;$C$4,"Put","Call"),O220,$C$4,$C$7,P220),"")</f>
        <v>4.890881043831498E-3</v>
      </c>
      <c r="W220" s="61">
        <f>IFERROR(_xll.qlBachelierBlackFormulaImpliedVol(IF(O220&lt;$C$4,"Put","Call"),O220,$C$4,$C$7,Q220),"")</f>
        <v>4.0669996012890662E-3</v>
      </c>
      <c r="X220" s="61">
        <f>IFERROR(_xll.qlBachelierBlackFormulaImpliedVol(IF(O220&lt;$C$4,"Put","Call"),O220,$C$4,$C$7,R220),"")</f>
        <v>3.1332853432799548E-3</v>
      </c>
      <c r="Y220" s="42"/>
    </row>
    <row r="221" spans="15:25">
      <c r="O221" s="37">
        <f t="shared" si="3"/>
        <v>1.159999999999998E-2</v>
      </c>
      <c r="P221" s="38">
        <f>IFERROR(_xll.qlBlackFormula(IF(O221&lt;$C$4,"Put","Call"),O221,$C$4,$C$9*SQRT($C$7)),"")</f>
        <v>2.0415868432234431E-4</v>
      </c>
      <c r="Q221" s="39">
        <f>IFERROR(_xll.qlBlackFormula(IF(O221&lt;$C$4,"Put","Call"),O221,$C$4,$C$10*SQRT($C$7),,$C$11),"")</f>
        <v>9.0987789067968139E-5</v>
      </c>
      <c r="R221" s="40">
        <f>IFERROR(_xll.qlBachelierBlackFormula(IF(O221&lt;$C$4,"Put","Call"),O221,$C$4,$C$12*SQRT($C$7)),"")</f>
        <v>1.9910804085841941E-5</v>
      </c>
      <c r="S221" s="41">
        <f>IFERROR((_xll.qlBlackFormula(IF(O221&lt;$C$4,"Put","Call"),O221+$C$14,$C$4,$C$9*SQRT($C$7))-
2*_xll.qlBlackFormula(IF(O221&lt;$C$4,"Put","Call"),O221,$C$4,$C$9*SQRT($C$7))+
_xll.qlBlackFormula(IF(O221&lt;$C$4,"Put","Call"),O221-$C$14,$C$4,$C$9*SQRT($C$7)))/$C$14^2,"")</f>
        <v>14.0815623050905</v>
      </c>
      <c r="T221" s="42">
        <f>IFERROR((_xll.qlBlackFormula(IF(O221&lt;$C$4,"Put","Call"),O221+$C$14,$C$4,$C$10*SQRT($C$7),,$C$11)-
2*_xll.qlBlackFormula(IF(O221&lt;$C$4,"Put","Call"),O221,$C$4,$C$10*SQRT($C$7),,$C$11)+
_xll.qlBlackFormula(IF(O221&lt;$C$4,"Put","Call"),O221-$C$14,$C$4,$C$10*SQRT($C$7),,$C$11))/$C$14^2,"")</f>
        <v>15.999354402093658</v>
      </c>
      <c r="U221" s="43">
        <f>IFERROR((_xll.qlBachelierBlackFormula(IF(O221&lt;$C$4,"Put","Call"),O221+$C$14,$C$4,$C$12*SQRT($C$7))-
2*_xll.qlBachelierBlackFormula(IF(O221&lt;$C$4,"Put","Call"),O221,$C$4,$C$12*SQRT($C$7))+
_xll.qlBachelierBlackFormula(IF(O221&lt;$C$4,"Put","Call"),O221-$C$14,$C$4,$C$12*SQRT($C$7)))/$C$14^2,"")</f>
        <v>13.849403259413515</v>
      </c>
      <c r="V221" s="61">
        <f>IFERROR(_xll.qlBachelierBlackFormulaImpliedVol(IF(O221&lt;$C$4,"Put","Call"),O221,$C$4,$C$7,P221),"")</f>
        <v>4.9150434426972929E-3</v>
      </c>
      <c r="W221" s="61">
        <f>IFERROR(_xll.qlBachelierBlackFormulaImpliedVol(IF(O221&lt;$C$4,"Put","Call"),O221,$C$4,$C$7,Q221),"")</f>
        <v>4.0803366652077703E-3</v>
      </c>
      <c r="X221" s="61">
        <f>IFERROR(_xll.qlBachelierBlackFormulaImpliedVol(IF(O221&lt;$C$4,"Put","Call"),O221,$C$4,$C$7,R221),"")</f>
        <v>3.1332853432639186E-3</v>
      </c>
      <c r="Y221" s="42"/>
    </row>
    <row r="222" spans="15:25">
      <c r="O222" s="37">
        <f t="shared" si="3"/>
        <v>1.169999999999998E-2</v>
      </c>
      <c r="P222" s="38">
        <f>IFERROR(_xll.qlBlackFormula(IF(O222&lt;$C$4,"Put","Call"),O222,$C$4,$C$9*SQRT($C$7)),"")</f>
        <v>1.9916982711970543E-4</v>
      </c>
      <c r="Q222" s="39">
        <f>IFERROR(_xll.qlBlackFormula(IF(O222&lt;$C$4,"Put","Call"),O222,$C$4,$C$10*SQRT($C$7),,$C$11),"")</f>
        <v>8.7215289367031717E-5</v>
      </c>
      <c r="R222" s="40">
        <f>IFERROR(_xll.qlBachelierBlackFormula(IF(O222&lt;$C$4,"Put","Call"),O222,$C$4,$C$12*SQRT($C$7)),"")</f>
        <v>1.8220104498752301E-5</v>
      </c>
      <c r="S222" s="41">
        <f>IFERROR((_xll.qlBlackFormula(IF(O222&lt;$C$4,"Put","Call"),O222+$C$14,$C$4,$C$9*SQRT($C$7))-
2*_xll.qlBlackFormula(IF(O222&lt;$C$4,"Put","Call"),O222,$C$4,$C$9*SQRT($C$7))+
_xll.qlBlackFormula(IF(O222&lt;$C$4,"Put","Call"),O222-$C$14,$C$4,$C$9*SQRT($C$7)))/$C$14^2,"")</f>
        <v>13.655096367873321</v>
      </c>
      <c r="T222" s="42">
        <f>IFERROR((_xll.qlBlackFormula(IF(O222&lt;$C$4,"Put","Call"),O222+$C$14,$C$4,$C$10*SQRT($C$7),,$C$11)-
2*_xll.qlBlackFormula(IF(O222&lt;$C$4,"Put","Call"),O222,$C$4,$C$10*SQRT($C$7),,$C$11)+
_xll.qlBlackFormula(IF(O222&lt;$C$4,"Put","Call"),O222-$C$14,$C$4,$C$10*SQRT($C$7),,$C$11))/$C$14^2,"")</f>
        <v>15.372895122676978</v>
      </c>
      <c r="U222" s="43">
        <f>IFERROR((_xll.qlBachelierBlackFormula(IF(O222&lt;$C$4,"Put","Call"),O222+$C$14,$C$4,$C$12*SQRT($C$7))-
2*_xll.qlBachelierBlackFormula(IF(O222&lt;$C$4,"Put","Call"),O222,$C$4,$C$12*SQRT($C$7))+
_xll.qlBachelierBlackFormula(IF(O222&lt;$C$4,"Put","Call"),O222-$C$14,$C$4,$C$12*SQRT($C$7)))/$C$14^2,"")</f>
        <v>12.942361809001325</v>
      </c>
      <c r="V222" s="61">
        <f>IFERROR(_xll.qlBachelierBlackFormulaImpliedVol(IF(O222&lt;$C$4,"Put","Call"),O222,$C$4,$C$7,P222),"")</f>
        <v>4.9391457754787566E-3</v>
      </c>
      <c r="W222" s="61">
        <f>IFERROR(_xll.qlBachelierBlackFormulaImpliedVol(IF(O222&lt;$C$4,"Put","Call"),O222,$C$4,$C$7,Q222),"")</f>
        <v>4.0936491651323874E-3</v>
      </c>
      <c r="X222" s="61">
        <f>IFERROR(_xll.qlBachelierBlackFormulaImpliedVol(IF(O222&lt;$C$4,"Put","Call"),O222,$C$4,$C$7,R222),"")</f>
        <v>3.1332853432466498E-3</v>
      </c>
      <c r="Y222" s="42"/>
    </row>
    <row r="223" spans="15:25">
      <c r="O223" s="37">
        <f t="shared" si="3"/>
        <v>1.1799999999999979E-2</v>
      </c>
      <c r="P223" s="38">
        <f>IFERROR(_xll.qlBlackFormula(IF(O223&lt;$C$4,"Put","Call"),O223,$C$4,$C$9*SQRT($C$7)),"")</f>
        <v>1.9431753256553752E-4</v>
      </c>
      <c r="Q223" s="39">
        <f>IFERROR(_xll.qlBlackFormula(IF(O223&lt;$C$4,"Put","Call"),O223,$C$4,$C$10*SQRT($C$7),,$C$11),"")</f>
        <v>8.3596537554172091E-5</v>
      </c>
      <c r="R223" s="40">
        <f>IFERROR(_xll.qlBachelierBlackFormula(IF(O223&lt;$C$4,"Put","Call"),O223,$C$4,$C$12*SQRT($C$7)),"")</f>
        <v>1.6658867767338443E-5</v>
      </c>
      <c r="S223" s="41">
        <f>IFERROR((_xll.qlBlackFormula(IF(O223&lt;$C$4,"Put","Call"),O223+$C$14,$C$4,$C$9*SQRT($C$7))-
2*_xll.qlBlackFormula(IF(O223&lt;$C$4,"Put","Call"),O223,$C$4,$C$9*SQRT($C$7))+
_xll.qlBlackFormula(IF(O223&lt;$C$4,"Put","Call"),O223-$C$14,$C$4,$C$9*SQRT($C$7)))/$C$14^2,"")</f>
        <v>13.242642117432258</v>
      </c>
      <c r="T223" s="42">
        <f>IFERROR((_xll.qlBlackFormula(IF(O223&lt;$C$4,"Put","Call"),O223+$C$14,$C$4,$C$10*SQRT($C$7),,$C$11)-
2*_xll.qlBlackFormula(IF(O223&lt;$C$4,"Put","Call"),O223,$C$4,$C$10*SQRT($C$7),,$C$11)+
_xll.qlBlackFormula(IF(O223&lt;$C$4,"Put","Call"),O223-$C$14,$C$4,$C$10*SQRT($C$7),,$C$11))/$C$14^2,"")</f>
        <v>14.769151721917561</v>
      </c>
      <c r="U223" s="43">
        <f>IFERROR((_xll.qlBachelierBlackFormula(IF(O223&lt;$C$4,"Put","Call"),O223+$C$14,$C$4,$C$12*SQRT($C$7))-
2*_xll.qlBachelierBlackFormula(IF(O223&lt;$C$4,"Put","Call"),O223,$C$4,$C$12*SQRT($C$7))+
_xll.qlBachelierBlackFormula(IF(O223&lt;$C$4,"Put","Call"),O223-$C$14,$C$4,$C$12*SQRT($C$7)))/$C$14^2,"")</f>
        <v>12.082411622853924</v>
      </c>
      <c r="V223" s="61">
        <f>IFERROR(_xll.qlBachelierBlackFormulaImpliedVol(IF(O223&lt;$C$4,"Put","Call"),O223,$C$4,$C$7,P223),"")</f>
        <v>4.9631887892134944E-3</v>
      </c>
      <c r="W223" s="61">
        <f>IFERROR(_xll.qlBachelierBlackFormulaImpliedVol(IF(O223&lt;$C$4,"Put","Call"),O223,$C$4,$C$7,Q223),"")</f>
        <v>4.1069373176501776E-3</v>
      </c>
      <c r="X223" s="61">
        <f>IFERROR(_xll.qlBachelierBlackFormulaImpliedVol(IF(O223&lt;$C$4,"Put","Call"),O223,$C$4,$C$7,R223),"")</f>
        <v>3.1332853432291486E-3</v>
      </c>
      <c r="Y223" s="42"/>
    </row>
    <row r="224" spans="15:25">
      <c r="O224" s="37">
        <f t="shared" si="3"/>
        <v>1.1899999999999978E-2</v>
      </c>
      <c r="P224" s="38">
        <f>IFERROR(_xll.qlBlackFormula(IF(O224&lt;$C$4,"Put","Call"),O224,$C$4,$C$9*SQRT($C$7)),"")</f>
        <v>1.895976756905428E-4</v>
      </c>
      <c r="Q224" s="39">
        <f>IFERROR(_xll.qlBlackFormula(IF(O224&lt;$C$4,"Put","Call"),O224,$C$4,$C$10*SQRT($C$7),,$C$11),"")</f>
        <v>8.0125495627192183E-5</v>
      </c>
      <c r="R224" s="40">
        <f>IFERROR(_xll.qlBachelierBlackFormula(IF(O224&lt;$C$4,"Put","Call"),O224,$C$4,$C$12*SQRT($C$7)),"")</f>
        <v>1.5218493198706636E-5</v>
      </c>
      <c r="S224" s="41">
        <f>IFERROR((_xll.qlBlackFormula(IF(O224&lt;$C$4,"Put","Call"),O224+$C$14,$C$4,$C$9*SQRT($C$7))-
2*_xll.qlBlackFormula(IF(O224&lt;$C$4,"Put","Call"),O224,$C$4,$C$9*SQRT($C$7))+
_xll.qlBlackFormula(IF(O224&lt;$C$4,"Put","Call"),O224-$C$14,$C$4,$C$9*SQRT($C$7)))/$C$14^2,"")</f>
        <v>12.843706567039481</v>
      </c>
      <c r="T224" s="42">
        <f>IFERROR((_xll.qlBlackFormula(IF(O224&lt;$C$4,"Put","Call"),O224+$C$14,$C$4,$C$10*SQRT($C$7),,$C$11)-
2*_xll.qlBlackFormula(IF(O224&lt;$C$4,"Put","Call"),O224,$C$4,$C$10*SQRT($C$7),,$C$11)+
_xll.qlBlackFormula(IF(O224&lt;$C$4,"Put","Call"),O224-$C$14,$C$4,$C$10*SQRT($C$7),,$C$11))/$C$14^2,"")</f>
        <v>14.187431828308062</v>
      </c>
      <c r="U224" s="43">
        <f>IFERROR((_xll.qlBachelierBlackFormula(IF(O224&lt;$C$4,"Put","Call"),O224+$C$14,$C$4,$C$12*SQRT($C$7))-
2*_xll.qlBachelierBlackFormula(IF(O224&lt;$C$4,"Put","Call"),O224,$C$4,$C$12*SQRT($C$7))+
_xll.qlBachelierBlackFormula(IF(O224&lt;$C$4,"Put","Call"),O224-$C$14,$C$4,$C$12*SQRT($C$7)))/$C$14^2,"")</f>
        <v>11.268117800053608</v>
      </c>
      <c r="V224" s="61">
        <f>IFERROR(_xll.qlBachelierBlackFormulaImpliedVol(IF(O224&lt;$C$4,"Put","Call"),O224,$C$4,$C$7,P224),"")</f>
        <v>4.9871732151981658E-3</v>
      </c>
      <c r="W224" s="61">
        <f>IFERROR(_xll.qlBachelierBlackFormulaImpliedVol(IF(O224&lt;$C$4,"Put","Call"),O224,$C$4,$C$7,Q224),"")</f>
        <v>4.1202013361196846E-3</v>
      </c>
      <c r="X224" s="61">
        <f>IFERROR(_xll.qlBachelierBlackFormulaImpliedVol(IF(O224&lt;$C$4,"Put","Call"),O224,$C$4,$C$7,R224),"")</f>
        <v>3.1332853432125009E-3</v>
      </c>
      <c r="Y224" s="42"/>
    </row>
    <row r="225" spans="15:25">
      <c r="O225" s="37">
        <f t="shared" si="3"/>
        <v>1.1999999999999978E-2</v>
      </c>
      <c r="P225" s="38">
        <f>IFERROR(_xll.qlBlackFormula(IF(O225&lt;$C$4,"Put","Call"),O225,$C$4,$C$9*SQRT($C$7)),"")</f>
        <v>1.8500626674897765E-4</v>
      </c>
      <c r="Q225" s="39">
        <f>IFERROR(_xll.qlBlackFormula(IF(O225&lt;$C$4,"Put","Call"),O225,$C$4,$C$10*SQRT($C$7),,$C$11),"")</f>
        <v>7.6796345804190798E-5</v>
      </c>
      <c r="R225" s="40">
        <f>IFERROR(_xll.qlBachelierBlackFormula(IF(O225&lt;$C$4,"Put","Call"),O225,$C$4,$C$12*SQRT($C$7)),"")</f>
        <v>1.3890836622980587E-5</v>
      </c>
      <c r="S225" s="41">
        <f>IFERROR((_xll.qlBlackFormula(IF(O225&lt;$C$4,"Put","Call"),O225+$C$14,$C$4,$C$9*SQRT($C$7))-
2*_xll.qlBlackFormula(IF(O225&lt;$C$4,"Put","Call"),O225,$C$4,$C$9*SQRT($C$7))+
_xll.qlBlackFormula(IF(O225&lt;$C$4,"Put","Call"),O225-$C$14,$C$4,$C$9*SQRT($C$7)))/$C$14^2,"")</f>
        <v>12.457820582414959</v>
      </c>
      <c r="T225" s="42">
        <f>IFERROR((_xll.qlBlackFormula(IF(O225&lt;$C$4,"Put","Call"),O225+$C$14,$C$4,$C$10*SQRT($C$7),,$C$11)-
2*_xll.qlBlackFormula(IF(O225&lt;$C$4,"Put","Call"),O225,$C$4,$C$10*SQRT($C$7),,$C$11)+
_xll.qlBlackFormula(IF(O225&lt;$C$4,"Put","Call"),O225-$C$14,$C$4,$C$10*SQRT($C$7),,$C$11))/$C$14^2,"")</f>
        <v>13.627048382931772</v>
      </c>
      <c r="U225" s="43">
        <f>IFERROR((_xll.qlBachelierBlackFormula(IF(O225&lt;$C$4,"Put","Call"),O225+$C$14,$C$4,$C$12*SQRT($C$7))-
2*_xll.qlBachelierBlackFormula(IF(O225&lt;$C$4,"Put","Call"),O225,$C$4,$C$12*SQRT($C$7))+
_xll.qlBachelierBlackFormula(IF(O225&lt;$C$4,"Put","Call"),O225-$C$14,$C$4,$C$12*SQRT($C$7)))/$C$14^2,"")</f>
        <v>10.498004402630448</v>
      </c>
      <c r="V225" s="61">
        <f>IFERROR(_xll.qlBachelierBlackFormulaImpliedVol(IF(O225&lt;$C$4,"Put","Call"),O225,$C$4,$C$7,P225),"")</f>
        <v>5.0110997694518961E-3</v>
      </c>
      <c r="W225" s="61">
        <f>IFERROR(_xll.qlBachelierBlackFormulaImpliedVol(IF(O225&lt;$C$4,"Put","Call"),O225,$C$4,$C$7,Q225),"")</f>
        <v>4.1334414307380839E-3</v>
      </c>
      <c r="X225" s="61">
        <f>IFERROR(_xll.qlBachelierBlackFormulaImpliedVol(IF(O225&lt;$C$4,"Put","Call"),O225,$C$4,$C$7,R225),"")</f>
        <v>3.1332853431979314E-3</v>
      </c>
      <c r="Y225" s="42"/>
    </row>
    <row r="226" spans="15:25">
      <c r="O226" s="37">
        <f t="shared" si="3"/>
        <v>1.2099999999999977E-2</v>
      </c>
      <c r="P226" s="38">
        <f>IFERROR(_xll.qlBlackFormula(IF(O226&lt;$C$4,"Put","Call"),O226,$C$4,$C$9*SQRT($C$7)),"")</f>
        <v>1.805394465051155E-4</v>
      </c>
      <c r="Q226" s="39">
        <f>IFERROR(_xll.qlBlackFormula(IF(O226&lt;$C$4,"Put","Call"),O226,$C$4,$C$10*SQRT($C$7),,$C$11),"")</f>
        <v>7.3603483686334576E-5</v>
      </c>
      <c r="R226" s="40">
        <f>IFERROR(_xll.qlBachelierBlackFormula(IF(O226&lt;$C$4,"Put","Call"),O226,$C$4,$C$12*SQRT($C$7)),"")</f>
        <v>1.2668195652273159E-5</v>
      </c>
      <c r="S226" s="41">
        <f>IFERROR((_xll.qlBlackFormula(IF(O226&lt;$C$4,"Put","Call"),O226+$C$14,$C$4,$C$9*SQRT($C$7))-
2*_xll.qlBlackFormula(IF(O226&lt;$C$4,"Put","Call"),O226,$C$4,$C$9*SQRT($C$7))+
_xll.qlBlackFormula(IF(O226&lt;$C$4,"Put","Call"),O226-$C$14,$C$4,$C$9*SQRT($C$7)))/$C$14^2,"")</f>
        <v>12.084529449167547</v>
      </c>
      <c r="T226" s="42">
        <f>IFERROR((_xll.qlBlackFormula(IF(O226&lt;$C$4,"Put","Call"),O226+$C$14,$C$4,$C$10*SQRT($C$7),,$C$11)-
2*_xll.qlBlackFormula(IF(O226&lt;$C$4,"Put","Call"),O226,$C$4,$C$10*SQRT($C$7),,$C$11)+
_xll.qlBlackFormula(IF(O226&lt;$C$4,"Put","Call"),O226-$C$14,$C$4,$C$10*SQRT($C$7),,$C$11))/$C$14^2,"")</f>
        <v>13.087331240425881</v>
      </c>
      <c r="U226" s="43">
        <f>IFERROR((_xll.qlBachelierBlackFormula(IF(O226&lt;$C$4,"Put","Call"),O226+$C$14,$C$4,$C$12*SQRT($C$7))-
2*_xll.qlBachelierBlackFormula(IF(O226&lt;$C$4,"Put","Call"),O226,$C$4,$C$12*SQRT($C$7))+
_xll.qlBachelierBlackFormula(IF(O226&lt;$C$4,"Put","Call"),O226-$C$14,$C$4,$C$12*SQRT($C$7)))/$C$14^2,"")</f>
        <v>9.7705671678327555</v>
      </c>
      <c r="V226" s="61">
        <f>IFERROR(_xll.qlBachelierBlackFormulaImpliedVol(IF(O226&lt;$C$4,"Put","Call"),O226,$C$4,$C$7,P226),"")</f>
        <v>5.0349691531623242E-3</v>
      </c>
      <c r="W226" s="61">
        <f>IFERROR(_xll.qlBachelierBlackFormulaImpliedVol(IF(O226&lt;$C$4,"Put","Call"),O226,$C$4,$C$7,Q226),"")</f>
        <v>4.1466578086066007E-3</v>
      </c>
      <c r="X226" s="61">
        <f>IFERROR(_xll.qlBachelierBlackFormulaImpliedVol(IF(O226&lt;$C$4,"Put","Call"),O226,$C$4,$C$7,R226),"")</f>
        <v>3.1332853431866614E-3</v>
      </c>
      <c r="Y226" s="42"/>
    </row>
    <row r="227" spans="15:25">
      <c r="O227" s="37">
        <f t="shared" si="3"/>
        <v>1.2199999999999976E-2</v>
      </c>
      <c r="P227" s="38">
        <f>IFERROR(_xll.qlBlackFormula(IF(O227&lt;$C$4,"Put","Call"),O227,$C$4,$C$9*SQRT($C$7)),"")</f>
        <v>1.761934816893033E-4</v>
      </c>
      <c r="Q227" s="39">
        <f>IFERROR(_xll.qlBlackFormula(IF(O227&lt;$C$4,"Put","Call"),O227,$C$4,$C$10*SQRT($C$7),,$C$11),"")</f>
        <v>7.0541511547608663E-5</v>
      </c>
      <c r="R227" s="40">
        <f>IFERROR(_xll.qlBachelierBlackFormula(IF(O227&lt;$C$4,"Put","Call"),O227,$C$4,$C$12*SQRT($C$7)),"")</f>
        <v>1.154329463705974E-5</v>
      </c>
      <c r="S227" s="41">
        <f>IFERROR((_xll.qlBlackFormula(IF(O227&lt;$C$4,"Put","Call"),O227+$C$14,$C$4,$C$9*SQRT($C$7))-
2*_xll.qlBlackFormula(IF(O227&lt;$C$4,"Put","Call"),O227,$C$4,$C$9*SQRT($C$7))+
_xll.qlBlackFormula(IF(O227&lt;$C$4,"Put","Call"),O227-$C$14,$C$4,$C$9*SQRT($C$7)))/$C$14^2,"")</f>
        <v>11.723397209603693</v>
      </c>
      <c r="T227" s="42">
        <f>IFERROR((_xll.qlBlackFormula(IF(O227&lt;$C$4,"Put","Call"),O227+$C$14,$C$4,$C$10*SQRT($C$7),,$C$11)-
2*_xll.qlBlackFormula(IF(O227&lt;$C$4,"Put","Call"),O227,$C$4,$C$10*SQRT($C$7),,$C$11)+
_xll.qlBlackFormula(IF(O227&lt;$C$4,"Put","Call"),O227-$C$14,$C$4,$C$10*SQRT($C$7),,$C$11))/$C$14^2,"")</f>
        <v>12.567621422709951</v>
      </c>
      <c r="U227" s="43">
        <f>IFERROR((_xll.qlBachelierBlackFormula(IF(O227&lt;$C$4,"Put","Call"),O227+$C$14,$C$4,$C$12*SQRT($C$7))-
2*_xll.qlBachelierBlackFormula(IF(O227&lt;$C$4,"Put","Call"),O227,$C$4,$C$12*SQRT($C$7))+
_xll.qlBachelierBlackFormula(IF(O227&lt;$C$4,"Put","Call"),O227-$C$14,$C$4,$C$12*SQRT($C$7)))/$C$14^2,"")</f>
        <v>9.0842771944144722</v>
      </c>
      <c r="V227" s="61">
        <f>IFERROR(_xll.qlBachelierBlackFormulaImpliedVol(IF(O227&lt;$C$4,"Put","Call"),O227,$C$4,$C$7,P227),"")</f>
        <v>5.0587820531149815E-3</v>
      </c>
      <c r="W227" s="61">
        <f>IFERROR(_xll.qlBachelierBlackFormulaImpliedVol(IF(O227&lt;$C$4,"Put","Call"),O227,$C$4,$C$7,Q227),"")</f>
        <v>4.1598506737943524E-3</v>
      </c>
      <c r="X227" s="61">
        <f>IFERROR(_xll.qlBachelierBlackFormulaImpliedVol(IF(O227&lt;$C$4,"Put","Call"),O227,$C$4,$C$7,R227),"")</f>
        <v>3.1332853431798474E-3</v>
      </c>
      <c r="Y227" s="42"/>
    </row>
    <row r="228" spans="15:25">
      <c r="O228" s="37">
        <f t="shared" si="3"/>
        <v>1.2299999999999976E-2</v>
      </c>
      <c r="P228" s="38">
        <f>IFERROR(_xll.qlBlackFormula(IF(O228&lt;$C$4,"Put","Call"),O228,$C$4,$C$9*SQRT($C$7)),"")</f>
        <v>1.7196476061765646E-4</v>
      </c>
      <c r="Q228" s="39">
        <f>IFERROR(_xll.qlBlackFormula(IF(O228&lt;$C$4,"Put","Call"),O228,$C$4,$C$10*SQRT($C$7),,$C$11),"")</f>
        <v>6.7605231755931382E-5</v>
      </c>
      <c r="R228" s="40">
        <f>IFERROR(_xll.qlBachelierBlackFormula(IF(O228&lt;$C$4,"Put","Call"),O228,$C$4,$C$12*SQRT($C$7)),"")</f>
        <v>1.0509269399738876E-5</v>
      </c>
      <c r="S228" s="41">
        <f>IFERROR((_xll.qlBlackFormula(IF(O228&lt;$C$4,"Put","Call"),O228+$C$14,$C$4,$C$9*SQRT($C$7))-
2*_xll.qlBlackFormula(IF(O228&lt;$C$4,"Put","Call"),O228,$C$4,$C$9*SQRT($C$7))+
_xll.qlBlackFormula(IF(O228&lt;$C$4,"Put","Call"),O228-$C$14,$C$4,$C$9*SQRT($C$7)))/$C$14^2,"")</f>
        <v>11.37399842279091</v>
      </c>
      <c r="T228" s="42">
        <f>IFERROR((_xll.qlBlackFormula(IF(O228&lt;$C$4,"Put","Call"),O228+$C$14,$C$4,$C$10*SQRT($C$7),,$C$11)-
2*_xll.qlBlackFormula(IF(O228&lt;$C$4,"Put","Call"),O228,$C$4,$C$10*SQRT($C$7),,$C$11)+
_xll.qlBlackFormula(IF(O228&lt;$C$4,"Put","Call"),O228-$C$14,$C$4,$C$10*SQRT($C$7),,$C$11))/$C$14^2,"")</f>
        <v>12.067274588432875</v>
      </c>
      <c r="U228" s="43">
        <f>IFERROR((_xll.qlBachelierBlackFormula(IF(O228&lt;$C$4,"Put","Call"),O228+$C$14,$C$4,$C$12*SQRT($C$7))-
2*_xll.qlBachelierBlackFormula(IF(O228&lt;$C$4,"Put","Call"),O228,$C$4,$C$12*SQRT($C$7))+
_xll.qlBachelierBlackFormula(IF(O228&lt;$C$4,"Put","Call"),O228-$C$14,$C$4,$C$12*SQRT($C$7)))/$C$14^2,"")</f>
        <v>8.4375947933179258</v>
      </c>
      <c r="V228" s="61">
        <f>IFERROR(_xll.qlBachelierBlackFormulaImpliedVol(IF(O228&lt;$C$4,"Put","Call"),O228,$C$4,$C$7,P228),"")</f>
        <v>5.0825391421067583E-3</v>
      </c>
      <c r="W228" s="61">
        <f>IFERROR(_xll.qlBachelierBlackFormulaImpliedVol(IF(O228&lt;$C$4,"Put","Call"),O228,$C$4,$C$7,Q228),"")</f>
        <v>4.1730202274003507E-3</v>
      </c>
      <c r="X228" s="61">
        <f>IFERROR(_xll.qlBachelierBlackFormulaImpliedVol(IF(O228&lt;$C$4,"Put","Call"),O228,$C$4,$C$7,R228),"")</f>
        <v>3.1332853431784886E-3</v>
      </c>
      <c r="Y228" s="42"/>
    </row>
    <row r="229" spans="15:25">
      <c r="O229" s="37">
        <f t="shared" si="3"/>
        <v>1.2399999999999975E-2</v>
      </c>
      <c r="P229" s="38">
        <f>IFERROR(_xll.qlBlackFormula(IF(O229&lt;$C$4,"Put","Call"),O229,$C$4,$C$9*SQRT($C$7)),"")</f>
        <v>1.6784978896960197E-4</v>
      </c>
      <c r="Q229" s="39">
        <f>IFERROR(_xll.qlBlackFormula(IF(O229&lt;$C$4,"Put","Call"),O229,$C$4,$C$10*SQRT($C$7),,$C$11),"")</f>
        <v>6.478964032934683E-5</v>
      </c>
      <c r="R229" s="40">
        <f>IFERROR(_xll.qlBachelierBlackFormula(IF(O229&lt;$C$4,"Put","Call"),O229,$C$4,$C$12*SQRT($C$7)),"")</f>
        <v>9.5596518207859257E-6</v>
      </c>
      <c r="S229" s="41">
        <f>IFERROR((_xll.qlBlackFormula(IF(O229&lt;$C$4,"Put","Call"),O229+$C$14,$C$4,$C$9*SQRT($C$7))-
2*_xll.qlBlackFormula(IF(O229&lt;$C$4,"Put","Call"),O229,$C$4,$C$9*SQRT($C$7))+
_xll.qlBlackFormula(IF(O229&lt;$C$4,"Put","Call"),O229-$C$14,$C$4,$C$9*SQRT($C$7)))/$C$14^2,"")</f>
        <v>11.03592878973908</v>
      </c>
      <c r="T229" s="42">
        <f>IFERROR((_xll.qlBlackFormula(IF(O229&lt;$C$4,"Put","Call"),O229+$C$14,$C$4,$C$10*SQRT($C$7),,$C$11)-
2*_xll.qlBlackFormula(IF(O229&lt;$C$4,"Put","Call"),O229,$C$4,$C$10*SQRT($C$7),,$C$11)+
_xll.qlBlackFormula(IF(O229&lt;$C$4,"Put","Call"),O229-$C$14,$C$4,$C$10*SQRT($C$7),,$C$11))/$C$14^2,"")</f>
        <v>11.585665098731019</v>
      </c>
      <c r="U229" s="43">
        <f>IFERROR((_xll.qlBachelierBlackFormula(IF(O229&lt;$C$4,"Put","Call"),O229+$C$14,$C$4,$C$12*SQRT($C$7))-
2*_xll.qlBachelierBlackFormula(IF(O229&lt;$C$4,"Put","Call"),O229,$C$4,$C$12*SQRT($C$7))+
_xll.qlBachelierBlackFormula(IF(O229&lt;$C$4,"Put","Call"),O229-$C$14,$C$4,$C$12*SQRT($C$7)))/$C$14^2,"")</f>
        <v>7.8289686609696663</v>
      </c>
      <c r="V229" s="61">
        <f>IFERROR(_xll.qlBachelierBlackFormulaImpliedVol(IF(O229&lt;$C$4,"Put","Call"),O229,$C$4,$C$7,P229),"")</f>
        <v>5.1062410793442543E-3</v>
      </c>
      <c r="W229" s="61">
        <f>IFERROR(_xll.qlBachelierBlackFormulaImpliedVol(IF(O229&lt;$C$4,"Put","Call"),O229,$C$4,$C$7,Q229),"")</f>
        <v>4.1861666676139952E-3</v>
      </c>
      <c r="X229" s="61">
        <f>IFERROR(_xll.qlBachelierBlackFormulaImpliedVol(IF(O229&lt;$C$4,"Put","Call"),O229,$C$4,$C$7,R229),"")</f>
        <v>3.133285343183456E-3</v>
      </c>
      <c r="Y229" s="42"/>
    </row>
    <row r="230" spans="15:25">
      <c r="O230" s="37">
        <f t="shared" si="3"/>
        <v>1.2499999999999975E-2</v>
      </c>
      <c r="P230" s="38">
        <f>IFERROR(_xll.qlBlackFormula(IF(O230&lt;$C$4,"Put","Call"),O230,$C$4,$C$9*SQRT($C$7)),"")</f>
        <v>1.6384518571766014E-4</v>
      </c>
      <c r="Q230" s="39">
        <f>IFERROR(_xll.qlBlackFormula(IF(O230&lt;$C$4,"Put","Call"),O230,$C$4,$C$10*SQRT($C$7),,$C$11),"")</f>
        <v>6.2089920630327379E-5</v>
      </c>
      <c r="R230" s="40">
        <f>IFERROR(_xll.qlBachelierBlackFormula(IF(O230&lt;$C$4,"Put","Call"),O230,$C$4,$C$12*SQRT($C$7)),"")</f>
        <v>8.6883543483492424E-6</v>
      </c>
      <c r="S230" s="41">
        <f>IFERROR((_xll.qlBlackFormula(IF(O230&lt;$C$4,"Put","Call"),O230+$C$14,$C$4,$C$9*SQRT($C$7))-
2*_xll.qlBlackFormula(IF(O230&lt;$C$4,"Put","Call"),O230,$C$4,$C$9*SQRT($C$7))+
_xll.qlBlackFormula(IF(O230&lt;$C$4,"Put","Call"),O230-$C$14,$C$4,$C$9*SQRT($C$7)))/$C$14^2,"")</f>
        <v>10.708794853479809</v>
      </c>
      <c r="T230" s="42">
        <f>IFERROR((_xll.qlBlackFormula(IF(O230&lt;$C$4,"Put","Call"),O230+$C$14,$C$4,$C$10*SQRT($C$7),,$C$11)-
2*_xll.qlBlackFormula(IF(O230&lt;$C$4,"Put","Call"),O230,$C$4,$C$10*SQRT($C$7),,$C$11)+
_xll.qlBlackFormula(IF(O230&lt;$C$4,"Put","Call"),O230-$C$14,$C$4,$C$10*SQRT($C$7),,$C$11))/$C$14^2,"")</f>
        <v>11.122168019472163</v>
      </c>
      <c r="U230" s="43">
        <f>IFERROR((_xll.qlBachelierBlackFormula(IF(O230&lt;$C$4,"Put","Call"),O230+$C$14,$C$4,$C$12*SQRT($C$7))-
2*_xll.qlBachelierBlackFormula(IF(O230&lt;$C$4,"Put","Call"),O230,$C$4,$C$12*SQRT($C$7))+
_xll.qlBachelierBlackFormula(IF(O230&lt;$C$4,"Put","Call"),O230-$C$14,$C$4,$C$12*SQRT($C$7)))/$C$14^2,"")</f>
        <v>7.2568492014146724</v>
      </c>
      <c r="V230" s="61">
        <f>IFERROR(_xll.qlBachelierBlackFormulaImpliedVol(IF(O230&lt;$C$4,"Put","Call"),O230,$C$4,$C$7,P230),"")</f>
        <v>5.1298885108275356E-3</v>
      </c>
      <c r="W230" s="61">
        <f>IFERROR(_xll.qlBachelierBlackFormulaImpliedVol(IF(O230&lt;$C$4,"Put","Call"),O230,$C$4,$C$7,Q230),"")</f>
        <v>4.1992901897739982E-3</v>
      </c>
      <c r="X230" s="61">
        <f>IFERROR(_xll.qlBachelierBlackFormulaImpliedVol(IF(O230&lt;$C$4,"Put","Call"),O230,$C$4,$C$7,R230),"")</f>
        <v>3.1332853431953037E-3</v>
      </c>
      <c r="Y230" s="42"/>
    </row>
    <row r="231" spans="15:25">
      <c r="O231" s="37">
        <f t="shared" si="3"/>
        <v>1.2599999999999974E-2</v>
      </c>
      <c r="P231" s="38">
        <f>IFERROR(_xll.qlBlackFormula(IF(O231&lt;$C$4,"Put","Call"),O231,$C$4,$C$9*SQRT($C$7)),"")</f>
        <v>1.5994767920402529E-4</v>
      </c>
      <c r="Q231" s="39">
        <f>IFERROR(_xll.qlBlackFormula(IF(O231&lt;$C$4,"Put","Call"),O231,$C$4,$C$10*SQRT($C$7),,$C$11),"")</f>
        <v>5.9501437200593706E-5</v>
      </c>
      <c r="R231" s="40">
        <f>IFERROR(_xll.qlBachelierBlackFormula(IF(O231&lt;$C$4,"Put","Call"),O231,$C$4,$C$12*SQRT($C$7)),"")</f>
        <v>7.8896544975338049E-6</v>
      </c>
      <c r="S231" s="41">
        <f>IFERROR((_xll.qlBlackFormula(IF(O231&lt;$C$4,"Put","Call"),O231+$C$14,$C$4,$C$9*SQRT($C$7))-
2*_xll.qlBlackFormula(IF(O231&lt;$C$4,"Put","Call"),O231,$C$4,$C$9*SQRT($C$7))+
_xll.qlBlackFormula(IF(O231&lt;$C$4,"Put","Call"),O231-$C$14,$C$4,$C$9*SQRT($C$7)))/$C$14^2,"")</f>
        <v>10.392217847984137</v>
      </c>
      <c r="T231" s="42">
        <f>IFERROR((_xll.qlBlackFormula(IF(O231&lt;$C$4,"Put","Call"),O231+$C$14,$C$4,$C$10*SQRT($C$7),,$C$11)-
2*_xll.qlBlackFormula(IF(O231&lt;$C$4,"Put","Call"),O231,$C$4,$C$10*SQRT($C$7),,$C$11)+
_xll.qlBlackFormula(IF(O231&lt;$C$4,"Put","Call"),O231-$C$14,$C$4,$C$10*SQRT($C$7),,$C$11))/$C$14^2,"")</f>
        <v>10.676187852613067</v>
      </c>
      <c r="U231" s="43">
        <f>IFERROR((_xll.qlBachelierBlackFormula(IF(O231&lt;$C$4,"Put","Call"),O231+$C$14,$C$4,$C$12*SQRT($C$7))-
2*_xll.qlBachelierBlackFormula(IF(O231&lt;$C$4,"Put","Call"),O231,$C$4,$C$12*SQRT($C$7))+
_xll.qlBachelierBlackFormula(IF(O231&lt;$C$4,"Put","Call"),O231-$C$14,$C$4,$C$12*SQRT($C$7)))/$C$14^2,"")</f>
        <v>6.7196900577519081</v>
      </c>
      <c r="V231" s="61">
        <f>IFERROR(_xll.qlBachelierBlackFormulaImpliedVol(IF(O231&lt;$C$4,"Put","Call"),O231,$C$4,$C$7,P231),"")</f>
        <v>5.1534820697201594E-3</v>
      </c>
      <c r="W231" s="61">
        <f>IFERROR(_xll.qlBachelierBlackFormulaImpliedVol(IF(O231&lt;$C$4,"Put","Call"),O231,$C$4,$C$7,Q231),"")</f>
        <v>4.2123909864256511E-3</v>
      </c>
      <c r="X231" s="61">
        <f>IFERROR(_xll.qlBachelierBlackFormulaImpliedVol(IF(O231&lt;$C$4,"Put","Call"),O231,$C$4,$C$7,R231),"")</f>
        <v>3.1332853432142795E-3</v>
      </c>
      <c r="Y231" s="42"/>
    </row>
    <row r="232" spans="15:25">
      <c r="O232" s="37">
        <f t="shared" si="3"/>
        <v>1.2699999999999973E-2</v>
      </c>
      <c r="P232" s="38">
        <f>IFERROR(_xll.qlBlackFormula(IF(O232&lt;$C$4,"Put","Call"),O232,$C$4,$C$9*SQRT($C$7)),"")</f>
        <v>1.561541033586775E-4</v>
      </c>
      <c r="Q232" s="39">
        <f>IFERROR(_xll.qlBlackFormula(IF(O232&lt;$C$4,"Put","Call"),O232,$C$4,$C$10*SQRT($C$7),,$C$11),"")</f>
        <v>5.7019729738357202E-5</v>
      </c>
      <c r="R232" s="40">
        <f>IFERROR(_xll.qlBachelierBlackFormula(IF(O232&lt;$C$4,"Put","Call"),O232,$C$4,$C$12*SQRT($C$7)),"")</f>
        <v>7.1581794008995602E-6</v>
      </c>
      <c r="S232" s="41">
        <f>IFERROR((_xll.qlBlackFormula(IF(O232&lt;$C$4,"Put","Call"),O232+$C$14,$C$4,$C$9*SQRT($C$7))-
2*_xll.qlBlackFormula(IF(O232&lt;$C$4,"Put","Call"),O232,$C$4,$C$9*SQRT($C$7))+
_xll.qlBlackFormula(IF(O232&lt;$C$4,"Put","Call"),O232-$C$14,$C$4,$C$9*SQRT($C$7)))/$C$14^2,"")</f>
        <v>10.085834457104065</v>
      </c>
      <c r="T232" s="42">
        <f>IFERROR((_xll.qlBlackFormula(IF(O232&lt;$C$4,"Put","Call"),O232+$C$14,$C$4,$C$10*SQRT($C$7),,$C$11)-
2*_xll.qlBlackFormula(IF(O232&lt;$C$4,"Put","Call"),O232,$C$4,$C$10*SQRT($C$7),,$C$11)+
_xll.qlBlackFormula(IF(O232&lt;$C$4,"Put","Call"),O232-$C$14,$C$4,$C$10*SQRT($C$7),,$C$11))/$C$14^2,"")</f>
        <v>10.247133274288862</v>
      </c>
      <c r="U232" s="43">
        <f>IFERROR((_xll.qlBachelierBlackFormula(IF(O232&lt;$C$4,"Put","Call"),O232+$C$14,$C$4,$C$12*SQRT($C$7))-
2*_xll.qlBachelierBlackFormula(IF(O232&lt;$C$4,"Put","Call"),O232,$C$4,$C$12*SQRT($C$7))+
_xll.qlBachelierBlackFormula(IF(O232&lt;$C$4,"Put","Call"),O232-$C$14,$C$4,$C$12*SQRT($C$7)))/$C$14^2,"")</f>
        <v>6.2159575108119114</v>
      </c>
      <c r="V232" s="61">
        <f>IFERROR(_xll.qlBachelierBlackFormulaImpliedVol(IF(O232&lt;$C$4,"Put","Call"),O232,$C$4,$C$7,P232),"")</f>
        <v>5.1770223767057914E-3</v>
      </c>
      <c r="W232" s="61">
        <f>IFERROR(_xll.qlBachelierBlackFormulaImpliedVol(IF(O232&lt;$C$4,"Put","Call"),O232,$C$4,$C$7,Q232),"")</f>
        <v>4.2254692473767622E-3</v>
      </c>
      <c r="X232" s="61">
        <f>IFERROR(_xll.qlBachelierBlackFormulaImpliedVol(IF(O232&lt;$C$4,"Put","Call"),O232,$C$4,$C$7,R232),"")</f>
        <v>3.133285343240302E-3</v>
      </c>
      <c r="Y232" s="42"/>
    </row>
    <row r="233" spans="15:25">
      <c r="O233" s="37">
        <f t="shared" si="3"/>
        <v>1.2799999999999973E-2</v>
      </c>
      <c r="P233" s="38">
        <f>IFERROR(_xll.qlBlackFormula(IF(O233&lt;$C$4,"Put","Call"),O233,$C$4,$C$9*SQRT($C$7)),"")</f>
        <v>1.5246139405393456E-4</v>
      </c>
      <c r="Q233" s="39">
        <f>IFERROR(_xll.qlBlackFormula(IF(O233&lt;$C$4,"Put","Call"),O233,$C$4,$C$10*SQRT($C$7),,$C$11),"")</f>
        <v>5.4640507219296463E-5</v>
      </c>
      <c r="R233" s="40">
        <f>IFERROR(_xll.qlBachelierBlackFormula(IF(O233&lt;$C$4,"Put","Call"),O233,$C$4,$C$12*SQRT($C$7)),"")</f>
        <v>6.4888904670008251E-6</v>
      </c>
      <c r="S233" s="41">
        <f>IFERROR((_xll.qlBlackFormula(IF(O233&lt;$C$4,"Put","Call"),O233+$C$14,$C$4,$C$9*SQRT($C$7))-
2*_xll.qlBlackFormula(IF(O233&lt;$C$4,"Put","Call"),O233,$C$4,$C$9*SQRT($C$7))+
_xll.qlBlackFormula(IF(O233&lt;$C$4,"Put","Call"),O233-$C$14,$C$4,$C$9*SQRT($C$7)))/$C$14^2,"")</f>
        <v>9.7892928030245123</v>
      </c>
      <c r="T233" s="42">
        <f>IFERROR((_xll.qlBlackFormula(IF(O233&lt;$C$4,"Put","Call"),O233+$C$14,$C$4,$C$10*SQRT($C$7),,$C$11)-
2*_xll.qlBlackFormula(IF(O233&lt;$C$4,"Put","Call"),O233,$C$4,$C$10*SQRT($C$7),,$C$11)+
_xll.qlBlackFormula(IF(O233&lt;$C$4,"Put","Call"),O233-$C$14,$C$4,$C$10*SQRT($C$7),,$C$11))/$C$14^2,"")</f>
        <v>9.8344299826087784</v>
      </c>
      <c r="U233" s="43">
        <f>IFERROR((_xll.qlBachelierBlackFormula(IF(O233&lt;$C$4,"Put","Call"),O233+$C$14,$C$4,$C$12*SQRT($C$7))-
2*_xll.qlBachelierBlackFormula(IF(O233&lt;$C$4,"Put","Call"),O233,$C$4,$C$12*SQRT($C$7))+
_xll.qlBachelierBlackFormula(IF(O233&lt;$C$4,"Put","Call"),O233-$C$14,$C$4,$C$12*SQRT($C$7)))/$C$14^2,"")</f>
        <v>5.7441327627576202</v>
      </c>
      <c r="V233" s="61">
        <f>IFERROR(_xll.qlBachelierBlackFormulaImpliedVol(IF(O233&lt;$C$4,"Put","Call"),O233,$C$4,$C$7,P233),"")</f>
        <v>5.2005100403323271E-3</v>
      </c>
      <c r="W233" s="61">
        <f>IFERROR(_xll.qlBachelierBlackFormulaImpliedVol(IF(O233&lt;$C$4,"Put","Call"),O233,$C$4,$C$7,Q233),"")</f>
        <v>4.23852515975209E-3</v>
      </c>
      <c r="X233" s="61">
        <f>IFERROR(_xll.qlBachelierBlackFormulaImpliedVol(IF(O233&lt;$C$4,"Put","Call"),O233,$C$4,$C$7,R233),"")</f>
        <v>3.133285343272907E-3</v>
      </c>
      <c r="Y233" s="42"/>
    </row>
    <row r="234" spans="15:25">
      <c r="O234" s="37">
        <f t="shared" si="3"/>
        <v>1.2899999999999972E-2</v>
      </c>
      <c r="P234" s="38">
        <f>IFERROR(_xll.qlBlackFormula(IF(O234&lt;$C$4,"Put","Call"),O234,$C$4,$C$9*SQRT($C$7)),"")</f>
        <v>1.4886658559050159E-4</v>
      </c>
      <c r="Q234" s="39">
        <f>IFERROR(_xll.qlBlackFormula(IF(O234&lt;$C$4,"Put","Call"),O234,$C$4,$C$10*SQRT($C$7),,$C$11),"")</f>
        <v>5.2359642162172048E-5</v>
      </c>
      <c r="R234" s="40">
        <f>IFERROR(_xll.qlBachelierBlackFormula(IF(O234&lt;$C$4,"Put","Call"),O234,$C$4,$C$12*SQRT($C$7)),"")</f>
        <v>5.8770681990804617E-6</v>
      </c>
      <c r="S234" s="41">
        <f>IFERROR((_xll.qlBlackFormula(IF(O234&lt;$C$4,"Put","Call"),O234+$C$14,$C$4,$C$9*SQRT($C$7))-
2*_xll.qlBlackFormula(IF(O234&lt;$C$4,"Put","Call"),O234,$C$4,$C$9*SQRT($C$7))+
_xll.qlBlackFormula(IF(O234&lt;$C$4,"Put","Call"),O234-$C$14,$C$4,$C$9*SQRT($C$7)))/$C$14^2,"")</f>
        <v>9.5022540183564708</v>
      </c>
      <c r="T234" s="42">
        <f>IFERROR((_xll.qlBlackFormula(IF(O234&lt;$C$4,"Put","Call"),O234+$C$14,$C$4,$C$10*SQRT($C$7),,$C$11)-
2*_xll.qlBlackFormula(IF(O234&lt;$C$4,"Put","Call"),O234,$C$4,$C$10*SQRT($C$7),,$C$11)+
_xll.qlBlackFormula(IF(O234&lt;$C$4,"Put","Call"),O234-$C$14,$C$4,$C$10*SQRT($C$7),,$C$11))/$C$14^2,"")</f>
        <v>9.4375236792121342</v>
      </c>
      <c r="U234" s="43">
        <f>IFERROR((_xll.qlBachelierBlackFormula(IF(O234&lt;$C$4,"Put","Call"),O234+$C$14,$C$4,$C$12*SQRT($C$7))-
2*_xll.qlBachelierBlackFormula(IF(O234&lt;$C$4,"Put","Call"),O234,$C$4,$C$12*SQRT($C$7))+
_xll.qlBachelierBlackFormula(IF(O234&lt;$C$4,"Put","Call"),O234-$C$14,$C$4,$C$12*SQRT($C$7)))/$C$14^2,"")</f>
        <v>5.3027182728908153</v>
      </c>
      <c r="V234" s="61">
        <f>IFERROR(_xll.qlBachelierBlackFormulaImpliedVol(IF(O234&lt;$C$4,"Put","Call"),O234,$C$4,$C$7,P234),"")</f>
        <v>5.2239456573437123E-3</v>
      </c>
      <c r="W234" s="61">
        <f>IFERROR(_xll.qlBachelierBlackFormulaImpliedVol(IF(O234&lt;$C$4,"Put","Call"),O234,$C$4,$C$7,Q234),"")</f>
        <v>4.2515589080463958E-3</v>
      </c>
      <c r="X234" s="61">
        <f>IFERROR(_xll.qlBachelierBlackFormulaImpliedVol(IF(O234&lt;$C$4,"Put","Call"),O234,$C$4,$C$7,R234),"")</f>
        <v>3.13328534331128E-3</v>
      </c>
      <c r="Y234" s="42"/>
    </row>
    <row r="235" spans="15:25">
      <c r="O235" s="37">
        <f t="shared" si="3"/>
        <v>1.2999999999999972E-2</v>
      </c>
      <c r="P235" s="38">
        <f>IFERROR(_xll.qlBlackFormula(IF(O235&lt;$C$4,"Put","Call"),O235,$C$4,$C$9*SQRT($C$7)),"")</f>
        <v>1.4536680731025946E-4</v>
      </c>
      <c r="Q235" s="39">
        <f>IFERROR(_xll.qlBlackFormula(IF(O235&lt;$C$4,"Put","Call"),O235,$C$4,$C$10*SQRT($C$7),,$C$11),"")</f>
        <v>5.0173165039513504E-5</v>
      </c>
      <c r="R235" s="40">
        <f>IFERROR(_xll.qlBachelierBlackFormula(IF(O235&lt;$C$4,"Put","Call"),O235,$C$4,$C$12*SQRT($C$7)),"")</f>
        <v>5.3182972213734885E-6</v>
      </c>
      <c r="S235" s="41">
        <f>IFERROR((_xll.qlBlackFormula(IF(O235&lt;$C$4,"Put","Call"),O235+$C$14,$C$4,$C$9*SQRT($C$7))-
2*_xll.qlBlackFormula(IF(O235&lt;$C$4,"Put","Call"),O235,$C$4,$C$9*SQRT($C$7))+
_xll.qlBlackFormula(IF(O235&lt;$C$4,"Put","Call"),O235-$C$14,$C$4,$C$9*SQRT($C$7)))/$C$14^2,"")</f>
        <v>9.2243914329853691</v>
      </c>
      <c r="T235" s="42">
        <f>IFERROR((_xll.qlBlackFormula(IF(O235&lt;$C$4,"Put","Call"),O235+$C$14,$C$4,$C$10*SQRT($C$7),,$C$11)-
2*_xll.qlBlackFormula(IF(O235&lt;$C$4,"Put","Call"),O235,$C$4,$C$10*SQRT($C$7),,$C$11)+
_xll.qlBlackFormula(IF(O235&lt;$C$4,"Put","Call"),O235-$C$14,$C$4,$C$10*SQRT($C$7),,$C$11))/$C$14^2,"")</f>
        <v>9.0558655951693261</v>
      </c>
      <c r="U235" s="43">
        <f>IFERROR((_xll.qlBachelierBlackFormula(IF(O235&lt;$C$4,"Put","Call"),O235+$C$14,$C$4,$C$12*SQRT($C$7))-
2*_xll.qlBachelierBlackFormula(IF(O235&lt;$C$4,"Put","Call"),O235,$C$4,$C$12*SQRT($C$7))+
_xll.qlBachelierBlackFormula(IF(O235&lt;$C$4,"Put","Call"),O235-$C$14,$C$4,$C$12*SQRT($C$7)))/$C$14^2,"")</f>
        <v>4.8902406782217263</v>
      </c>
      <c r="V235" s="61">
        <f>IFERROR(_xll.qlBachelierBlackFormulaImpliedVol(IF(O235&lt;$C$4,"Put","Call"),O235,$C$4,$C$7,P235),"")</f>
        <v>5.2473298130002793E-3</v>
      </c>
      <c r="W235" s="61">
        <f>IFERROR(_xll.qlBachelierBlackFormulaImpliedVol(IF(O235&lt;$C$4,"Put","Call"),O235,$C$4,$C$7,Q235),"")</f>
        <v>4.2645706741761789E-3</v>
      </c>
      <c r="X235" s="61">
        <f>IFERROR(_xll.qlBachelierBlackFormulaImpliedVol(IF(O235&lt;$C$4,"Put","Call"),O235,$C$4,$C$7,R235),"")</f>
        <v>3.1332853433541988E-3</v>
      </c>
      <c r="Y235" s="42"/>
    </row>
    <row r="236" spans="15:25">
      <c r="O236" s="37">
        <f t="shared" si="3"/>
        <v>1.3099999999999971E-2</v>
      </c>
      <c r="P236" s="38">
        <f>IFERROR(_xll.qlBlackFormula(IF(O236&lt;$C$4,"Put","Call"),O236,$C$4,$C$9*SQRT($C$7)),"")</f>
        <v>1.4195928033117894E-4</v>
      </c>
      <c r="Q236" s="39">
        <f>IFERROR(_xll.qlBlackFormula(IF(O236&lt;$C$4,"Put","Call"),O236,$C$4,$C$10*SQRT($C$7),,$C$11),"")</f>
        <v>4.8077258833421541E-5</v>
      </c>
      <c r="R236" s="40">
        <f>IFERROR(_xll.qlBachelierBlackFormula(IF(O236&lt;$C$4,"Put","Call"),O236,$C$4,$C$12*SQRT($C$7)),"")</f>
        <v>4.8084515558707985E-6</v>
      </c>
      <c r="S236" s="41">
        <f>IFERROR((_xll.qlBlackFormula(IF(O236&lt;$C$4,"Put","Call"),O236+$C$14,$C$4,$C$9*SQRT($C$7))-
2*_xll.qlBlackFormula(IF(O236&lt;$C$4,"Put","Call"),O236,$C$4,$C$9*SQRT($C$7))+
_xll.qlBlackFormula(IF(O236&lt;$C$4,"Put","Call"),O236-$C$14,$C$4,$C$9*SQRT($C$7)))/$C$14^2,"")</f>
        <v>8.9553924714248776</v>
      </c>
      <c r="T236" s="42">
        <f>IFERROR((_xll.qlBlackFormula(IF(O236&lt;$C$4,"Put","Call"),O236+$C$14,$C$4,$C$10*SQRT($C$7),,$C$11)-
2*_xll.qlBlackFormula(IF(O236&lt;$C$4,"Put","Call"),O236,$C$4,$C$10*SQRT($C$7),,$C$11)+
_xll.qlBlackFormula(IF(O236&lt;$C$4,"Put","Call"),O236-$C$14,$C$4,$C$10*SQRT($C$7),,$C$11))/$C$14^2,"")</f>
        <v>8.6889265856100746</v>
      </c>
      <c r="U236" s="43">
        <f>IFERROR((_xll.qlBachelierBlackFormula(IF(O236&lt;$C$4,"Put","Call"),O236+$C$14,$C$4,$C$12*SQRT($C$7))-
2*_xll.qlBachelierBlackFormula(IF(O236&lt;$C$4,"Put","Call"),O236,$C$4,$C$12*SQRT($C$7))+
_xll.qlBachelierBlackFormula(IF(O236&lt;$C$4,"Put","Call"),O236-$C$14,$C$4,$C$12*SQRT($C$7)))/$C$14^2,"")</f>
        <v>4.5052566888183385</v>
      </c>
      <c r="V236" s="61">
        <f>IFERROR(_xll.qlBachelierBlackFormulaImpliedVol(IF(O236&lt;$C$4,"Put","Call"),O236,$C$4,$C$7,P236),"")</f>
        <v>5.2706630813878809E-3</v>
      </c>
      <c r="W236" s="61">
        <f>IFERROR(_xll.qlBachelierBlackFormulaImpliedVol(IF(O236&lt;$C$4,"Put","Call"),O236,$C$4,$C$7,Q236),"")</f>
        <v>4.2775606375300666E-3</v>
      </c>
      <c r="X236" s="61">
        <f>IFERROR(_xll.qlBachelierBlackFormulaImpliedVol(IF(O236&lt;$C$4,"Put","Call"),O236,$C$4,$C$7,R236),"")</f>
        <v>3.1332853434002618E-3</v>
      </c>
      <c r="Y236" s="42"/>
    </row>
    <row r="237" spans="15:25">
      <c r="O237" s="37">
        <f t="shared" si="3"/>
        <v>1.319999999999997E-2</v>
      </c>
      <c r="P237" s="38">
        <f>IFERROR(_xll.qlBlackFormula(IF(O237&lt;$C$4,"Put","Call"),O237,$C$4,$C$9*SQRT($C$7)),"")</f>
        <v>1.3864131439990905E-4</v>
      </c>
      <c r="Q237" s="39">
        <f>IFERROR(_xll.qlBlackFormula(IF(O237&lt;$C$4,"Put","Call"),O237,$C$4,$C$10*SQRT($C$7),,$C$11),"")</f>
        <v>4.6068253736183127E-5</v>
      </c>
      <c r="R237" s="40">
        <f>IFERROR(_xll.qlBachelierBlackFormula(IF(O237&lt;$C$4,"Put","Call"),O237,$C$4,$C$12*SQRT($C$7)),"")</f>
        <v>4.3436801879124322E-6</v>
      </c>
      <c r="S237" s="41">
        <f>IFERROR((_xll.qlBlackFormula(IF(O237&lt;$C$4,"Put","Call"),O237+$C$14,$C$4,$C$9*SQRT($C$7))-
2*_xll.qlBlackFormula(IF(O237&lt;$C$4,"Put","Call"),O237,$C$4,$C$9*SQRT($C$7))+
_xll.qlBlackFormula(IF(O237&lt;$C$4,"Put","Call"),O237-$C$14,$C$4,$C$9*SQRT($C$7)))/$C$14^2,"")</f>
        <v>8.6949514428724672</v>
      </c>
      <c r="T237" s="42">
        <f>IFERROR((_xll.qlBlackFormula(IF(O237&lt;$C$4,"Put","Call"),O237+$C$14,$C$4,$C$10*SQRT($C$7),,$C$11)-
2*_xll.qlBlackFormula(IF(O237&lt;$C$4,"Put","Call"),O237,$C$4,$C$10*SQRT($C$7),,$C$11)+
_xll.qlBlackFormula(IF(O237&lt;$C$4,"Put","Call"),O237-$C$14,$C$4,$C$10*SQRT($C$7),,$C$11))/$C$14^2,"")</f>
        <v>8.3361936602764644</v>
      </c>
      <c r="U237" s="43">
        <f>IFERROR((_xll.qlBachelierBlackFormula(IF(O237&lt;$C$4,"Put","Call"),O237+$C$14,$C$4,$C$12*SQRT($C$7))-
2*_xll.qlBachelierBlackFormula(IF(O237&lt;$C$4,"Put","Call"),O237,$C$4,$C$12*SQRT($C$7))+
_xll.qlBachelierBlackFormula(IF(O237&lt;$C$4,"Put","Call"),O237-$C$14,$C$4,$C$12*SQRT($C$7)))/$C$14^2,"")</f>
        <v>4.1463549241738296</v>
      </c>
      <c r="V237" s="61">
        <f>IFERROR(_xll.qlBachelierBlackFormulaImpliedVol(IF(O237&lt;$C$4,"Put","Call"),O237,$C$4,$C$7,P237),"")</f>
        <v>5.2939460257164636E-3</v>
      </c>
      <c r="W237" s="61">
        <f>IFERROR(_xll.qlBachelierBlackFormulaImpliedVol(IF(O237&lt;$C$4,"Put","Call"),O237,$C$4,$C$7,Q237),"")</f>
        <v>4.2905289750179874E-3</v>
      </c>
      <c r="X237" s="61">
        <f>IFERROR(_xll.qlBachelierBlackFormulaImpliedVol(IF(O237&lt;$C$4,"Put","Call"),O237,$C$4,$C$7,R237),"")</f>
        <v>3.1332853434474762E-3</v>
      </c>
      <c r="Y237" s="42"/>
    </row>
    <row r="238" spans="15:25">
      <c r="O238" s="37">
        <f t="shared" si="3"/>
        <v>1.329999999999997E-2</v>
      </c>
      <c r="P238" s="38">
        <f>IFERROR(_xll.qlBlackFormula(IF(O238&lt;$C$4,"Put","Call"),O238,$C$4,$C$9*SQRT($C$7)),"")</f>
        <v>1.3541030485773512E-4</v>
      </c>
      <c r="Q238" s="39">
        <f>IFERROR(_xll.qlBlackFormula(IF(O238&lt;$C$4,"Put","Call"),O238,$C$4,$C$10*SQRT($C$7),,$C$11),"")</f>
        <v>4.4142621995058864E-5</v>
      </c>
      <c r="R238" s="40">
        <f>IFERROR(_xll.qlBachelierBlackFormula(IF(O238&lt;$C$4,"Put","Call"),O238,$C$4,$C$12*SQRT($C$7)),"")</f>
        <v>3.9203929545944175E-6</v>
      </c>
      <c r="S238" s="41">
        <f>IFERROR((_xll.qlBlackFormula(IF(O238&lt;$C$4,"Put","Call"),O238+$C$14,$C$4,$C$9*SQRT($C$7))-
2*_xll.qlBlackFormula(IF(O238&lt;$C$4,"Put","Call"),O238,$C$4,$C$9*SQRT($C$7))+
_xll.qlBlackFormula(IF(O238&lt;$C$4,"Put","Call"),O238-$C$14,$C$4,$C$9*SQRT($C$7)))/$C$14^2,"")</f>
        <v>8.4427751248505878</v>
      </c>
      <c r="T238" s="42">
        <f>IFERROR((_xll.qlBlackFormula(IF(O238&lt;$C$4,"Put","Call"),O238+$C$14,$C$4,$C$10*SQRT($C$7),,$C$11)-
2*_xll.qlBlackFormula(IF(O238&lt;$C$4,"Put","Call"),O238,$C$4,$C$10*SQRT($C$7),,$C$11)+
_xll.qlBlackFormula(IF(O238&lt;$C$4,"Put","Call"),O238-$C$14,$C$4,$C$10*SQRT($C$7),,$C$11))/$C$14^2,"")</f>
        <v>7.9971645083019851</v>
      </c>
      <c r="U238" s="43">
        <f>IFERROR((_xll.qlBachelierBlackFormula(IF(O238&lt;$C$4,"Put","Call"),O238+$C$14,$C$4,$C$12*SQRT($C$7))-
2*_xll.qlBachelierBlackFormula(IF(O238&lt;$C$4,"Put","Call"),O238,$C$4,$C$12*SQRT($C$7))+
_xll.qlBachelierBlackFormula(IF(O238&lt;$C$4,"Put","Call"),O238-$C$14,$C$4,$C$12*SQRT($C$7)))/$C$14^2,"")</f>
        <v>3.8121599586359198</v>
      </c>
      <c r="V238" s="61">
        <f>IFERROR(_xll.qlBachelierBlackFormulaImpliedVol(IF(O238&lt;$C$4,"Put","Call"),O238,$C$4,$C$7,P238),"")</f>
        <v>5.3171791986083433E-3</v>
      </c>
      <c r="W238" s="61">
        <f>IFERROR(_xll.qlBachelierBlackFormulaImpliedVol(IF(O238&lt;$C$4,"Put","Call"),O238,$C$4,$C$7,Q238),"")</f>
        <v>4.3034758611191397E-3</v>
      </c>
      <c r="X238" s="61">
        <f>IFERROR(_xll.qlBachelierBlackFormulaImpliedVol(IF(O238&lt;$C$4,"Put","Call"),O238,$C$4,$C$7,R238),"")</f>
        <v>3.1332853434939485E-3</v>
      </c>
      <c r="Y238" s="42"/>
    </row>
    <row r="239" spans="15:25">
      <c r="O239" s="37">
        <f t="shared" si="3"/>
        <v>1.3399999999999969E-2</v>
      </c>
      <c r="P239" s="38">
        <f>IFERROR(_xll.qlBlackFormula(IF(O239&lt;$C$4,"Put","Call"),O239,$C$4,$C$9*SQRT($C$7)),"")</f>
        <v>1.3226372971576012E-4</v>
      </c>
      <c r="Q239" s="39">
        <f>IFERROR(_xll.qlBlackFormula(IF(O239&lt;$C$4,"Put","Call"),O239,$C$4,$C$10*SQRT($C$7),,$C$11),"")</f>
        <v>4.2296972900294117E-5</v>
      </c>
      <c r="R239" s="40">
        <f>IFERROR(_xll.qlBachelierBlackFormula(IF(O239&lt;$C$4,"Put","Call"),O239,$C$4,$C$12*SQRT($C$7)),"")</f>
        <v>3.5352467857349064E-6</v>
      </c>
      <c r="S239" s="41">
        <f>IFERROR((_xll.qlBlackFormula(IF(O239&lt;$C$4,"Put","Call"),O239+$C$14,$C$4,$C$9*SQRT($C$7))-
2*_xll.qlBlackFormula(IF(O239&lt;$C$4,"Put","Call"),O239,$C$4,$C$9*SQRT($C$7))+
_xll.qlBlackFormula(IF(O239&lt;$C$4,"Put","Call"),O239-$C$14,$C$4,$C$9*SQRT($C$7)))/$C$14^2,"")</f>
        <v>8.1985846063503676</v>
      </c>
      <c r="T239" s="42">
        <f>IFERROR((_xll.qlBlackFormula(IF(O239&lt;$C$4,"Put","Call"),O239+$C$14,$C$4,$C$10*SQRT($C$7),,$C$11)-
2*_xll.qlBlackFormula(IF(O239&lt;$C$4,"Put","Call"),O239,$C$4,$C$10*SQRT($C$7),,$C$11)+
_xll.qlBlackFormula(IF(O239&lt;$C$4,"Put","Call"),O239-$C$14,$C$4,$C$10*SQRT($C$7),,$C$11))/$C$14^2,"")</f>
        <v>7.6713501002967366</v>
      </c>
      <c r="U239" s="43">
        <f>IFERROR((_xll.qlBachelierBlackFormula(IF(O239&lt;$C$4,"Put","Call"),O239+$C$14,$C$4,$C$12*SQRT($C$7))-
2*_xll.qlBachelierBlackFormula(IF(O239&lt;$C$4,"Put","Call"),O239,$C$4,$C$12*SQRT($C$7))+
_xll.qlBachelierBlackFormula(IF(O239&lt;$C$4,"Put","Call"),O239-$C$14,$C$4,$C$12*SQRT($C$7)))/$C$14^2,"")</f>
        <v>3.5013316776618364</v>
      </c>
      <c r="V239" s="61">
        <f>IFERROR(_xll.qlBachelierBlackFormulaImpliedVol(IF(O239&lt;$C$4,"Put","Call"),O239,$C$4,$C$7,P239),"")</f>
        <v>5.3403631423767778E-3</v>
      </c>
      <c r="W239" s="61">
        <f>IFERROR(_xll.qlBachelierBlackFormulaImpliedVol(IF(O239&lt;$C$4,"Put","Call"),O239,$C$4,$C$7,Q239),"")</f>
        <v>4.3164014679286083E-3</v>
      </c>
      <c r="X239" s="61">
        <f>IFERROR(_xll.qlBachelierBlackFormulaImpliedVol(IF(O239&lt;$C$4,"Put","Call"),O239,$C$4,$C$7,R239),"")</f>
        <v>3.1332853435375469E-3</v>
      </c>
      <c r="Y239" s="42"/>
    </row>
    <row r="240" spans="15:25">
      <c r="O240" s="37">
        <f t="shared" si="3"/>
        <v>1.3499999999999969E-2</v>
      </c>
      <c r="P240" s="38">
        <f>IFERROR(_xll.qlBlackFormula(IF(O240&lt;$C$4,"Put","Call"),O240,$C$4,$C$9*SQRT($C$7)),"")</f>
        <v>1.2919914683530214E-4</v>
      </c>
      <c r="Q240" s="39">
        <f>IFERROR(_xll.qlBlackFormula(IF(O240&lt;$C$4,"Put","Call"),O240,$C$4,$C$10*SQRT($C$7),,$C$11),"")</f>
        <v>4.0528047915174177E-5</v>
      </c>
      <c r="R240" s="40">
        <f>IFERROR(_xll.qlBachelierBlackFormula(IF(O240&lt;$C$4,"Put","Call"),O240,$C$4,$C$12*SQRT($C$7)),"")</f>
        <v>3.1851323230772094E-6</v>
      </c>
      <c r="S240" s="41">
        <f>IFERROR((_xll.qlBlackFormula(IF(O240&lt;$C$4,"Put","Call"),O240+$C$14,$C$4,$C$9*SQRT($C$7))-
2*_xll.qlBlackFormula(IF(O240&lt;$C$4,"Put","Call"),O240,$C$4,$C$9*SQRT($C$7))+
_xll.qlBlackFormula(IF(O240&lt;$C$4,"Put","Call"),O240-$C$14,$C$4,$C$9*SQRT($C$7)))/$C$14^2,"")</f>
        <v>7.9621051505412987</v>
      </c>
      <c r="T240" s="42">
        <f>IFERROR((_xll.qlBlackFormula(IF(O240&lt;$C$4,"Put","Call"),O240+$C$14,$C$4,$C$10*SQRT($C$7),,$C$11)-
2*_xll.qlBlackFormula(IF(O240&lt;$C$4,"Put","Call"),O240,$C$4,$C$10*SQRT($C$7),,$C$11)+
_xll.qlBlackFormula(IF(O240&lt;$C$4,"Put","Call"),O240-$C$14,$C$4,$C$10*SQRT($C$7),,$C$11))/$C$14^2,"")</f>
        <v>7.3582778325337328</v>
      </c>
      <c r="U240" s="43">
        <f>IFERROR((_xll.qlBachelierBlackFormula(IF(O240&lt;$C$4,"Put","Call"),O240+$C$14,$C$4,$C$12*SQRT($C$7))-
2*_xll.qlBachelierBlackFormula(IF(O240&lt;$C$4,"Put","Call"),O240,$C$4,$C$12*SQRT($C$7))+
_xll.qlBachelierBlackFormula(IF(O240&lt;$C$4,"Put","Call"),O240-$C$14,$C$4,$C$12*SQRT($C$7)))/$C$14^2,"")</f>
        <v>3.2125742157099699</v>
      </c>
      <c r="V240" s="61">
        <f>IFERROR(_xll.qlBachelierBlackFormulaImpliedVol(IF(O240&lt;$C$4,"Put","Call"),O240,$C$4,$C$7,P240),"")</f>
        <v>5.3634983892951122E-3</v>
      </c>
      <c r="W240" s="61">
        <f>IFERROR(_xll.qlBachelierBlackFormulaImpliedVol(IF(O240&lt;$C$4,"Put","Call"),O240,$C$4,$C$7,Q240),"")</f>
        <v>4.3293059652031269E-3</v>
      </c>
      <c r="X240" s="61">
        <f>IFERROR(_xll.qlBachelierBlackFormulaImpliedVol(IF(O240&lt;$C$4,"Put","Call"),O240,$C$4,$C$7,R240),"")</f>
        <v>3.1332853435759029E-3</v>
      </c>
      <c r="Y240" s="42"/>
    </row>
    <row r="241" spans="15:25">
      <c r="O241" s="37">
        <f t="shared" si="3"/>
        <v>1.3599999999999968E-2</v>
      </c>
      <c r="P241" s="38">
        <f>IFERROR(_xll.qlBlackFormula(IF(O241&lt;$C$4,"Put","Call"),O241,$C$4,$C$9*SQRT($C$7)),"")</f>
        <v>1.2621419120963318E-4</v>
      </c>
      <c r="Q241" s="39">
        <f>IFERROR(_xll.qlBlackFormula(IF(O241&lt;$C$4,"Put","Call"),O241,$C$4,$C$10*SQRT($C$7),,$C$11),"")</f>
        <v>3.8832715946659959E-5</v>
      </c>
      <c r="R241" s="40">
        <f>IFERROR(_xll.qlBachelierBlackFormula(IF(O241&lt;$C$4,"Put","Call"),O241,$C$4,$C$12*SQRT($C$7)),"")</f>
        <v>2.8671609395059253E-6</v>
      </c>
      <c r="S241" s="41">
        <f>IFERROR((_xll.qlBlackFormula(IF(O241&lt;$C$4,"Put","Call"),O241+$C$14,$C$4,$C$9*SQRT($C$7))-
2*_xll.qlBlackFormula(IF(O241&lt;$C$4,"Put","Call"),O241,$C$4,$C$9*SQRT($C$7))+
_xll.qlBlackFormula(IF(O241&lt;$C$4,"Put","Call"),O241-$C$14,$C$4,$C$9*SQRT($C$7)))/$C$14^2,"")</f>
        <v>7.7330753020694862</v>
      </c>
      <c r="T241" s="42">
        <f>IFERROR((_xll.qlBlackFormula(IF(O241&lt;$C$4,"Put","Call"),O241+$C$14,$C$4,$C$10*SQRT($C$7),,$C$11)-
2*_xll.qlBlackFormula(IF(O241&lt;$C$4,"Put","Call"),O241,$C$4,$C$10*SQRT($C$7),,$C$11)+
_xll.qlBlackFormula(IF(O241&lt;$C$4,"Put","Call"),O241-$C$14,$C$4,$C$10*SQRT($C$7),,$C$11))/$C$14^2,"")</f>
        <v>7.0574920690499869</v>
      </c>
      <c r="U241" s="43">
        <f>IFERROR((_xll.qlBachelierBlackFormula(IF(O241&lt;$C$4,"Put","Call"),O241+$C$14,$C$4,$C$12*SQRT($C$7))-
2*_xll.qlBachelierBlackFormula(IF(O241&lt;$C$4,"Put","Call"),O241,$C$4,$C$12*SQRT($C$7))+
_xll.qlBachelierBlackFormula(IF(O241&lt;$C$4,"Put","Call"),O241-$C$14,$C$4,$C$12*SQRT($C$7)))/$C$14^2,"")</f>
        <v>2.9446286819209253</v>
      </c>
      <c r="V241" s="61">
        <f>IFERROR(_xll.qlBachelierBlackFormulaImpliedVol(IF(O241&lt;$C$4,"Put","Call"),O241,$C$4,$C$7,P241),"")</f>
        <v>5.3865854618569643E-3</v>
      </c>
      <c r="W241" s="61">
        <f>IFERROR(_xll.qlBachelierBlackFormulaImpliedVol(IF(O241&lt;$C$4,"Put","Call"),O241,$C$4,$C$7,Q241),"")</f>
        <v>4.3421895204053783E-3</v>
      </c>
      <c r="X241" s="61">
        <f>IFERROR(_xll.qlBachelierBlackFormulaImpliedVol(IF(O241&lt;$C$4,"Put","Call"),O241,$C$4,$C$7,R241),"")</f>
        <v>3.1332853436070113E-3</v>
      </c>
      <c r="Y241" s="42"/>
    </row>
    <row r="242" spans="15:25">
      <c r="O242" s="37">
        <f t="shared" si="3"/>
        <v>1.3699999999999967E-2</v>
      </c>
      <c r="P242" s="38">
        <f>IFERROR(_xll.qlBlackFormula(IF(O242&lt;$C$4,"Put","Call"),O242,$C$4,$C$9*SQRT($C$7)),"")</f>
        <v>1.2330657234334102E-4</v>
      </c>
      <c r="Q242" s="39">
        <f>IFERROR(_xll.qlBlackFormula(IF(O242&lt;$C$4,"Put","Call"),O242,$C$4,$C$10*SQRT($C$7),,$C$11),"")</f>
        <v>3.7207968754973577E-5</v>
      </c>
      <c r="R242" s="40">
        <f>IFERROR(_xll.qlBachelierBlackFormula(IF(O242&lt;$C$4,"Put","Call"),O242,$C$4,$C$12*SQRT($C$7)),"")</f>
        <v>2.5786521763199486E-6</v>
      </c>
      <c r="S242" s="41">
        <f>IFERROR((_xll.qlBlackFormula(IF(O242&lt;$C$4,"Put","Call"),O242+$C$14,$C$4,$C$9*SQRT($C$7))-
2*_xll.qlBlackFormula(IF(O242&lt;$C$4,"Put","Call"),O242,$C$4,$C$9*SQRT($C$7))+
_xll.qlBlackFormula(IF(O242&lt;$C$4,"Put","Call"),O242-$C$14,$C$4,$C$9*SQRT($C$7)))/$C$14^2,"")</f>
        <v>7.5112446644431952</v>
      </c>
      <c r="T242" s="42">
        <f>IFERROR((_xll.qlBlackFormula(IF(O242&lt;$C$4,"Put","Call"),O242+$C$14,$C$4,$C$10*SQRT($C$7),,$C$11)-
2*_xll.qlBlackFormula(IF(O242&lt;$C$4,"Put","Call"),O242,$C$4,$C$10*SQRT($C$7),,$C$11)+
_xll.qlBlackFormula(IF(O242&lt;$C$4,"Put","Call"),O242-$C$14,$C$4,$C$10*SQRT($C$7),,$C$11))/$C$14^2,"")</f>
        <v>6.768543353834894</v>
      </c>
      <c r="U242" s="43">
        <f>IFERROR((_xll.qlBachelierBlackFormula(IF(O242&lt;$C$4,"Put","Call"),O242+$C$14,$C$4,$C$12*SQRT($C$7))-
2*_xll.qlBachelierBlackFormula(IF(O242&lt;$C$4,"Put","Call"),O242,$C$4,$C$12*SQRT($C$7))+
_xll.qlBachelierBlackFormula(IF(O242&lt;$C$4,"Put","Call"),O242-$C$14,$C$4,$C$12*SQRT($C$7)))/$C$14^2,"")</f>
        <v>2.6962840258561682</v>
      </c>
      <c r="V242" s="61">
        <f>IFERROR(_xll.qlBachelierBlackFormulaImpliedVol(IF(O242&lt;$C$4,"Put","Call"),O242,$C$4,$C$7,P242),"")</f>
        <v>5.4096248730277604E-3</v>
      </c>
      <c r="W242" s="61">
        <f>IFERROR(_xll.qlBachelierBlackFormulaImpliedVol(IF(O242&lt;$C$4,"Put","Call"),O242,$C$4,$C$7,Q242),"")</f>
        <v>4.3550522987475361E-3</v>
      </c>
      <c r="X242" s="61">
        <f>IFERROR(_xll.qlBachelierBlackFormulaImpliedVol(IF(O242&lt;$C$4,"Put","Call"),O242,$C$4,$C$7,R242),"")</f>
        <v>3.1332853436287266E-3</v>
      </c>
      <c r="Y242" s="42"/>
    </row>
    <row r="243" spans="15:25">
      <c r="O243" s="37">
        <f t="shared" si="3"/>
        <v>1.3799999999999967E-2</v>
      </c>
      <c r="P243" s="38">
        <f>IFERROR(_xll.qlBlackFormula(IF(O243&lt;$C$4,"Put","Call"),O243,$C$4,$C$9*SQRT($C$7)),"")</f>
        <v>1.2047407172571426E-4</v>
      </c>
      <c r="Q243" s="39">
        <f>IFERROR(_xll.qlBlackFormula(IF(O243&lt;$C$4,"Put","Call"),O243,$C$4,$C$10*SQRT($C$7),,$C$11),"")</f>
        <v>3.5650916500259392E-5</v>
      </c>
      <c r="R243" s="40">
        <f>IFERROR(_xll.qlBachelierBlackFormula(IF(O243&lt;$C$4,"Put","Call"),O243,$C$4,$C$12*SQRT($C$7)),"")</f>
        <v>2.3171216131165278E-6</v>
      </c>
      <c r="S243" s="41">
        <f>IFERROR((_xll.qlBlackFormula(IF(O243&lt;$C$4,"Put","Call"),O243+$C$14,$C$4,$C$9*SQRT($C$7))-
2*_xll.qlBlackFormula(IF(O243&lt;$C$4,"Put","Call"),O243,$C$4,$C$9*SQRT($C$7))+
_xll.qlBlackFormula(IF(O243&lt;$C$4,"Put","Call"),O243-$C$14,$C$4,$C$9*SQRT($C$7)))/$C$14^2,"")</f>
        <v>7.2963689669129641</v>
      </c>
      <c r="T243" s="42">
        <f>IFERROR((_xll.qlBlackFormula(IF(O243&lt;$C$4,"Put","Call"),O243+$C$14,$C$4,$C$10*SQRT($C$7),,$C$11)-
2*_xll.qlBlackFormula(IF(O243&lt;$C$4,"Put","Call"),O243,$C$4,$C$10*SQRT($C$7),,$C$11)+
_xll.qlBlackFormula(IF(O243&lt;$C$4,"Put","Call"),O243-$C$14,$C$4,$C$10*SQRT($C$7),,$C$11))/$C$14^2,"")</f>
        <v>6.4910039149213006</v>
      </c>
      <c r="U243" s="43">
        <f>IFERROR((_xll.qlBachelierBlackFormula(IF(O243&lt;$C$4,"Put","Call"),O243+$C$14,$C$4,$C$12*SQRT($C$7))-
2*_xll.qlBachelierBlackFormula(IF(O243&lt;$C$4,"Put","Call"),O243,$C$4,$C$12*SQRT($C$7))+
_xll.qlBachelierBlackFormula(IF(O243&lt;$C$4,"Put","Call"),O243-$C$14,$C$4,$C$12*SQRT($C$7)))/$C$14^2,"")</f>
        <v>2.4663705593900436</v>
      </c>
      <c r="V243" s="61">
        <f>IFERROR(_xll.qlBachelierBlackFormulaImpliedVol(IF(O243&lt;$C$4,"Put","Call"),O243,$C$4,$C$7,P243),"")</f>
        <v>5.4326171264880221E-3</v>
      </c>
      <c r="W243" s="61">
        <f>IFERROR(_xll.qlBachelierBlackFormulaImpliedVol(IF(O243&lt;$C$4,"Put","Call"),O243,$C$4,$C$7,Q243),"")</f>
        <v>4.3678944632334626E-3</v>
      </c>
      <c r="X243" s="61">
        <f>IFERROR(_xll.qlBachelierBlackFormulaImpliedVol(IF(O243&lt;$C$4,"Put","Call"),O243,$C$4,$C$7,R243),"")</f>
        <v>3.1332853436390282E-3</v>
      </c>
      <c r="Y243" s="42"/>
    </row>
    <row r="244" spans="15:25">
      <c r="O244" s="37">
        <f t="shared" si="3"/>
        <v>1.3899999999999966E-2</v>
      </c>
      <c r="P244" s="38">
        <f>IFERROR(_xll.qlBlackFormula(IF(O244&lt;$C$4,"Put","Call"),O244,$C$4,$C$9*SQRT($C$7)),"")</f>
        <v>1.1771454039467827E-4</v>
      </c>
      <c r="Q244" s="39">
        <f>IFERROR(_xll.qlBlackFormula(IF(O244&lt;$C$4,"Put","Call"),O244,$C$4,$C$10*SQRT($C$7),,$C$11),"")</f>
        <v>3.4158783424345586E-5</v>
      </c>
      <c r="R244" s="40">
        <f>IFERROR(_xll.qlBachelierBlackFormula(IF(O244&lt;$C$4,"Put","Call"),O244,$C$4,$C$12*SQRT($C$7)),"")</f>
        <v>2.080269181497615E-6</v>
      </c>
      <c r="S244" s="41">
        <f>IFERROR((_xll.qlBlackFormula(IF(O244&lt;$C$4,"Put","Call"),O244+$C$14,$C$4,$C$9*SQRT($C$7))-
2*_xll.qlBlackFormula(IF(O244&lt;$C$4,"Put","Call"),O244,$C$4,$C$9*SQRT($C$7))+
_xll.qlBlackFormula(IF(O244&lt;$C$4,"Put","Call"),O244-$C$14,$C$4,$C$9*SQRT($C$7)))/$C$14^2,"")</f>
        <v>7.0882109318333439</v>
      </c>
      <c r="T244" s="42">
        <f>IFERROR((_xll.qlBlackFormula(IF(O244&lt;$C$4,"Put","Call"),O244+$C$14,$C$4,$C$10*SQRT($C$7),,$C$11)-
2*_xll.qlBlackFormula(IF(O244&lt;$C$4,"Put","Call"),O244,$C$4,$C$10*SQRT($C$7),,$C$11)+
_xll.qlBlackFormula(IF(O244&lt;$C$4,"Put","Call"),O244-$C$14,$C$4,$C$10*SQRT($C$7),,$C$11))/$C$14^2,"")</f>
        <v>6.2244505882012859</v>
      </c>
      <c r="U244" s="43">
        <f>IFERROR((_xll.qlBachelierBlackFormula(IF(O244&lt;$C$4,"Put","Call"),O244+$C$14,$C$4,$C$12*SQRT($C$7))-
2*_xll.qlBachelierBlackFormula(IF(O244&lt;$C$4,"Put","Call"),O244,$C$4,$C$12*SQRT($C$7))+
_xll.qlBachelierBlackFormula(IF(O244&lt;$C$4,"Put","Call"),O244-$C$14,$C$4,$C$12*SQRT($C$7)))/$C$14^2,"")</f>
        <v>2.2537656589355795</v>
      </c>
      <c r="V244" s="61">
        <f>IFERROR(_xll.qlBachelierBlackFormulaImpliedVol(IF(O244&lt;$C$4,"Put","Call"),O244,$C$4,$C$7,P244),"")</f>
        <v>5.4555627168686414E-3</v>
      </c>
      <c r="W244" s="61">
        <f>IFERROR(_xll.qlBachelierBlackFormulaImpliedVol(IF(O244&lt;$C$4,"Put","Call"),O244,$C$4,$C$7,Q244),"")</f>
        <v>4.3807161747002107E-3</v>
      </c>
      <c r="X244" s="61">
        <f>IFERROR(_xll.qlBachelierBlackFormulaImpliedVol(IF(O244&lt;$C$4,"Put","Call"),O244,$C$4,$C$7,R244),"")</f>
        <v>3.1332853436366083E-3</v>
      </c>
      <c r="Y244" s="42"/>
    </row>
    <row r="245" spans="15:25">
      <c r="O245" s="37">
        <f t="shared" si="3"/>
        <v>1.3999999999999966E-2</v>
      </c>
      <c r="P245" s="38">
        <f>IFERROR(_xll.qlBlackFormula(IF(O245&lt;$C$4,"Put","Call"),O245,$C$4,$C$9*SQRT($C$7)),"")</f>
        <v>1.1502589658794396E-4</v>
      </c>
      <c r="Q245" s="39">
        <f>IFERROR(_xll.qlBlackFormula(IF(O245&lt;$C$4,"Put","Call"),O245,$C$4,$C$10*SQRT($C$7),,$C$11),"")</f>
        <v>3.2728903665403292E-5</v>
      </c>
      <c r="R245" s="40">
        <f>IFERROR(_xll.qlBachelierBlackFormula(IF(O245&lt;$C$4,"Put","Call"),O245,$C$4,$C$12*SQRT($C$7)),"")</f>
        <v>1.8659679307282916E-6</v>
      </c>
      <c r="S245" s="41">
        <f>IFERROR((_xll.qlBlackFormula(IF(O245&lt;$C$4,"Put","Call"),O245+$C$14,$C$4,$C$9*SQRT($C$7))-
2*_xll.qlBlackFormula(IF(O245&lt;$C$4,"Put","Call"),O245,$C$4,$C$9*SQRT($C$7))+
_xll.qlBlackFormula(IF(O245&lt;$C$4,"Put","Call"),O245-$C$14,$C$4,$C$9*SQRT($C$7)))/$C$14^2,"")</f>
        <v>6.8865474846073473</v>
      </c>
      <c r="T245" s="42">
        <f>IFERROR((_xll.qlBlackFormula(IF(O245&lt;$C$4,"Put","Call"),O245+$C$14,$C$4,$C$10*SQRT($C$7),,$C$11)-
2*_xll.qlBlackFormula(IF(O245&lt;$C$4,"Put","Call"),O245,$C$4,$C$10*SQRT($C$7),,$C$11)+
_xll.qlBlackFormula(IF(O245&lt;$C$4,"Put","Call"),O245-$C$14,$C$4,$C$10*SQRT($C$7),,$C$11))/$C$14^2,"")</f>
        <v>5.9684788578442953</v>
      </c>
      <c r="U245" s="43">
        <f>IFERROR((_xll.qlBachelierBlackFormula(IF(O245&lt;$C$4,"Put","Call"),O245+$C$14,$C$4,$C$12*SQRT($C$7))-
2*_xll.qlBachelierBlackFormula(IF(O245&lt;$C$4,"Put","Call"),O245,$C$4,$C$12*SQRT($C$7))+
_xll.qlBachelierBlackFormula(IF(O245&lt;$C$4,"Put","Call"),O245-$C$14,$C$4,$C$12*SQRT($C$7)))/$C$14^2,"")</f>
        <v>2.0573904078058805</v>
      </c>
      <c r="V245" s="61">
        <f>IFERROR(_xll.qlBachelierBlackFormulaImpliedVol(IF(O245&lt;$C$4,"Put","Call"),O245,$C$4,$C$7,P245),"")</f>
        <v>5.4784621299786016E-3</v>
      </c>
      <c r="W245" s="61">
        <f>IFERROR(_xll.qlBachelierBlackFormulaImpliedVol(IF(O245&lt;$C$4,"Put","Call"),O245,$C$4,$C$7,Q245),"")</f>
        <v>4.393517591858135E-3</v>
      </c>
      <c r="X245" s="61">
        <f>IFERROR(_xll.qlBachelierBlackFormulaImpliedVol(IF(O245&lt;$C$4,"Put","Call"),O245,$C$4,$C$7,R245),"")</f>
        <v>3.1332853436202984E-3</v>
      </c>
      <c r="Y245" s="42"/>
    </row>
    <row r="246" spans="15:25">
      <c r="O246" s="37">
        <f t="shared" si="3"/>
        <v>1.4099999999999965E-2</v>
      </c>
      <c r="P246" s="38">
        <f>IFERROR(_xll.qlBlackFormula(IF(O246&lt;$C$4,"Put","Call"),O246,$C$4,$C$9*SQRT($C$7)),"")</f>
        <v>1.1240612347815224E-4</v>
      </c>
      <c r="Q246" s="39">
        <f>IFERROR(_xll.qlBlackFormula(IF(O246&lt;$C$4,"Put","Call"),O246,$C$4,$C$10*SQRT($C$7),,$C$11),"")</f>
        <v>3.1358717203254082E-5</v>
      </c>
      <c r="R246" s="40">
        <f>IFERROR(_xll.qlBachelierBlackFormula(IF(O246&lt;$C$4,"Put","Call"),O246,$C$4,$C$12*SQRT($C$7)),"")</f>
        <v>1.6722532505778947E-6</v>
      </c>
      <c r="S246" s="41">
        <f>IFERROR((_xll.qlBlackFormula(IF(O246&lt;$C$4,"Put","Call"),O246+$C$14,$C$4,$C$9*SQRT($C$7))-
2*_xll.qlBlackFormula(IF(O246&lt;$C$4,"Put","Call"),O246,$C$4,$C$9*SQRT($C$7))+
_xll.qlBlackFormula(IF(O246&lt;$C$4,"Put","Call"),O246-$C$14,$C$4,$C$9*SQRT($C$7)))/$C$14^2,"")</f>
        <v>6.6911566890502652</v>
      </c>
      <c r="T246" s="42">
        <f>IFERROR((_xll.qlBlackFormula(IF(O246&lt;$C$4,"Put","Call"),O246+$C$14,$C$4,$C$10*SQRT($C$7),,$C$11)-
2*_xll.qlBlackFormula(IF(O246&lt;$C$4,"Put","Call"),O246,$C$4,$C$10*SQRT($C$7),,$C$11)+
_xll.qlBlackFormula(IF(O246&lt;$C$4,"Put","Call"),O246-$C$14,$C$4,$C$10*SQRT($C$7),,$C$11))/$C$14^2,"")</f>
        <v>5.7227013384140992</v>
      </c>
      <c r="U246" s="43">
        <f>IFERROR((_xll.qlBachelierBlackFormula(IF(O246&lt;$C$4,"Put","Call"),O246+$C$14,$C$4,$C$12*SQRT($C$7))-
2*_xll.qlBachelierBlackFormula(IF(O246&lt;$C$4,"Put","Call"),O246,$C$4,$C$12*SQRT($C$7))+
_xll.qlBachelierBlackFormula(IF(O246&lt;$C$4,"Put","Call"),O246-$C$14,$C$4,$C$12*SQRT($C$7)))/$C$14^2,"")</f>
        <v>1.8762137771687581</v>
      </c>
      <c r="V246" s="61">
        <f>IFERROR(_xll.qlBachelierBlackFormulaImpliedVol(IF(O246&lt;$C$4,"Put","Call"),O246,$C$4,$C$7,P246),"")</f>
        <v>5.5013158430252994E-3</v>
      </c>
      <c r="W246" s="61">
        <f>IFERROR(_xll.qlBachelierBlackFormulaImpliedVol(IF(O246&lt;$C$4,"Put","Call"),O246,$C$4,$C$7,Q246),"")</f>
        <v>4.4062988713303667E-3</v>
      </c>
      <c r="X246" s="61">
        <f>IFERROR(_xll.qlBachelierBlackFormulaImpliedVol(IF(O246&lt;$C$4,"Put","Call"),O246,$C$4,$C$7,R246),"")</f>
        <v>3.1332853435892664E-3</v>
      </c>
      <c r="Y246" s="42"/>
    </row>
    <row r="247" spans="15:25">
      <c r="O247" s="37">
        <f t="shared" si="3"/>
        <v>1.4199999999999964E-2</v>
      </c>
      <c r="P247" s="38">
        <f>IFERROR(_xll.qlBlackFormula(IF(O247&lt;$C$4,"Put","Call"),O247,$C$4,$C$9*SQRT($C$7)),"")</f>
        <v>1.0985326698890059E-4</v>
      </c>
      <c r="Q247" s="39">
        <f>IFERROR(_xll.qlBlackFormula(IF(O247&lt;$C$4,"Put","Call"),O247,$C$4,$C$10*SQRT($C$7),,$C$11),"")</f>
        <v>3.0045765932911416E-5</v>
      </c>
      <c r="R247" s="40">
        <f>IFERROR(_xll.qlBachelierBlackFormula(IF(O247&lt;$C$4,"Put","Call"),O247,$C$4,$C$12*SQRT($C$7)),"")</f>
        <v>1.4973125539038157E-6</v>
      </c>
      <c r="S247" s="41">
        <f>IFERROR((_xll.qlBlackFormula(IF(O247&lt;$C$4,"Put","Call"),O247+$C$14,$C$4,$C$9*SQRT($C$7))-
2*_xll.qlBlackFormula(IF(O247&lt;$C$4,"Put","Call"),O247,$C$4,$C$9*SQRT($C$7))+
_xll.qlBlackFormula(IF(O247&lt;$C$4,"Put","Call"),O247-$C$14,$C$4,$C$9*SQRT($C$7)))/$C$14^2,"")</f>
        <v>6.5018303783449802</v>
      </c>
      <c r="T247" s="42">
        <f>IFERROR((_xll.qlBlackFormula(IF(O247&lt;$C$4,"Put","Call"),O247+$C$14,$C$4,$C$10*SQRT($C$7),,$C$11)-
2*_xll.qlBlackFormula(IF(O247&lt;$C$4,"Put","Call"),O247,$C$4,$C$10*SQRT($C$7),,$C$11)+
_xll.qlBlackFormula(IF(O247&lt;$C$4,"Put","Call"),O247-$C$14,$C$4,$C$10*SQRT($C$7),,$C$11))/$C$14^2,"")</f>
        <v>5.4867322707777282</v>
      </c>
      <c r="U247" s="43">
        <f>IFERROR((_xll.qlBachelierBlackFormula(IF(O247&lt;$C$4,"Put","Call"),O247+$C$14,$C$4,$C$12*SQRT($C$7))-
2*_xll.qlBachelierBlackFormula(IF(O247&lt;$C$4,"Put","Call"),O247,$C$4,$C$12*SQRT($C$7))+
_xll.qlBachelierBlackFormula(IF(O247&lt;$C$4,"Put","Call"),O247-$C$14,$C$4,$C$12*SQRT($C$7)))/$C$14^2,"")</f>
        <v>1.7092499528107483</v>
      </c>
      <c r="V247" s="61">
        <f>IFERROR(_xll.qlBachelierBlackFormulaImpliedVol(IF(O247&lt;$C$4,"Put","Call"),O247,$C$4,$C$7,P247),"")</f>
        <v>5.5241243248278626E-3</v>
      </c>
      <c r="W247" s="61">
        <f>IFERROR(_xll.qlBachelierBlackFormulaImpliedVol(IF(O247&lt;$C$4,"Put","Call"),O247,$C$4,$C$7,Q247),"")</f>
        <v>4.4190601676913077E-3</v>
      </c>
      <c r="X247" s="61">
        <f>IFERROR(_xll.qlBachelierBlackFormulaImpliedVol(IF(O247&lt;$C$4,"Put","Call"),O247,$C$4,$C$7,R247),"")</f>
        <v>3.1332853435433934E-3</v>
      </c>
      <c r="Y247" s="42"/>
    </row>
    <row r="248" spans="15:25">
      <c r="O248" s="37">
        <f t="shared" si="3"/>
        <v>1.4299999999999964E-2</v>
      </c>
      <c r="P248" s="38">
        <f>IFERROR(_xll.qlBlackFormula(IF(O248&lt;$C$4,"Put","Call"),O248,$C$4,$C$9*SQRT($C$7)),"")</f>
        <v>1.0736543368867351E-4</v>
      </c>
      <c r="Q248" s="39">
        <f>IFERROR(_xll.qlBlackFormula(IF(O248&lt;$C$4,"Put","Call"),O248,$C$4,$C$10*SQRT($C$7),,$C$11),"")</f>
        <v>2.8787689863851165E-5</v>
      </c>
      <c r="R248" s="40">
        <f>IFERROR(_xll.qlBachelierBlackFormula(IF(O248&lt;$C$4,"Put","Call"),O248,$C$4,$C$12*SQRT($C$7)),"")</f>
        <v>1.3394754190818847E-6</v>
      </c>
      <c r="S248" s="41">
        <f>IFERROR((_xll.qlBlackFormula(IF(O248&lt;$C$4,"Put","Call"),O248+$C$14,$C$4,$C$9*SQRT($C$7))-
2*_xll.qlBlackFormula(IF(O248&lt;$C$4,"Put","Call"),O248,$C$4,$C$9*SQRT($C$7))+
_xll.qlBlackFormula(IF(O248&lt;$C$4,"Put","Call"),O248-$C$14,$C$4,$C$9*SQRT($C$7)))/$C$14^2,"")</f>
        <v>6.3183653730043696</v>
      </c>
      <c r="T248" s="42">
        <f>IFERROR((_xll.qlBlackFormula(IF(O248&lt;$C$4,"Put","Call"),O248+$C$14,$C$4,$C$10*SQRT($C$7),,$C$11)-
2*_xll.qlBlackFormula(IF(O248&lt;$C$4,"Put","Call"),O248,$C$4,$C$10*SQRT($C$7),,$C$11)+
_xll.qlBlackFormula(IF(O248&lt;$C$4,"Put","Call"),O248-$C$14,$C$4,$C$10*SQRT($C$7),,$C$11))/$C$14^2,"")</f>
        <v>5.2602067395889769</v>
      </c>
      <c r="U248" s="43">
        <f>IFERROR((_xll.qlBachelierBlackFormula(IF(O248&lt;$C$4,"Put","Call"),O248+$C$14,$C$4,$C$12*SQRT($C$7))-
2*_xll.qlBachelierBlackFormula(IF(O248&lt;$C$4,"Put","Call"),O248,$C$4,$C$12*SQRT($C$7))+
_xll.qlBachelierBlackFormula(IF(O248&lt;$C$4,"Put","Call"),O248-$C$14,$C$4,$C$12*SQRT($C$7)))/$C$14^2,"")</f>
        <v>1.5555587755942437</v>
      </c>
      <c r="V248" s="61">
        <f>IFERROR(_xll.qlBachelierBlackFormulaImpliedVol(IF(O248&lt;$C$4,"Put","Call"),O248,$C$4,$C$7,P248),"")</f>
        <v>5.5468880360236552E-3</v>
      </c>
      <c r="W248" s="61">
        <f>IFERROR(_xll.qlBachelierBlackFormulaImpliedVol(IF(O248&lt;$C$4,"Put","Call"),O248,$C$4,$C$7,Q248),"")</f>
        <v>4.4318016335040617E-3</v>
      </c>
      <c r="X248" s="61">
        <f>IFERROR(_xll.qlBachelierBlackFormulaImpliedVol(IF(O248&lt;$C$4,"Put","Call"),O248,$C$4,$C$7,R248),"")</f>
        <v>3.1332853434827652E-3</v>
      </c>
      <c r="Y248" s="42"/>
    </row>
    <row r="249" spans="15:25">
      <c r="O249" s="37">
        <f t="shared" si="3"/>
        <v>1.4399999999999963E-2</v>
      </c>
      <c r="P249" s="38">
        <f>IFERROR(_xll.qlBlackFormula(IF(O249&lt;$C$4,"Put","Call"),O249,$C$4,$C$9*SQRT($C$7)),"")</f>
        <v>1.049407887597875E-4</v>
      </c>
      <c r="Q249" s="39">
        <f>IFERROR(_xll.qlBlackFormula(IF(O249&lt;$C$4,"Put","Call"),O249,$C$4,$C$10*SQRT($C$7),,$C$11),"")</f>
        <v>2.7582223442464734E-5</v>
      </c>
      <c r="R249" s="40">
        <f>IFERROR(_xll.qlBachelierBlackFormula(IF(O249&lt;$C$4,"Put","Call"),O249,$C$4,$C$12*SQRT($C$7)),"")</f>
        <v>1.1972041901381717E-6</v>
      </c>
      <c r="S249" s="41">
        <f>IFERROR((_xll.qlBlackFormula(IF(O249&lt;$C$4,"Put","Call"),O249+$C$14,$C$4,$C$9*SQRT($C$7))-
2*_xll.qlBlackFormula(IF(O249&lt;$C$4,"Put","Call"),O249,$C$4,$C$9*SQRT($C$7))+
_xll.qlBlackFormula(IF(O249&lt;$C$4,"Put","Call"),O249-$C$14,$C$4,$C$9*SQRT($C$7)))/$C$14^2,"")</f>
        <v>6.1405647277038016</v>
      </c>
      <c r="T249" s="42">
        <f>IFERROR((_xll.qlBlackFormula(IF(O249&lt;$C$4,"Put","Call"),O249+$C$14,$C$4,$C$10*SQRT($C$7),,$C$11)-
2*_xll.qlBlackFormula(IF(O249&lt;$C$4,"Put","Call"),O249,$C$4,$C$10*SQRT($C$7),,$C$11)+
_xll.qlBlackFormula(IF(O249&lt;$C$4,"Put","Call"),O249-$C$14,$C$4,$C$10*SQRT($C$7),,$C$11))/$C$14^2,"")</f>
        <v>5.0427689639049449</v>
      </c>
      <c r="U249" s="43">
        <f>IFERROR((_xll.qlBachelierBlackFormula(IF(O249&lt;$C$4,"Put","Call"),O249+$C$14,$C$4,$C$12*SQRT($C$7))-
2*_xll.qlBachelierBlackFormula(IF(O249&lt;$C$4,"Put","Call"),O249,$C$4,$C$12*SQRT($C$7))+
_xll.qlBachelierBlackFormula(IF(O249&lt;$C$4,"Put","Call"),O249-$C$14,$C$4,$C$12*SQRT($C$7)))/$C$14^2,"")</f>
        <v>1.4142464156957202</v>
      </c>
      <c r="V249" s="61">
        <f>IFERROR(_xll.qlBachelierBlackFormulaImpliedVol(IF(O249&lt;$C$4,"Put","Call"),O249,$C$4,$C$7,P249),"")</f>
        <v>5.5696074292683438E-3</v>
      </c>
      <c r="W249" s="61">
        <f>IFERROR(_xll.qlBachelierBlackFormulaImpliedVol(IF(O249&lt;$C$4,"Put","Call"),O249,$C$4,$C$7,Q249),"")</f>
        <v>4.4445234193570106E-3</v>
      </c>
      <c r="X249" s="61">
        <f>IFERROR(_xll.qlBachelierBlackFormulaImpliedVol(IF(O249&lt;$C$4,"Put","Call"),O249,$C$4,$C$7,R249),"")</f>
        <v>3.1332853434084297E-3</v>
      </c>
      <c r="Y249" s="42"/>
    </row>
    <row r="250" spans="15:25">
      <c r="O250" s="37">
        <f t="shared" si="3"/>
        <v>1.4499999999999963E-2</v>
      </c>
      <c r="P250" s="38">
        <f>IFERROR(_xll.qlBlackFormula(IF(O250&lt;$C$4,"Put","Call"),O250,$C$4,$C$9*SQRT($C$7)),"")</f>
        <v>1.0257755403958062E-4</v>
      </c>
      <c r="Q250" s="39">
        <f>IFERROR(_xll.qlBlackFormula(IF(O250&lt;$C$4,"Put","Call"),O250,$C$4,$C$10*SQRT($C$7),,$C$11),"")</f>
        <v>2.6427191995043056E-5</v>
      </c>
      <c r="R250" s="40">
        <f>IFERROR(_xll.qlBachelierBlackFormula(IF(O250&lt;$C$4,"Put","Call"),O250,$C$4,$C$12*SQRT($C$7)),"")</f>
        <v>1.0690850304113207E-6</v>
      </c>
      <c r="S250" s="41">
        <f>IFERROR((_xll.qlBlackFormula(IF(O250&lt;$C$4,"Put","Call"),O250+$C$14,$C$4,$C$9*SQRT($C$7))-
2*_xll.qlBlackFormula(IF(O250&lt;$C$4,"Put","Call"),O250,$C$4,$C$9*SQRT($C$7))+
_xll.qlBlackFormula(IF(O250&lt;$C$4,"Put","Call"),O250-$C$14,$C$4,$C$9*SQRT($C$7)))/$C$14^2,"")</f>
        <v>5.9682398996854795</v>
      </c>
      <c r="T250" s="42">
        <f>IFERROR((_xll.qlBlackFormula(IF(O250&lt;$C$4,"Put","Call"),O250+$C$14,$C$4,$C$10*SQRT($C$7),,$C$11)-
2*_xll.qlBlackFormula(IF(O250&lt;$C$4,"Put","Call"),O250,$C$4,$C$10*SQRT($C$7),,$C$11)+
_xll.qlBlackFormula(IF(O250&lt;$C$4,"Put","Call"),O250-$C$14,$C$4,$C$10*SQRT($C$7),,$C$11))/$C$14^2,"")</f>
        <v>4.8340741132246734</v>
      </c>
      <c r="U250" s="43">
        <f>IFERROR((_xll.qlBachelierBlackFormula(IF(O250&lt;$C$4,"Put","Call"),O250+$C$14,$C$4,$C$12*SQRT($C$7))-
2*_xll.qlBachelierBlackFormula(IF(O250&lt;$C$4,"Put","Call"),O250,$C$4,$C$12*SQRT($C$7))+
_xll.qlBachelierBlackFormula(IF(O250&lt;$C$4,"Put","Call"),O250-$C$14,$C$4,$C$12*SQRT($C$7)))/$C$14^2,"")</f>
        <v>1.2844614576194542</v>
      </c>
      <c r="V250" s="61">
        <f>IFERROR(_xll.qlBachelierBlackFormulaImpliedVol(IF(O250&lt;$C$4,"Put","Call"),O250,$C$4,$C$7,P250),"")</f>
        <v>5.592282949429578E-3</v>
      </c>
      <c r="W250" s="61">
        <f>IFERROR(_xll.qlBachelierBlackFormulaImpliedVol(IF(O250&lt;$C$4,"Put","Call"),O250,$C$4,$C$7,Q250),"")</f>
        <v>4.4572256738998218E-3</v>
      </c>
      <c r="X250" s="61">
        <f>IFERROR(_xll.qlBachelierBlackFormulaImpliedVol(IF(O250&lt;$C$4,"Put","Call"),O250,$C$4,$C$7,R250),"")</f>
        <v>3.133285343321445E-3</v>
      </c>
      <c r="Y250" s="42"/>
    </row>
    <row r="251" spans="15:25">
      <c r="O251" s="37">
        <f t="shared" si="3"/>
        <v>1.4599999999999962E-2</v>
      </c>
      <c r="P251" s="38">
        <f>IFERROR(_xll.qlBlackFormula(IF(O251&lt;$C$4,"Put","Call"),O251,$C$4,$C$9*SQRT($C$7)),"")</f>
        <v>1.0027400613117588E-4</v>
      </c>
      <c r="Q251" s="39">
        <f>IFERROR(_xll.qlBlackFormula(IF(O251&lt;$C$4,"Put","Call"),O251,$C$4,$C$10*SQRT($C$7),,$C$11),"")</f>
        <v>2.5320508288601755E-5</v>
      </c>
      <c r="R251" s="40">
        <f>IFERROR(_xll.qlBachelierBlackFormula(IF(O251&lt;$C$4,"Put","Call"),O251,$C$4,$C$12*SQRT($C$7)),"")</f>
        <v>9.538194237307471E-7</v>
      </c>
      <c r="S251" s="41">
        <f>IFERROR((_xll.qlBlackFormula(IF(O251&lt;$C$4,"Put","Call"),O251+$C$14,$C$4,$C$9*SQRT($C$7))-
2*_xll.qlBlackFormula(IF(O251&lt;$C$4,"Put","Call"),O251,$C$4,$C$9*SQRT($C$7))+
_xll.qlBlackFormula(IF(O251&lt;$C$4,"Put","Call"),O251-$C$14,$C$4,$C$9*SQRT($C$7)))/$C$14^2,"")</f>
        <v>5.8012100982371422</v>
      </c>
      <c r="T251" s="42">
        <f>IFERROR((_xll.qlBlackFormula(IF(O251&lt;$C$4,"Put","Call"),O251+$C$14,$C$4,$C$10*SQRT($C$7),,$C$11)-
2*_xll.qlBlackFormula(IF(O251&lt;$C$4,"Put","Call"),O251,$C$4,$C$10*SQRT($C$7),,$C$11)+
_xll.qlBlackFormula(IF(O251&lt;$C$4,"Put","Call"),O251-$C$14,$C$4,$C$10*SQRT($C$7),,$C$11))/$C$14^2,"")</f>
        <v>4.6337874401274073</v>
      </c>
      <c r="U251" s="43">
        <f>IFERROR((_xll.qlBachelierBlackFormula(IF(O251&lt;$C$4,"Put","Call"),O251+$C$14,$C$4,$C$12*SQRT($C$7))-
2*_xll.qlBachelierBlackFormula(IF(O251&lt;$C$4,"Put","Call"),O251,$C$4,$C$12*SQRT($C$7))+
_xll.qlBachelierBlackFormula(IF(O251&lt;$C$4,"Put","Call"),O251-$C$14,$C$4,$C$12*SQRT($C$7)))/$C$14^2,"")</f>
        <v>1.1653998587283967</v>
      </c>
      <c r="V251" s="61">
        <f>IFERROR(_xll.qlBachelierBlackFormulaImpliedVol(IF(O251&lt;$C$4,"Put","Call"),O251,$C$4,$C$7,P251),"")</f>
        <v>5.6149150337748335E-3</v>
      </c>
      <c r="W251" s="61">
        <f>IFERROR(_xll.qlBachelierBlackFormulaImpliedVol(IF(O251&lt;$C$4,"Put","Call"),O251,$C$4,$C$7,Q251),"")</f>
        <v>4.4699085438782591E-3</v>
      </c>
      <c r="X251" s="61">
        <f>IFERROR(_xll.qlBachelierBlackFormulaImpliedVol(IF(O251&lt;$C$4,"Put","Call"),O251,$C$4,$C$7,R251),"")</f>
        <v>3.133285343224343E-3</v>
      </c>
      <c r="Y251" s="42"/>
    </row>
    <row r="252" spans="15:25">
      <c r="O252" s="37">
        <f t="shared" si="3"/>
        <v>1.4699999999999961E-2</v>
      </c>
      <c r="P252" s="38">
        <f>IFERROR(_xll.qlBlackFormula(IF(O252&lt;$C$4,"Put","Call"),O252,$C$4,$C$9*SQRT($C$7)),"")</f>
        <v>9.8028474581246105E-5</v>
      </c>
      <c r="Q252" s="39">
        <f>IFERROR(_xll.qlBlackFormula(IF(O252&lt;$C$4,"Put","Call"),O252,$C$4,$C$10*SQRT($C$7),,$C$11),"")</f>
        <v>2.42601692068234E-5</v>
      </c>
      <c r="R252" s="40">
        <f>IFERROR(_xll.qlBachelierBlackFormula(IF(O252&lt;$C$4,"Put","Call"),O252,$C$4,$C$12*SQRT($C$7)),"")</f>
        <v>8.5021611548715325E-7</v>
      </c>
      <c r="S252" s="41">
        <f>IFERROR((_xll.qlBlackFormula(IF(O252&lt;$C$4,"Put","Call"),O252+$C$14,$C$4,$C$9*SQRT($C$7))-
2*_xll.qlBlackFormula(IF(O252&lt;$C$4,"Put","Call"),O252,$C$4,$C$9*SQRT($C$7))+
_xll.qlBlackFormula(IF(O252&lt;$C$4,"Put","Call"),O252-$C$14,$C$4,$C$9*SQRT($C$7)))/$C$14^2,"")</f>
        <v>5.6392964842104378</v>
      </c>
      <c r="T252" s="42">
        <f>IFERROR((_xll.qlBlackFormula(IF(O252&lt;$C$4,"Put","Call"),O252+$C$14,$C$4,$C$10*SQRT($C$7),,$C$11)-
2*_xll.qlBlackFormula(IF(O252&lt;$C$4,"Put","Call"),O252,$C$4,$C$10*SQRT($C$7),,$C$11)+
_xll.qlBlackFormula(IF(O252&lt;$C$4,"Put","Call"),O252-$C$14,$C$4,$C$10*SQRT($C$7),,$C$11))/$C$14^2,"")</f>
        <v>4.441593821251713</v>
      </c>
      <c r="U252" s="43">
        <f>IFERROR((_xll.qlBachelierBlackFormula(IF(O252&lt;$C$4,"Put","Call"),O252+$C$14,$C$4,$C$12*SQRT($C$7))-
2*_xll.qlBachelierBlackFormula(IF(O252&lt;$C$4,"Put","Call"),O252,$C$4,$C$12*SQRT($C$7))+
_xll.qlBachelierBlackFormula(IF(O252&lt;$C$4,"Put","Call"),O252-$C$14,$C$4,$C$12*SQRT($C$7)))/$C$14^2,"")</f>
        <v>1.0562972852900654</v>
      </c>
      <c r="V252" s="61">
        <f>IFERROR(_xll.qlBachelierBlackFormulaImpliedVol(IF(O252&lt;$C$4,"Put","Call"),O252,$C$4,$C$7,P252),"")</f>
        <v>5.637504112153224E-3</v>
      </c>
      <c r="W252" s="61">
        <f>IFERROR(_xll.qlBachelierBlackFormulaImpliedVol(IF(O252&lt;$C$4,"Put","Call"),O252,$C$4,$C$7,Q252),"")</f>
        <v>4.4825721741682464E-3</v>
      </c>
      <c r="X252" s="61">
        <f>IFERROR(_xll.qlBachelierBlackFormulaImpliedVol(IF(O252&lt;$C$4,"Put","Call"),O252,$C$4,$C$7,R252),"")</f>
        <v>3.1332853431187049E-3</v>
      </c>
      <c r="Y252" s="42"/>
    </row>
    <row r="253" spans="15:25">
      <c r="O253" s="37">
        <f t="shared" si="3"/>
        <v>1.4799999999999961E-2</v>
      </c>
      <c r="P253" s="38">
        <f>IFERROR(_xll.qlBlackFormula(IF(O253&lt;$C$4,"Put","Call"),O253,$C$4,$C$9*SQRT($C$7)),"")</f>
        <v>9.5839340122300673E-5</v>
      </c>
      <c r="Q253" s="39">
        <f>IFERROR(_xll.qlBlackFormula(IF(O253&lt;$C$4,"Put","Call"),O253,$C$4,$C$10*SQRT($C$7),,$C$11),"")</f>
        <v>2.3244252538363251E-5</v>
      </c>
      <c r="R253" s="40">
        <f>IFERROR(_xll.qlBachelierBlackFormula(IF(O253&lt;$C$4,"Put","Call"),O253,$C$4,$C$12*SQRT($C$7)),"")</f>
        <v>7.5718348451176369E-7</v>
      </c>
      <c r="S253" s="41">
        <f>IFERROR((_xll.qlBlackFormula(IF(O253&lt;$C$4,"Put","Call"),O253+$C$14,$C$4,$C$9*SQRT($C$7))-
2*_xll.qlBlackFormula(IF(O253&lt;$C$4,"Put","Call"),O253,$C$4,$C$9*SQRT($C$7))+
_xll.qlBlackFormula(IF(O253&lt;$C$4,"Put","Call"),O253-$C$14,$C$4,$C$9*SQRT($C$7)))/$C$14^2,"")</f>
        <v>5.4823325241516727</v>
      </c>
      <c r="T253" s="42">
        <f>IFERROR((_xll.qlBlackFormula(IF(O253&lt;$C$4,"Put","Call"),O253+$C$14,$C$4,$C$10*SQRT($C$7),,$C$11)-
2*_xll.qlBlackFormula(IF(O253&lt;$C$4,"Put","Call"),O253,$C$4,$C$10*SQRT($C$7),,$C$11)+
_xll.qlBlackFormula(IF(O253&lt;$C$4,"Put","Call"),O253-$C$14,$C$4,$C$10*SQRT($C$7),,$C$11))/$C$14^2,"")</f>
        <v>4.2571777808704523</v>
      </c>
      <c r="U253" s="43">
        <f>IFERROR((_xll.qlBachelierBlackFormula(IF(O253&lt;$C$4,"Put","Call"),O253+$C$14,$C$4,$C$12*SQRT($C$7))-
2*_xll.qlBachelierBlackFormula(IF(O253&lt;$C$4,"Put","Call"),O253,$C$4,$C$12*SQRT($C$7))+
_xll.qlBachelierBlackFormula(IF(O253&lt;$C$4,"Put","Call"),O253-$C$14,$C$4,$C$12*SQRT($C$7)))/$C$14^2,"")</f>
        <v>0.95643541101354124</v>
      </c>
      <c r="V253" s="61">
        <f>IFERROR(_xll.qlBachelierBlackFormulaImpliedVol(IF(O253&lt;$C$4,"Put","Call"),O253,$C$4,$C$7,P253),"")</f>
        <v>5.6600506071719774E-3</v>
      </c>
      <c r="W253" s="61">
        <f>IFERROR(_xll.qlBachelierBlackFormulaImpliedVol(IF(O253&lt;$C$4,"Put","Call"),O253,$C$4,$C$7,Q253),"")</f>
        <v>4.4952167078093656E-3</v>
      </c>
      <c r="X253" s="61">
        <f>IFERROR(_xll.qlBachelierBlackFormulaImpliedVol(IF(O253&lt;$C$4,"Put","Call"),O253,$C$4,$C$7,R253),"")</f>
        <v>3.1332853430079467E-3</v>
      </c>
      <c r="Y253" s="42"/>
    </row>
    <row r="254" spans="15:25">
      <c r="O254" s="37">
        <f t="shared" si="3"/>
        <v>1.489999999999996E-2</v>
      </c>
      <c r="P254" s="38">
        <f>IFERROR(_xll.qlBlackFormula(IF(O254&lt;$C$4,"Put","Call"),O254,$C$4,$C$9*SQRT($C$7)),"")</f>
        <v>9.3705032977116777E-5</v>
      </c>
      <c r="Q254" s="39">
        <f>IFERROR(_xll.qlBlackFormula(IF(O254&lt;$C$4,"Put","Call"),O254,$C$4,$C$10*SQRT($C$7),,$C$11),"")</f>
        <v>2.227091387472759E-5</v>
      </c>
      <c r="R254" s="40">
        <f>IFERROR(_xll.qlBachelierBlackFormula(IF(O254&lt;$C$4,"Put","Call"),O254,$C$4,$C$12*SQRT($C$7)),"")</f>
        <v>6.7372233544663817E-7</v>
      </c>
      <c r="S254" s="41">
        <f>IFERROR((_xll.qlBlackFormula(IF(O254&lt;$C$4,"Put","Call"),O254+$C$14,$C$4,$C$9*SQRT($C$7))-
2*_xll.qlBlackFormula(IF(O254&lt;$C$4,"Put","Call"),O254,$C$4,$C$9*SQRT($C$7))+
_xll.qlBlackFormula(IF(O254&lt;$C$4,"Put","Call"),O254-$C$14,$C$4,$C$9*SQRT($C$7)))/$C$14^2,"")</f>
        <v>5.3301543409024763</v>
      </c>
      <c r="T254" s="42">
        <f>IFERROR((_xll.qlBlackFormula(IF(O254&lt;$C$4,"Put","Call"),O254+$C$14,$C$4,$C$10*SQRT($C$7),,$C$11)-
2*_xll.qlBlackFormula(IF(O254&lt;$C$4,"Put","Call"),O254,$C$4,$C$10*SQRT($C$7),,$C$11)+
_xll.qlBlackFormula(IF(O254&lt;$C$4,"Put","Call"),O254-$C$14,$C$4,$C$10*SQRT($C$7),,$C$11))/$C$14^2,"")</f>
        <v>4.0802416783822242</v>
      </c>
      <c r="U254" s="43">
        <f>IFERROR((_xll.qlBachelierBlackFormula(IF(O254&lt;$C$4,"Put","Call"),O254+$C$14,$C$4,$C$12*SQRT($C$7))-
2*_xll.qlBachelierBlackFormula(IF(O254&lt;$C$4,"Put","Call"),O254,$C$4,$C$12*SQRT($C$7))+
_xll.qlBachelierBlackFormula(IF(O254&lt;$C$4,"Put","Call"),O254-$C$14,$C$4,$C$12*SQRT($C$7)))/$C$14^2,"")</f>
        <v>0.86513163915168634</v>
      </c>
      <c r="V254" s="61">
        <f>IFERROR(_xll.qlBachelierBlackFormulaImpliedVol(IF(O254&lt;$C$4,"Put","Call"),O254,$C$4,$C$7,P254),"")</f>
        <v>5.682554934367345E-3</v>
      </c>
      <c r="W254" s="61">
        <f>IFERROR(_xll.qlBachelierBlackFormulaImpliedVol(IF(O254&lt;$C$4,"Put","Call"),O254,$C$4,$C$7,Q254),"")</f>
        <v>4.5078422860375215E-3</v>
      </c>
      <c r="X254" s="61">
        <f>IFERROR(_xll.qlBachelierBlackFormulaImpliedVol(IF(O254&lt;$C$4,"Put","Call"),O254,$C$4,$C$7,R254),"")</f>
        <v>3.1332853428945664E-3</v>
      </c>
      <c r="Y254" s="42"/>
    </row>
    <row r="255" spans="15:25">
      <c r="O255" s="37">
        <f t="shared" si="3"/>
        <v>1.499999999999996E-2</v>
      </c>
      <c r="P255" s="38">
        <f>IFERROR(_xll.qlBlackFormula(IF(O255&lt;$C$4,"Put","Call"),O255,$C$4,$C$9*SQRT($C$7)),"")</f>
        <v>9.1624031223013218E-5</v>
      </c>
      <c r="Q255" s="39">
        <f>IFERROR(_xll.qlBlackFormula(IF(O255&lt;$C$4,"Put","Call"),O255,$C$4,$C$10*SQRT($C$7),,$C$11),"")</f>
        <v>2.133838361493816E-5</v>
      </c>
      <c r="R255" s="40">
        <f>IFERROR(_xll.qlBachelierBlackFormula(IF(O255&lt;$C$4,"Put","Call"),O255,$C$4,$C$12*SQRT($C$7)),"")</f>
        <v>5.9891910019801569E-7</v>
      </c>
      <c r="S255" s="41">
        <f>IFERROR((_xll.qlBlackFormula(IF(O255&lt;$C$4,"Put","Call"),O255+$C$14,$C$4,$C$9*SQRT($C$7))-
2*_xll.qlBlackFormula(IF(O255&lt;$C$4,"Put","Call"),O255,$C$4,$C$9*SQRT($C$7))+
_xll.qlBlackFormula(IF(O255&lt;$C$4,"Put","Call"),O255-$C$14,$C$4,$C$9*SQRT($C$7)))/$C$14^2,"")</f>
        <v>5.1826012014907779</v>
      </c>
      <c r="T255" s="42">
        <f>IFERROR((_xll.qlBlackFormula(IF(O255&lt;$C$4,"Put","Call"),O255+$C$14,$C$4,$C$10*SQRT($C$7),,$C$11)-
2*_xll.qlBlackFormula(IF(O255&lt;$C$4,"Put","Call"),O255,$C$4,$C$10*SQRT($C$7),,$C$11)+
_xll.qlBlackFormula(IF(O255&lt;$C$4,"Put","Call"),O255-$C$14,$C$4,$C$10*SQRT($C$7),,$C$11))/$C$14^2,"")</f>
        <v>3.9104946494492032</v>
      </c>
      <c r="U255" s="43">
        <f>IFERROR((_xll.qlBachelierBlackFormula(IF(O255&lt;$C$4,"Put","Call"),O255+$C$14,$C$4,$C$12*SQRT($C$7))-
2*_xll.qlBachelierBlackFormula(IF(O255&lt;$C$4,"Put","Call"),O255,$C$4,$C$12*SQRT($C$7))+
_xll.qlBachelierBlackFormula(IF(O255&lt;$C$4,"Put","Call"),O255-$C$14,$C$4,$C$12*SQRT($C$7)))/$C$14^2,"")</f>
        <v>0.78174700023634414</v>
      </c>
      <c r="V255" s="61">
        <f>IFERROR(_xll.qlBachelierBlackFormulaImpliedVol(IF(O255&lt;$C$4,"Put","Call"),O255,$C$4,$C$7,P255),"")</f>
        <v>5.7050175023704523E-3</v>
      </c>
      <c r="W255" s="61">
        <f>IFERROR(_xll.qlBachelierBlackFormulaImpliedVol(IF(O255&lt;$C$4,"Put","Call"),O255,$C$4,$C$7,Q255),"")</f>
        <v>4.5204490483166625E-3</v>
      </c>
      <c r="X255" s="61">
        <f>IFERROR(_xll.qlBachelierBlackFormulaImpliedVol(IF(O255&lt;$C$4,"Put","Call"),O255,$C$4,$C$7,R255),"")</f>
        <v>3.1332853427826005E-3</v>
      </c>
      <c r="Y255" s="42"/>
    </row>
    <row r="256" spans="15:25">
      <c r="O256" s="37">
        <f t="shared" si="3"/>
        <v>1.5099999999999959E-2</v>
      </c>
      <c r="P256" s="38">
        <f>IFERROR(_xll.qlBlackFormula(IF(O256&lt;$C$4,"Put","Call"),O256,$C$4,$C$9*SQRT($C$7)),"")</f>
        <v>8.9594859213760981E-5</v>
      </c>
      <c r="Q256" s="39">
        <f>IFERROR(_xll.qlBlackFormula(IF(O256&lt;$C$4,"Put","Call"),O256,$C$4,$C$10*SQRT($C$7),,$C$11),"")</f>
        <v>2.0444964074196474E-5</v>
      </c>
      <c r="R256" s="40">
        <f>IFERROR(_xll.qlBachelierBlackFormula(IF(O256&lt;$C$4,"Put","Call"),O256,$C$4,$C$12*SQRT($C$7)),"")</f>
        <v>5.3193943616642615E-7</v>
      </c>
      <c r="S256" s="41">
        <f>IFERROR((_xll.qlBlackFormula(IF(O256&lt;$C$4,"Put","Call"),O256+$C$14,$C$4,$C$9*SQRT($C$7))-
2*_xll.qlBlackFormula(IF(O256&lt;$C$4,"Put","Call"),O256,$C$4,$C$9*SQRT($C$7))+
_xll.qlBlackFormula(IF(O256&lt;$C$4,"Put","Call"),O256-$C$14,$C$4,$C$9*SQRT($C$7)))/$C$14^2,"")</f>
        <v>5.0395238654875332</v>
      </c>
      <c r="T256" s="42">
        <f>IFERROR((_xll.qlBlackFormula(IF(O256&lt;$C$4,"Put","Call"),O256+$C$14,$C$4,$C$10*SQRT($C$7),,$C$11)-
2*_xll.qlBlackFormula(IF(O256&lt;$C$4,"Put","Call"),O256,$C$4,$C$10*SQRT($C$7),,$C$11)+
_xll.qlBlackFormula(IF(O256&lt;$C$4,"Put","Call"),O256-$C$14,$C$4,$C$10*SQRT($C$7),,$C$11))/$C$14^2,"")</f>
        <v>3.7476635293340332</v>
      </c>
      <c r="U256" s="43">
        <f>IFERROR((_xll.qlBachelierBlackFormula(IF(O256&lt;$C$4,"Put","Call"),O256+$C$14,$C$4,$C$12*SQRT($C$7))-
2*_xll.qlBachelierBlackFormula(IF(O256&lt;$C$4,"Put","Call"),O256,$C$4,$C$12*SQRT($C$7))+
_xll.qlBachelierBlackFormula(IF(O256&lt;$C$4,"Put","Call"),O256-$C$14,$C$4,$C$12*SQRT($C$7)))/$C$14^2,"")</f>
        <v>0.7056810851272487</v>
      </c>
      <c r="V256" s="61">
        <f>IFERROR(_xll.qlBachelierBlackFormulaImpliedVol(IF(O256&lt;$C$4,"Put","Call"),O256,$C$4,$C$7,P256),"")</f>
        <v>5.727438713068145E-3</v>
      </c>
      <c r="W256" s="61">
        <f>IFERROR(_xll.qlBachelierBlackFormulaImpliedVol(IF(O256&lt;$C$4,"Put","Call"),O256,$C$4,$C$7,Q256),"")</f>
        <v>4.5330371323697664E-3</v>
      </c>
      <c r="X256" s="61">
        <f>IFERROR(_xll.qlBachelierBlackFormulaImpliedVol(IF(O256&lt;$C$4,"Put","Call"),O256,$C$4,$C$7,R256),"")</f>
        <v>3.1332853426752128E-3</v>
      </c>
      <c r="Y256" s="42"/>
    </row>
    <row r="257" spans="15:25">
      <c r="O257" s="37">
        <f t="shared" si="3"/>
        <v>1.5199999999999958E-2</v>
      </c>
      <c r="P257" s="38">
        <f>IFERROR(_xll.qlBlackFormula(IF(O257&lt;$C$4,"Put","Call"),O257,$C$4,$C$9*SQRT($C$7)),"")</f>
        <v>8.7616086057006948E-5</v>
      </c>
      <c r="Q257" s="39">
        <f>IFERROR(_xll.qlBlackFormula(IF(O257&lt;$C$4,"Put","Call"),O257,$C$4,$C$10*SQRT($C$7),,$C$11),"")</f>
        <v>1.9589026693764066E-5</v>
      </c>
      <c r="R257" s="40">
        <f>IFERROR(_xll.qlBachelierBlackFormula(IF(O257&lt;$C$4,"Put","Call"),O257,$C$4,$C$12*SQRT($C$7)),"")</f>
        <v>4.7202220818659456E-7</v>
      </c>
      <c r="S257" s="41">
        <f>IFERROR((_xll.qlBlackFormula(IF(O257&lt;$C$4,"Put","Call"),O257+$C$14,$C$4,$C$9*SQRT($C$7))-
2*_xll.qlBlackFormula(IF(O257&lt;$C$4,"Put","Call"),O257,$C$4,$C$9*SQRT($C$7))+
_xll.qlBlackFormula(IF(O257&lt;$C$4,"Put","Call"),O257-$C$14,$C$4,$C$9*SQRT($C$7)))/$C$14^2,"")</f>
        <v>4.9007762366500005</v>
      </c>
      <c r="T257" s="42">
        <f>IFERROR((_xll.qlBlackFormula(IF(O257&lt;$C$4,"Put","Call"),O257+$C$14,$C$4,$C$10*SQRT($C$7),,$C$11)-
2*_xll.qlBlackFormula(IF(O257&lt;$C$4,"Put","Call"),O257,$C$4,$C$10*SQRT($C$7),,$C$11)+
_xll.qlBlackFormula(IF(O257&lt;$C$4,"Put","Call"),O257-$C$14,$C$4,$C$10*SQRT($C$7),,$C$11))/$C$14^2,"")</f>
        <v>3.5914720362181103</v>
      </c>
      <c r="U257" s="43">
        <f>IFERROR((_xll.qlBachelierBlackFormula(IF(O257&lt;$C$4,"Put","Call"),O257+$C$14,$C$4,$C$12*SQRT($C$7))-
2*_xll.qlBachelierBlackFormula(IF(O257&lt;$C$4,"Put","Call"),O257,$C$4,$C$12*SQRT($C$7))+
_xll.qlBachelierBlackFormula(IF(O257&lt;$C$4,"Put","Call"),O257-$C$14,$C$4,$C$12*SQRT($C$7)))/$C$14^2,"")</f>
        <v>0.63636779036553093</v>
      </c>
      <c r="V257" s="61">
        <f>IFERROR(_xll.qlBachelierBlackFormulaImpliedVol(IF(O257&lt;$C$4,"Put","Call"),O257,$C$4,$C$7,P257),"")</f>
        <v>5.7498189617589887E-3</v>
      </c>
      <c r="W257" s="61">
        <f>IFERROR(_xll.qlBachelierBlackFormulaImpliedVol(IF(O257&lt;$C$4,"Put","Call"),O257,$C$4,$C$7,Q257),"")</f>
        <v>4.5456066742097356E-3</v>
      </c>
      <c r="X257" s="61">
        <f>IFERROR(_xll.qlBachelierBlackFormulaImpliedVol(IF(O257&lt;$C$4,"Put","Call"),O257,$C$4,$C$7,R257),"")</f>
        <v>3.1332853425756224E-3</v>
      </c>
      <c r="Y257" s="42"/>
    </row>
    <row r="258" spans="15:25">
      <c r="O258" s="37">
        <f t="shared" si="3"/>
        <v>1.5299999999999958E-2</v>
      </c>
      <c r="P258" s="38">
        <f>IFERROR(_xll.qlBlackFormula(IF(O258&lt;$C$4,"Put","Call"),O258,$C$4,$C$9*SQRT($C$7)),"")</f>
        <v>8.5686324145161578E-5</v>
      </c>
      <c r="Q258" s="39">
        <f>IFERROR(_xll.qlBlackFormula(IF(O258&lt;$C$4,"Put","Call"),O258,$C$4,$C$10*SQRT($C$7),,$C$11),"")</f>
        <v>1.8769009349258478E-5</v>
      </c>
      <c r="R258" s="40">
        <f>IFERROR(_xll.qlBachelierBlackFormula(IF(O258&lt;$C$4,"Put","Call"),O258,$C$4,$C$12*SQRT($C$7)),"")</f>
        <v>4.1847384050906624E-7</v>
      </c>
      <c r="S258" s="41">
        <f>IFERROR((_xll.qlBlackFormula(IF(O258&lt;$C$4,"Put","Call"),O258+$C$14,$C$4,$C$9*SQRT($C$7))-
2*_xll.qlBlackFormula(IF(O258&lt;$C$4,"Put","Call"),O258,$C$4,$C$9*SQRT($C$7))+
_xll.qlBlackFormula(IF(O258&lt;$C$4,"Put","Call"),O258-$C$14,$C$4,$C$9*SQRT($C$7)))/$C$14^2,"")</f>
        <v>4.7662140076690234</v>
      </c>
      <c r="T258" s="42">
        <f>IFERROR((_xll.qlBlackFormula(IF(O258&lt;$C$4,"Put","Call"),O258+$C$14,$C$4,$C$10*SQRT($C$7),,$C$11)-
2*_xll.qlBlackFormula(IF(O258&lt;$C$4,"Put","Call"),O258,$C$4,$C$10*SQRT($C$7),,$C$11)+
_xll.qlBlackFormula(IF(O258&lt;$C$4,"Put","Call"),O258-$C$14,$C$4,$C$10*SQRT($C$7),,$C$11))/$C$14^2,"")</f>
        <v>3.4416640273381844</v>
      </c>
      <c r="U258" s="43">
        <f>IFERROR((_xll.qlBachelierBlackFormula(IF(O258&lt;$C$4,"Put","Call"),O258+$C$14,$C$4,$C$12*SQRT($C$7))-
2*_xll.qlBachelierBlackFormula(IF(O258&lt;$C$4,"Put","Call"),O258,$C$4,$C$12*SQRT($C$7))+
_xll.qlBachelierBlackFormula(IF(O258&lt;$C$4,"Put","Call"),O258-$C$14,$C$4,$C$12*SQRT($C$7)))/$C$14^2,"")</f>
        <v>0.57327784402596726</v>
      </c>
      <c r="V258" s="61">
        <f>IFERROR(_xll.qlBachelierBlackFormulaImpliedVol(IF(O258&lt;$C$4,"Put","Call"),O258,$C$4,$C$7,P258),"")</f>
        <v>5.772158637304751E-3</v>
      </c>
      <c r="W258" s="61">
        <f>IFERROR(_xll.qlBachelierBlackFormulaImpliedVol(IF(O258&lt;$C$4,"Put","Call"),O258,$C$4,$C$7,Q258),"")</f>
        <v>4.5581578081687743E-3</v>
      </c>
      <c r="X258" s="61">
        <f>IFERROR(_xll.qlBachelierBlackFormulaImpliedVol(IF(O258&lt;$C$4,"Put","Call"),O258,$C$4,$C$7,R258),"")</f>
        <v>3.1332853424881177E-3</v>
      </c>
      <c r="Y258" s="42"/>
    </row>
    <row r="259" spans="15:25">
      <c r="O259" s="37">
        <f t="shared" si="3"/>
        <v>1.5399999999999957E-2</v>
      </c>
      <c r="P259" s="38">
        <f>IFERROR(_xll.qlBlackFormula(IF(O259&lt;$C$4,"Put","Call"),O259,$C$4,$C$9*SQRT($C$7)),"")</f>
        <v>8.3804227737779033E-5</v>
      </c>
      <c r="Q259" s="39">
        <f>IFERROR(_xll.qlBlackFormula(IF(O259&lt;$C$4,"Put","Call"),O259,$C$4,$C$10*SQRT($C$7),,$C$11),"")</f>
        <v>1.7983413754634159E-5</v>
      </c>
      <c r="R259" s="40">
        <f>IFERROR(_xll.qlBachelierBlackFormula(IF(O259&lt;$C$4,"Put","Call"),O259,$C$4,$C$12*SQRT($C$7)),"")</f>
        <v>3.7066302468831954E-7</v>
      </c>
      <c r="S259" s="41">
        <f>IFERROR((_xll.qlBlackFormula(IF(O259&lt;$C$4,"Put","Call"),O259+$C$14,$C$4,$C$9*SQRT($C$7))-
2*_xll.qlBlackFormula(IF(O259&lt;$C$4,"Put","Call"),O259,$C$4,$C$9*SQRT($C$7))+
_xll.qlBlackFormula(IF(O259&lt;$C$4,"Put","Call"),O259-$C$14,$C$4,$C$9*SQRT($C$7)))/$C$14^2,"")</f>
        <v>4.6356996474990195</v>
      </c>
      <c r="T259" s="42">
        <f>IFERROR((_xll.qlBlackFormula(IF(O259&lt;$C$4,"Put","Call"),O259+$C$14,$C$4,$C$10*SQRT($C$7),,$C$11)-
2*_xll.qlBlackFormula(IF(O259&lt;$C$4,"Put","Call"),O259,$C$4,$C$10*SQRT($C$7),,$C$11)+
_xll.qlBlackFormula(IF(O259&lt;$C$4,"Put","Call"),O259-$C$14,$C$4,$C$10*SQRT($C$7),,$C$11))/$C$14^2,"")</f>
        <v>3.2979898922490953</v>
      </c>
      <c r="U259" s="43">
        <f>IFERROR((_xll.qlBachelierBlackFormula(IF(O259&lt;$C$4,"Put","Call"),O259+$C$14,$C$4,$C$12*SQRT($C$7))-
2*_xll.qlBachelierBlackFormula(IF(O259&lt;$C$4,"Put","Call"),O259,$C$4,$C$12*SQRT($C$7))+
_xll.qlBachelierBlackFormula(IF(O259&lt;$C$4,"Put","Call"),O259-$C$14,$C$4,$C$12*SQRT($C$7)))/$C$14^2,"")</f>
        <v>0.51591741065371532</v>
      </c>
      <c r="V259" s="61">
        <f>IFERROR(_xll.qlBachelierBlackFormulaImpliedVol(IF(O259&lt;$C$4,"Put","Call"),O259,$C$4,$C$7,P259),"")</f>
        <v>5.7944581222772523E-3</v>
      </c>
      <c r="W259" s="61">
        <f>IFERROR(_xll.qlBachelierBlackFormulaImpliedVol(IF(O259&lt;$C$4,"Put","Call"),O259,$C$4,$C$7,Q259),"")</f>
        <v>4.5706906669274747E-3</v>
      </c>
      <c r="X259" s="61">
        <f>IFERROR(_xll.qlBachelierBlackFormulaImpliedVol(IF(O259&lt;$C$4,"Put","Call"),O259,$C$4,$C$7,R259),"")</f>
        <v>3.133285342416308E-3</v>
      </c>
      <c r="Y259" s="42"/>
    </row>
    <row r="260" spans="15:25">
      <c r="O260" s="37">
        <f t="shared" si="3"/>
        <v>1.5499999999999957E-2</v>
      </c>
      <c r="P260" s="38">
        <f>IFERROR(_xll.qlBlackFormula(IF(O260&lt;$C$4,"Put","Call"),O260,$C$4,$C$9*SQRT($C$7)),"")</f>
        <v>8.19684915935382E-5</v>
      </c>
      <c r="Q260" s="39">
        <f>IFERROR(_xll.qlBlackFormula(IF(O260&lt;$C$4,"Put","Call"),O260,$C$4,$C$10*SQRT($C$7),,$C$11),"")</f>
        <v>1.7230802959106536E-5</v>
      </c>
      <c r="R260" s="40">
        <f>IFERROR(_xll.qlBachelierBlackFormula(IF(O260&lt;$C$4,"Put","Call"),O260,$C$4,$C$12*SQRT($C$7)),"")</f>
        <v>3.2801576890425478E-7</v>
      </c>
      <c r="S260" s="41">
        <f>IFERROR((_xll.qlBlackFormula(IF(O260&lt;$C$4,"Put","Call"),O260+$C$14,$C$4,$C$9*SQRT($C$7))-
2*_xll.qlBlackFormula(IF(O260&lt;$C$4,"Put","Call"),O260,$C$4,$C$9*SQRT($C$7))+
_xll.qlBlackFormula(IF(O260&lt;$C$4,"Put","Call"),O260-$C$14,$C$4,$C$9*SQRT($C$7)))/$C$14^2,"")</f>
        <v>4.5091041360814659</v>
      </c>
      <c r="T260" s="42">
        <f>IFERROR((_xll.qlBlackFormula(IF(O260&lt;$C$4,"Put","Call"),O260+$C$14,$C$4,$C$10*SQRT($C$7),,$C$11)-
2*_xll.qlBlackFormula(IF(O260&lt;$C$4,"Put","Call"),O260,$C$4,$C$10*SQRT($C$7),,$C$11)+
_xll.qlBlackFormula(IF(O260&lt;$C$4,"Put","Call"),O260-$C$14,$C$4,$C$10*SQRT($C$7),,$C$11))/$C$14^2,"")</f>
        <v>3.1602048452053499</v>
      </c>
      <c r="U260" s="43">
        <f>IFERROR((_xll.qlBachelierBlackFormula(IF(O260&lt;$C$4,"Put","Call"),O260+$C$14,$C$4,$C$12*SQRT($C$7))-
2*_xll.qlBachelierBlackFormula(IF(O260&lt;$C$4,"Put","Call"),O260,$C$4,$C$12*SQRT($C$7))+
_xll.qlBachelierBlackFormula(IF(O260&lt;$C$4,"Put","Call"),O260-$C$14,$C$4,$C$12*SQRT($C$7)))/$C$14^2,"")</f>
        <v>0.46382317254398947</v>
      </c>
      <c r="V260" s="61">
        <f>IFERROR(_xll.qlBachelierBlackFormulaImpliedVol(IF(O260&lt;$C$4,"Put","Call"),O260,$C$4,$C$7,P260),"")</f>
        <v>5.8167177931011211E-3</v>
      </c>
      <c r="W260" s="61">
        <f>IFERROR(_xll.qlBachelierBlackFormulaImpliedVol(IF(O260&lt;$C$4,"Put","Call"),O260,$C$4,$C$7,Q260),"")</f>
        <v>4.5832053815435857E-3</v>
      </c>
      <c r="X260" s="61">
        <f>IFERROR(_xll.qlBachelierBlackFormulaImpliedVol(IF(O260&lt;$C$4,"Put","Call"),O260,$C$4,$C$7,R260),"")</f>
        <v>3.1332853423618437E-3</v>
      </c>
      <c r="Y260" s="42"/>
    </row>
    <row r="261" spans="15:25">
      <c r="O261" s="37">
        <f t="shared" si="3"/>
        <v>1.5599999999999956E-2</v>
      </c>
      <c r="P261" s="38">
        <f>IFERROR(_xll.qlBlackFormula(IF(O261&lt;$C$4,"Put","Call"),O261,$C$4,$C$9*SQRT($C$7)),"")</f>
        <v>8.0177849650006725E-5</v>
      </c>
      <c r="Q261" s="39">
        <f>IFERROR(_xll.qlBlackFormula(IF(O261&lt;$C$4,"Put","Call"),O261,$C$4,$C$10*SQRT($C$7),,$C$11),"")</f>
        <v>1.6509798934285239E-5</v>
      </c>
      <c r="R261" s="40">
        <f>IFERROR(_xll.qlBachelierBlackFormula(IF(O261&lt;$C$4,"Put","Call"),O261,$C$4,$C$12*SQRT($C$7)),"")</f>
        <v>2.9001077401805799E-7</v>
      </c>
      <c r="S261" s="41">
        <f>IFERROR((_xll.qlBlackFormula(IF(O261&lt;$C$4,"Put","Call"),O261+$C$14,$C$4,$C$9*SQRT($C$7))-
2*_xll.qlBlackFormula(IF(O261&lt;$C$4,"Put","Call"),O261,$C$4,$C$9*SQRT($C$7))+
_xll.qlBlackFormula(IF(O261&lt;$C$4,"Put","Call"),O261-$C$14,$C$4,$C$9*SQRT($C$7)))/$C$14^2,"")</f>
        <v>4.3862986159881601</v>
      </c>
      <c r="T261" s="42">
        <f>IFERROR((_xll.qlBlackFormula(IF(O261&lt;$C$4,"Put","Call"),O261+$C$14,$C$4,$C$10*SQRT($C$7),,$C$11)-
2*_xll.qlBlackFormula(IF(O261&lt;$C$4,"Put","Call"),O261,$C$4,$C$10*SQRT($C$7),,$C$11)+
_xll.qlBlackFormula(IF(O261&lt;$C$4,"Put","Call"),O261-$C$14,$C$4,$C$10*SQRT($C$7),,$C$11))/$C$14^2,"")</f>
        <v>3.0280827487388224</v>
      </c>
      <c r="U261" s="43">
        <f>IFERROR((_xll.qlBachelierBlackFormula(IF(O261&lt;$C$4,"Put","Call"),O261+$C$14,$C$4,$C$12*SQRT($C$7))-
2*_xll.qlBachelierBlackFormula(IF(O261&lt;$C$4,"Put","Call"),O261,$C$4,$C$12*SQRT($C$7))+
_xll.qlBachelierBlackFormula(IF(O261&lt;$C$4,"Put","Call"),O261-$C$14,$C$4,$C$12*SQRT($C$7)))/$C$14^2,"")</f>
        <v>0.41656437575014466</v>
      </c>
      <c r="V261" s="61">
        <f>IFERROR(_xll.qlBachelierBlackFormulaImpliedVol(IF(O261&lt;$C$4,"Put","Call"),O261,$C$4,$C$7,P261),"")</f>
        <v>5.8389380201922395E-3</v>
      </c>
      <c r="W261" s="61">
        <f>IFERROR(_xll.qlBachelierBlackFormulaImpliedVol(IF(O261&lt;$C$4,"Put","Call"),O261,$C$4,$C$7,Q261),"")</f>
        <v>4.5957020814793867E-3</v>
      </c>
      <c r="X261" s="61">
        <f>IFERROR(_xll.qlBachelierBlackFormulaImpliedVol(IF(O261&lt;$C$4,"Put","Call"),O261,$C$4,$C$7,R261),"")</f>
        <v>3.1332853423288991E-3</v>
      </c>
      <c r="Y261" s="42"/>
    </row>
    <row r="262" spans="15:25">
      <c r="O262" s="37">
        <f t="shared" si="3"/>
        <v>1.5699999999999957E-2</v>
      </c>
      <c r="P262" s="38">
        <f>IFERROR(_xll.qlBlackFormula(IF(O262&lt;$C$4,"Put","Call"),O262,$C$4,$C$9*SQRT($C$7)),"")</f>
        <v>7.8431073749417226E-5</v>
      </c>
      <c r="Q262" s="39">
        <f>IFERROR(_xll.qlBlackFormula(IF(O262&lt;$C$4,"Put","Call"),O262,$C$4,$C$10*SQRT($C$7),,$C$11),"")</f>
        <v>1.5819080248886914E-5</v>
      </c>
      <c r="R262" s="40">
        <f>IFERROR(_xll.qlBachelierBlackFormula(IF(O262&lt;$C$4,"Put","Call"),O262,$C$4,$C$12*SQRT($C$7)),"")</f>
        <v>2.5617512154998362E-7</v>
      </c>
      <c r="S262" s="41">
        <f>IFERROR((_xll.qlBlackFormula(IF(O262&lt;$C$4,"Put","Call"),O262+$C$14,$C$4,$C$9*SQRT($C$7))-
2*_xll.qlBlackFormula(IF(O262&lt;$C$4,"Put","Call"),O262,$C$4,$C$9*SQRT($C$7))+
_xll.qlBlackFormula(IF(O262&lt;$C$4,"Put","Call"),O262-$C$14,$C$4,$C$9*SQRT($C$7)))/$C$14^2,"")</f>
        <v>4.2671594881714405</v>
      </c>
      <c r="T262" s="42">
        <f>IFERROR((_xll.qlBlackFormula(IF(O262&lt;$C$4,"Put","Call"),O262+$C$14,$C$4,$C$10*SQRT($C$7),,$C$11)-
2*_xll.qlBlackFormula(IF(O262&lt;$C$4,"Put","Call"),O262,$C$4,$C$10*SQRT($C$7),,$C$11)+
_xll.qlBlackFormula(IF(O262&lt;$C$4,"Put","Call"),O262-$C$14,$C$4,$C$10*SQRT($C$7),,$C$11))/$C$14^2,"")</f>
        <v>2.9013914209542748</v>
      </c>
      <c r="U262" s="43">
        <f>IFERROR((_xll.qlBachelierBlackFormula(IF(O262&lt;$C$4,"Put","Call"),O262+$C$14,$C$4,$C$12*SQRT($C$7))-
2*_xll.qlBachelierBlackFormula(IF(O262&lt;$C$4,"Put","Call"),O262,$C$4,$C$12*SQRT($C$7))+
_xll.qlBachelierBlackFormula(IF(O262&lt;$C$4,"Put","Call"),O262-$C$14,$C$4,$C$12*SQRT($C$7)))/$C$14^2,"")</f>
        <v>0.37374054563581799</v>
      </c>
      <c r="V262" s="61">
        <f>IFERROR(_xll.qlBachelierBlackFormulaImpliedVol(IF(O262&lt;$C$4,"Put","Call"),O262,$C$4,$C$7,P262),"")</f>
        <v>5.8611191680922959E-3</v>
      </c>
      <c r="W262" s="61">
        <f>IFERROR(_xll.qlBachelierBlackFormulaImpliedVol(IF(O262&lt;$C$4,"Put","Call"),O262,$C$4,$C$7,Q262),"")</f>
        <v>4.6081808946293289E-3</v>
      </c>
      <c r="X262" s="61">
        <f>IFERROR(_xll.qlBachelierBlackFormulaImpliedVol(IF(O262&lt;$C$4,"Put","Call"),O262,$C$4,$C$7,R262),"")</f>
        <v>3.1332853423187519E-3</v>
      </c>
      <c r="Y262" s="42"/>
    </row>
    <row r="263" spans="15:25">
      <c r="O263" s="37">
        <f t="shared" ref="O263:O271" si="4">O262+0.01%</f>
        <v>1.5799999999999956E-2</v>
      </c>
      <c r="P263" s="38">
        <f>IFERROR(_xll.qlBlackFormula(IF(O263&lt;$C$4,"Put","Call"),O263,$C$4,$C$9*SQRT($C$7)),"")</f>
        <v>7.6726972408781965E-5</v>
      </c>
      <c r="Q263" s="39">
        <f>IFERROR(_xll.qlBlackFormula(IF(O263&lt;$C$4,"Put","Call"),O263,$C$4,$C$10*SQRT($C$7),,$C$11),"")</f>
        <v>1.5157379828336661E-5</v>
      </c>
      <c r="R263" s="40">
        <f>IFERROR(_xll.qlBachelierBlackFormula(IF(O263&lt;$C$4,"Put","Call"),O263,$C$4,$C$12*SQRT($C$7)),"")</f>
        <v>2.2608025875276793E-7</v>
      </c>
      <c r="S263" s="41">
        <f>IFERROR((_xll.qlBlackFormula(IF(O263&lt;$C$4,"Put","Call"),O263+$C$14,$C$4,$C$9*SQRT($C$7))-
2*_xll.qlBlackFormula(IF(O263&lt;$C$4,"Put","Call"),O263,$C$4,$C$9*SQRT($C$7))+
_xll.qlBlackFormula(IF(O263&lt;$C$4,"Put","Call"),O263-$C$14,$C$4,$C$9*SQRT($C$7)))/$C$14^2,"")</f>
        <v>4.1515707972089588</v>
      </c>
      <c r="T263" s="42">
        <f>IFERROR((_xll.qlBlackFormula(IF(O263&lt;$C$4,"Put","Call"),O263+$C$14,$C$4,$C$10*SQRT($C$7),,$C$11)-
2*_xll.qlBlackFormula(IF(O263&lt;$C$4,"Put","Call"),O263,$C$4,$C$10*SQRT($C$7),,$C$11)+
_xll.qlBlackFormula(IF(O263&lt;$C$4,"Put","Call"),O263-$C$14,$C$4,$C$10*SQRT($C$7),,$C$11))/$C$14^2,"")</f>
        <v>2.7799206079454075</v>
      </c>
      <c r="U263" s="43">
        <f>IFERROR((_xll.qlBachelierBlackFormula(IF(O263&lt;$C$4,"Put","Call"),O263+$C$14,$C$4,$C$12*SQRT($C$7))-
2*_xll.qlBachelierBlackFormula(IF(O263&lt;$C$4,"Put","Call"),O263,$C$4,$C$12*SQRT($C$7))+
_xll.qlBachelierBlackFormula(IF(O263&lt;$C$4,"Put","Call"),O263-$C$14,$C$4,$C$12*SQRT($C$7)))/$C$14^2,"")</f>
        <v>0.33497820419874136</v>
      </c>
      <c r="V263" s="61">
        <f>IFERROR(_xll.qlBachelierBlackFormulaImpliedVol(IF(O263&lt;$C$4,"Put","Call"),O263,$C$4,$C$7,P263),"")</f>
        <v>5.8832615955993744E-3</v>
      </c>
      <c r="W263" s="61">
        <f>IFERROR(_xll.qlBachelierBlackFormulaImpliedVol(IF(O263&lt;$C$4,"Put","Call"),O263,$C$4,$C$7,Q263),"")</f>
        <v>4.6206419473462899E-3</v>
      </c>
      <c r="X263" s="61">
        <f>IFERROR(_xll.qlBachelierBlackFormulaImpliedVol(IF(O263&lt;$C$4,"Put","Call"),O263,$C$4,$C$7,R263),"")</f>
        <v>3.1332853423343184E-3</v>
      </c>
      <c r="Y263" s="42"/>
    </row>
    <row r="264" spans="15:25">
      <c r="O264" s="37">
        <f t="shared" si="4"/>
        <v>1.5899999999999956E-2</v>
      </c>
      <c r="P264" s="38">
        <f>IFERROR(_xll.qlBlackFormula(IF(O264&lt;$C$4,"Put","Call"),O264,$C$4,$C$9*SQRT($C$7)),"")</f>
        <v>7.5064389632717866E-5</v>
      </c>
      <c r="Q264" s="39">
        <f>IFERROR(_xll.qlBlackFormula(IF(O264&lt;$C$4,"Put","Call"),O264,$C$4,$C$10*SQRT($C$7),,$C$11),"")</f>
        <v>1.4523482796697542E-5</v>
      </c>
      <c r="R264" s="40">
        <f>IFERROR(_xll.qlBachelierBlackFormula(IF(O264&lt;$C$4,"Put","Call"),O264,$C$4,$C$12*SQRT($C$7)),"")</f>
        <v>1.9933826601591071E-7</v>
      </c>
      <c r="S264" s="41">
        <f>IFERROR((_xll.qlBlackFormula(IF(O264&lt;$C$4,"Put","Call"),O264+$C$14,$C$4,$C$9*SQRT($C$7))-
2*_xll.qlBlackFormula(IF(O264&lt;$C$4,"Put","Call"),O264,$C$4,$C$9*SQRT($C$7))+
_xll.qlBlackFormula(IF(O264&lt;$C$4,"Put","Call"),O264-$C$14,$C$4,$C$9*SQRT($C$7)))/$C$14^2,"")</f>
        <v>4.0394139313830459</v>
      </c>
      <c r="T264" s="42">
        <f>IFERROR((_xll.qlBlackFormula(IF(O264&lt;$C$4,"Put","Call"),O264+$C$14,$C$4,$C$10*SQRT($C$7),,$C$11)-
2*_xll.qlBlackFormula(IF(O264&lt;$C$4,"Put","Call"),O264,$C$4,$C$10*SQRT($C$7),,$C$11)+
_xll.qlBlackFormula(IF(O264&lt;$C$4,"Put","Call"),O264-$C$14,$C$4,$C$10*SQRT($C$7),,$C$11))/$C$14^2,"")</f>
        <v>2.6634639047236344</v>
      </c>
      <c r="U264" s="43">
        <f>IFERROR((_xll.qlBachelierBlackFormula(IF(O264&lt;$C$4,"Put","Call"),O264+$C$14,$C$4,$C$12*SQRT($C$7))-
2*_xll.qlBachelierBlackFormula(IF(O264&lt;$C$4,"Put","Call"),O264,$C$4,$C$12*SQRT($C$7))+
_xll.qlBachelierBlackFormula(IF(O264&lt;$C$4,"Put","Call"),O264-$C$14,$C$4,$C$12*SQRT($C$7)))/$C$14^2,"")</f>
        <v>0.29992914254704556</v>
      </c>
      <c r="V264" s="61">
        <f>IFERROR(_xll.qlBachelierBlackFormulaImpliedVol(IF(O264&lt;$C$4,"Put","Call"),O264,$C$4,$C$7,P264),"")</f>
        <v>5.905365655894966E-3</v>
      </c>
      <c r="W264" s="61">
        <f>IFERROR(_xll.qlBachelierBlackFormulaImpliedVol(IF(O264&lt;$C$4,"Put","Call"),O264,$C$4,$C$7,Q264),"")</f>
        <v>4.6330853644677714E-3</v>
      </c>
      <c r="X264" s="61">
        <f>IFERROR(_xll.qlBachelierBlackFormulaImpliedVol(IF(O264&lt;$C$4,"Put","Call"),O264,$C$4,$C$7,R264),"")</f>
        <v>3.1332853423760641E-3</v>
      </c>
      <c r="Y264" s="42"/>
    </row>
    <row r="265" spans="15:25">
      <c r="O265" s="37">
        <f t="shared" si="4"/>
        <v>1.5999999999999955E-2</v>
      </c>
      <c r="P265" s="38">
        <f>IFERROR(_xll.qlBlackFormula(IF(O265&lt;$C$4,"Put","Call"),O265,$C$4,$C$9*SQRT($C$7)),"")</f>
        <v>7.3442203767410015E-5</v>
      </c>
      <c r="Q265" s="39">
        <f>IFERROR(_xll.qlBlackFormula(IF(O265&lt;$C$4,"Put","Call"),O265,$C$4,$C$10*SQRT($C$7),,$C$11),"")</f>
        <v>1.3916224398349586E-5</v>
      </c>
      <c r="R265" s="40">
        <f>IFERROR(_xll.qlBachelierBlackFormula(IF(O265&lt;$C$4,"Put","Call"),O265,$C$4,$C$12*SQRT($C$7)),"")</f>
        <v>1.7559839199140955E-7</v>
      </c>
      <c r="S265" s="41">
        <f>IFERROR((_xll.qlBlackFormula(IF(O265&lt;$C$4,"Put","Call"),O265+$C$14,$C$4,$C$9*SQRT($C$7))-
2*_xll.qlBlackFormula(IF(O265&lt;$C$4,"Put","Call"),O265,$C$4,$C$9*SQRT($C$7))+
_xll.qlBlackFormula(IF(O265&lt;$C$4,"Put","Call"),O265-$C$14,$C$4,$C$9*SQRT($C$7)))/$C$14^2,"")</f>
        <v>3.9305809583674303</v>
      </c>
      <c r="T265" s="42">
        <f>IFERROR((_xll.qlBlackFormula(IF(O265&lt;$C$4,"Put","Call"),O265+$C$14,$C$4,$C$10*SQRT($C$7),,$C$11)-
2*_xll.qlBlackFormula(IF(O265&lt;$C$4,"Put","Call"),O265,$C$4,$C$10*SQRT($C$7),,$C$11)+
_xll.qlBlackFormula(IF(O265&lt;$C$4,"Put","Call"),O265-$C$14,$C$4,$C$10*SQRT($C$7),,$C$11))/$C$14^2,"")</f>
        <v>2.5518164783935178</v>
      </c>
      <c r="U265" s="43">
        <f>IFERROR((_xll.qlBachelierBlackFormula(IF(O265&lt;$C$4,"Put","Call"),O265+$C$14,$C$4,$C$12*SQRT($C$7))-
2*_xll.qlBachelierBlackFormula(IF(O265&lt;$C$4,"Put","Call"),O265,$C$4,$C$12*SQRT($C$7))+
_xll.qlBachelierBlackFormula(IF(O265&lt;$C$4,"Put","Call"),O265-$C$14,$C$4,$C$12*SQRT($C$7)))/$C$14^2,"")</f>
        <v>0.26827408939895503</v>
      </c>
      <c r="V265" s="61">
        <f>IFERROR(_xll.qlBachelierBlackFormulaImpliedVol(IF(O265&lt;$C$4,"Put","Call"),O265,$C$4,$C$7,P265),"")</f>
        <v>5.9274316966671991E-3</v>
      </c>
      <c r="W265" s="61">
        <f>IFERROR(_xll.qlBachelierBlackFormulaImpliedVol(IF(O265&lt;$C$4,"Put","Call"),O265,$C$4,$C$7,Q265),"")</f>
        <v>4.6455112693414725E-3</v>
      </c>
      <c r="X265" s="61">
        <f>IFERROR(_xll.qlBachelierBlackFormulaImpliedVol(IF(O265&lt;$C$4,"Put","Call"),O265,$C$4,$C$7,R265),"")</f>
        <v>3.1332853424446338E-3</v>
      </c>
      <c r="Y265" s="42"/>
    </row>
    <row r="266" spans="15:25">
      <c r="O266" s="37">
        <f t="shared" si="4"/>
        <v>1.6099999999999955E-2</v>
      </c>
      <c r="P266" s="38">
        <f>IFERROR(_xll.qlBlackFormula(IF(O266&lt;$C$4,"Put","Call"),O266,$C$4,$C$9*SQRT($C$7)),"")</f>
        <v>7.1859326394222974E-5</v>
      </c>
      <c r="Q266" s="39">
        <f>IFERROR(_xll.qlBlackFormula(IF(O266&lt;$C$4,"Put","Call"),O266,$C$4,$C$10*SQRT($C$7),,$C$11),"")</f>
        <v>1.3334487996904731E-5</v>
      </c>
      <c r="R266" s="40">
        <f>IFERROR(_xll.qlBachelierBlackFormula(IF(O266&lt;$C$4,"Put","Call"),O266,$C$4,$C$12*SQRT($C$7)),"")</f>
        <v>1.5454384204811906E-7</v>
      </c>
      <c r="S266" s="41">
        <f>IFERROR((_xll.qlBlackFormula(IF(O266&lt;$C$4,"Put","Call"),O266+$C$14,$C$4,$C$9*SQRT($C$7))-
2*_xll.qlBlackFormula(IF(O266&lt;$C$4,"Put","Call"),O266,$C$4,$C$9*SQRT($C$7))+
_xll.qlBlackFormula(IF(O266&lt;$C$4,"Put","Call"),O266-$C$14,$C$4,$C$9*SQRT($C$7)))/$C$14^2,"")</f>
        <v>3.8249644879369273</v>
      </c>
      <c r="T266" s="42">
        <f>IFERROR((_xll.qlBlackFormula(IF(O266&lt;$C$4,"Put","Call"),O266+$C$14,$C$4,$C$10*SQRT($C$7),,$C$11)-
2*_xll.qlBlackFormula(IF(O266&lt;$C$4,"Put","Call"),O266,$C$4,$C$10*SQRT($C$7),,$C$11)+
_xll.qlBlackFormula(IF(O266&lt;$C$4,"Put","Call"),O266-$C$14,$C$4,$C$10*SQRT($C$7),,$C$11))/$C$14^2,"")</f>
        <v>2.4447860050421863</v>
      </c>
      <c r="U266" s="43">
        <f>IFERROR((_xll.qlBachelierBlackFormula(IF(O266&lt;$C$4,"Put","Call"),O266+$C$14,$C$4,$C$12*SQRT($C$7))-
2*_xll.qlBachelierBlackFormula(IF(O266&lt;$C$4,"Put","Call"),O266,$C$4,$C$12*SQRT($C$7))+
_xll.qlBachelierBlackFormula(IF(O266&lt;$C$4,"Put","Call"),O266-$C$14,$C$4,$C$12*SQRT($C$7)))/$C$14^2,"")</f>
        <v>0.23971564682800756</v>
      </c>
      <c r="V266" s="61">
        <f>IFERROR(_xll.qlBachelierBlackFormulaImpliedVol(IF(O266&lt;$C$4,"Put","Call"),O266,$C$4,$C$7,P266),"")</f>
        <v>5.949460060230778E-3</v>
      </c>
      <c r="W266" s="61">
        <f>IFERROR(_xll.qlBachelierBlackFormulaImpliedVol(IF(O266&lt;$C$4,"Put","Call"),O266,$C$4,$C$7,Q266),"")</f>
        <v>4.6579197838499207E-3</v>
      </c>
      <c r="X266" s="61">
        <f>IFERROR(_xll.qlBachelierBlackFormulaImpliedVol(IF(O266&lt;$C$4,"Put","Call"),O266,$C$4,$C$7,R266),"")</f>
        <v>3.1332853425405835E-3</v>
      </c>
      <c r="Y266" s="42"/>
    </row>
    <row r="267" spans="15:25">
      <c r="O267" s="37">
        <f t="shared" si="4"/>
        <v>1.6199999999999954E-2</v>
      </c>
      <c r="P267" s="38">
        <f>IFERROR(_xll.qlBlackFormula(IF(O267&lt;$C$4,"Put","Call"),O267,$C$4,$C$9*SQRT($C$7)),"")</f>
        <v>7.0314701261501428E-5</v>
      </c>
      <c r="Q267" s="39">
        <f>IFERROR(_xll.qlBlackFormula(IF(O267&lt;$C$4,"Put","Call"),O267,$C$4,$C$10*SQRT($C$7),,$C$11),"")</f>
        <v>1.2777203148893137E-5</v>
      </c>
      <c r="R267" s="40">
        <f>IFERROR(_xll.qlBachelierBlackFormula(IF(O267&lt;$C$4,"Put","Call"),O267,$C$4,$C$12*SQRT($C$7)),"")</f>
        <v>1.3588880593763941E-7</v>
      </c>
      <c r="S267" s="41">
        <f>IFERROR((_xll.qlBlackFormula(IF(O267&lt;$C$4,"Put","Call"),O267+$C$14,$C$4,$C$9*SQRT($C$7))-
2*_xll.qlBlackFormula(IF(O267&lt;$C$4,"Put","Call"),O267,$C$4,$C$9*SQRT($C$7))+
_xll.qlBlackFormula(IF(O267&lt;$C$4,"Put","Call"),O267-$C$14,$C$4,$C$9*SQRT($C$7)))/$C$14^2,"")</f>
        <v>3.7224627677176492</v>
      </c>
      <c r="T267" s="42">
        <f>IFERROR((_xll.qlBlackFormula(IF(O267&lt;$C$4,"Put","Call"),O267+$C$14,$C$4,$C$10*SQRT($C$7),,$C$11)-
2*_xll.qlBlackFormula(IF(O267&lt;$C$4,"Put","Call"),O267,$C$4,$C$10*SQRT($C$7),,$C$11)+
_xll.qlBlackFormula(IF(O267&lt;$C$4,"Put","Call"),O267-$C$14,$C$4,$C$10*SQRT($C$7),,$C$11))/$C$14^2,"")</f>
        <v>2.3421892951600713</v>
      </c>
      <c r="U267" s="43">
        <f>IFERROR((_xll.qlBachelierBlackFormula(IF(O267&lt;$C$4,"Put","Call"),O267+$C$14,$C$4,$C$12*SQRT($C$7))-
2*_xll.qlBachelierBlackFormula(IF(O267&lt;$C$4,"Put","Call"),O267,$C$4,$C$12*SQRT($C$7))+
_xll.qlBachelierBlackFormula(IF(O267&lt;$C$4,"Put","Call"),O267-$C$14,$C$4,$C$12*SQRT($C$7)))/$C$14^2,"")</f>
        <v>0.21398026215575555</v>
      </c>
      <c r="V267" s="61">
        <f>IFERROR(_xll.qlBachelierBlackFormulaImpliedVol(IF(O267&lt;$C$4,"Put","Call"),O267,$C$4,$C$7,P267),"")</f>
        <v>5.9714510836434611E-3</v>
      </c>
      <c r="W267" s="61">
        <f>IFERROR(_xll.qlBachelierBlackFormulaImpliedVol(IF(O267&lt;$C$4,"Put","Call"),O267,$C$4,$C$7,Q267),"")</f>
        <v>4.6703110284351873E-3</v>
      </c>
      <c r="X267" s="61">
        <f>IFERROR(_xll.qlBachelierBlackFormulaImpliedVol(IF(O267&lt;$C$4,"Put","Call"),O267,$C$4,$C$7,R267),"")</f>
        <v>3.1332853426615502E-3</v>
      </c>
      <c r="Y267" s="42"/>
    </row>
    <row r="268" spans="15:25">
      <c r="O268" s="37">
        <f t="shared" si="4"/>
        <v>1.6299999999999953E-2</v>
      </c>
      <c r="P268" s="38">
        <f>IFERROR(_xll.qlBlackFormula(IF(O268&lt;$C$4,"Put","Call"),O268,$C$4,$C$9*SQRT($C$7)),"")</f>
        <v>6.8807303253173001E-5</v>
      </c>
      <c r="Q268" s="39">
        <f>IFERROR(_xll.qlBlackFormula(IF(O268&lt;$C$4,"Put","Call"),O268,$C$4,$C$10*SQRT($C$7),,$C$11),"")</f>
        <v>1.2243343749808577E-5</v>
      </c>
      <c r="R268" s="40">
        <f>IFERROR(_xll.qlBachelierBlackFormula(IF(O268&lt;$C$4,"Put","Call"),O268,$C$4,$C$12*SQRT($C$7)),"")</f>
        <v>1.1937571088463131E-7</v>
      </c>
      <c r="S268" s="41">
        <f>IFERROR((_xll.qlBlackFormula(IF(O268&lt;$C$4,"Put","Call"),O268+$C$14,$C$4,$C$9*SQRT($C$7))-
2*_xll.qlBlackFormula(IF(O268&lt;$C$4,"Put","Call"),O268,$C$4,$C$9*SQRT($C$7))+
_xll.qlBlackFormula(IF(O268&lt;$C$4,"Put","Call"),O268-$C$14,$C$4,$C$9*SQRT($C$7)))/$C$14^2,"")</f>
        <v>3.6229719311414721</v>
      </c>
      <c r="T268" s="42">
        <f>IFERROR((_xll.qlBlackFormula(IF(O268&lt;$C$4,"Put","Call"),O268+$C$14,$C$4,$C$10*SQRT($C$7),,$C$11)-
2*_xll.qlBlackFormula(IF(O268&lt;$C$4,"Put","Call"),O268,$C$4,$C$10*SQRT($C$7),,$C$11)+
_xll.qlBlackFormula(IF(O268&lt;$C$4,"Put","Call"),O268-$C$14,$C$4,$C$10*SQRT($C$7),,$C$11))/$C$14^2,"")</f>
        <v>2.2438499355011827</v>
      </c>
      <c r="U268" s="43">
        <f>IFERROR((_xll.qlBachelierBlackFormula(IF(O268&lt;$C$4,"Put","Call"),O268+$C$14,$C$4,$C$12*SQRT($C$7))-
2*_xll.qlBachelierBlackFormula(IF(O268&lt;$C$4,"Put","Call"),O268,$C$4,$C$12*SQRT($C$7))+
_xll.qlBachelierBlackFormula(IF(O268&lt;$C$4,"Put","Call"),O268-$C$14,$C$4,$C$12*SQRT($C$7)))/$C$14^2,"")</f>
        <v>0.1908131158961712</v>
      </c>
      <c r="V268" s="61">
        <f>IFERROR(_xll.qlBachelierBlackFormulaImpliedVol(IF(O268&lt;$C$4,"Put","Call"),O268,$C$4,$C$7,P268),"")</f>
        <v>5.9934050988193471E-3</v>
      </c>
      <c r="W268" s="61">
        <f>IFERROR(_xll.qlBachelierBlackFormulaImpliedVol(IF(O268&lt;$C$4,"Put","Call"),O268,$C$4,$C$7,Q268),"")</f>
        <v>4.6826851221224569E-3</v>
      </c>
      <c r="X268" s="61">
        <f>IFERROR(_xll.qlBachelierBlackFormulaImpliedVol(IF(O268&lt;$C$4,"Put","Call"),O268,$C$4,$C$7,R268),"")</f>
        <v>3.1332853428075015E-3</v>
      </c>
      <c r="Y268" s="42"/>
    </row>
    <row r="269" spans="15:25">
      <c r="O269" s="37">
        <f t="shared" si="4"/>
        <v>1.6399999999999953E-2</v>
      </c>
      <c r="P269" s="38">
        <f>IFERROR(_xll.qlBlackFormula(IF(O269&lt;$C$4,"Put","Call"),O269,$C$4,$C$9*SQRT($C$7)),"")</f>
        <v>6.7336137392807696E-5</v>
      </c>
      <c r="Q269" s="39">
        <f>IFERROR(_xll.qlBlackFormula(IF(O269&lt;$C$4,"Put","Call"),O269,$C$4,$C$10*SQRT($C$7),,$C$11),"")</f>
        <v>1.1731926250134155E-5</v>
      </c>
      <c r="R269" s="40">
        <f>IFERROR(_xll.qlBachelierBlackFormula(IF(O269&lt;$C$4,"Put","Call"),O269,$C$4,$C$12*SQRT($C$7)),"")</f>
        <v>1.0477268669459143E-7</v>
      </c>
      <c r="S269" s="41">
        <f>IFERROR((_xll.qlBlackFormula(IF(O269&lt;$C$4,"Put","Call"),O269+$C$14,$C$4,$C$9*SQRT($C$7))-
2*_xll.qlBlackFormula(IF(O269&lt;$C$4,"Put","Call"),O269,$C$4,$C$9*SQRT($C$7))+
_xll.qlBlackFormula(IF(O269&lt;$C$4,"Put","Call"),O269-$C$14,$C$4,$C$9*SQRT($C$7)))/$C$14^2,"")</f>
        <v>3.5263995499731915</v>
      </c>
      <c r="T269" s="42">
        <f>IFERROR((_xll.qlBlackFormula(IF(O269&lt;$C$4,"Put","Call"),O269+$C$14,$C$4,$C$10*SQRT($C$7),,$C$11)-
2*_xll.qlBlackFormula(IF(O269&lt;$C$4,"Put","Call"),O269,$C$4,$C$10*SQRT($C$7),,$C$11)+
_xll.qlBlackFormula(IF(O269&lt;$C$4,"Put","Call"),O269-$C$14,$C$4,$C$10*SQRT($C$7),,$C$11))/$C$14^2,"")</f>
        <v>2.1495921497883055</v>
      </c>
      <c r="U269" s="43">
        <f>IFERROR((_xll.qlBachelierBlackFormula(IF(O269&lt;$C$4,"Put","Call"),O269+$C$14,$C$4,$C$12*SQRT($C$7))-
2*_xll.qlBachelierBlackFormula(IF(O269&lt;$C$4,"Put","Call"),O269,$C$4,$C$12*SQRT($C$7))+
_xll.qlBachelierBlackFormula(IF(O269&lt;$C$4,"Put","Call"),O269-$C$14,$C$4,$C$12*SQRT($C$7)))/$C$14^2,"")</f>
        <v>0.16998066539558696</v>
      </c>
      <c r="V269" s="61">
        <f>IFERROR(_xll.qlBachelierBlackFormulaImpliedVol(IF(O269&lt;$C$4,"Put","Call"),O269,$C$4,$C$7,P269),"")</f>
        <v>6.0153224326389429E-3</v>
      </c>
      <c r="W269" s="61">
        <f>IFERROR(_xll.qlBachelierBlackFormulaImpliedVol(IF(O269&lt;$C$4,"Put","Call"),O269,$C$4,$C$7,Q269),"")</f>
        <v>4.6950421825436312E-3</v>
      </c>
      <c r="X269" s="61">
        <f>IFERROR(_xll.qlBachelierBlackFormulaImpliedVol(IF(O269&lt;$C$4,"Put","Call"),O269,$C$4,$C$7,R269),"")</f>
        <v>3.133285342976481E-3</v>
      </c>
      <c r="Y269" s="42"/>
    </row>
    <row r="270" spans="15:25">
      <c r="O270" s="37">
        <f t="shared" si="4"/>
        <v>1.6499999999999952E-2</v>
      </c>
      <c r="P270" s="38">
        <f>IFERROR(_xll.qlBlackFormula(IF(O270&lt;$C$4,"Put","Call"),O270,$C$4,$C$9*SQRT($C$7)),"")</f>
        <v>6.5900237881854977E-5</v>
      </c>
      <c r="Q270" s="39">
        <f>IFERROR(_xll.qlBlackFormula(IF(O270&lt;$C$4,"Put","Call"),O270,$C$4,$C$10*SQRT($C$7),,$C$11),"")</f>
        <v>1.1242007939036295E-5</v>
      </c>
      <c r="R270" s="40">
        <f>IFERROR(_xll.qlBachelierBlackFormula(IF(O270&lt;$C$4,"Put","Call"),O270,$C$4,$C$12*SQRT($C$7)),"")</f>
        <v>9.1871229879189123E-8</v>
      </c>
      <c r="S270" s="41">
        <f>IFERROR((_xll.qlBlackFormula(IF(O270&lt;$C$4,"Put","Call"),O270+$C$14,$C$4,$C$9*SQRT($C$7))-
2*_xll.qlBlackFormula(IF(O270&lt;$C$4,"Put","Call"),O270,$C$4,$C$9*SQRT($C$7))+
_xll.qlBlackFormula(IF(O270&lt;$C$4,"Put","Call"),O270-$C$14,$C$4,$C$9*SQRT($C$7)))/$C$14^2,"")</f>
        <v>3.4326517323046701</v>
      </c>
      <c r="T270" s="42">
        <f>IFERROR((_xll.qlBlackFormula(IF(O270&lt;$C$4,"Put","Call"),O270+$C$14,$C$4,$C$10*SQRT($C$7),,$C$11)-
2*_xll.qlBlackFormula(IF(O270&lt;$C$4,"Put","Call"),O270,$C$4,$C$10*SQRT($C$7),,$C$11)+
_xll.qlBlackFormula(IF(O270&lt;$C$4,"Put","Call"),O270-$C$14,$C$4,$C$10*SQRT($C$7),,$C$11))/$C$14^2,"")</f>
        <v>2.0592537549289638</v>
      </c>
      <c r="U270" s="43">
        <f>IFERROR((_xll.qlBachelierBlackFormula(IF(O270&lt;$C$4,"Put","Call"),O270+$C$14,$C$4,$C$12*SQRT($C$7))-
2*_xll.qlBachelierBlackFormula(IF(O270&lt;$C$4,"Put","Call"),O270,$C$4,$C$12*SQRT($C$7))+
_xll.qlBachelierBlackFormula(IF(O270&lt;$C$4,"Put","Call"),O270-$C$14,$C$4,$C$12*SQRT($C$7)))/$C$14^2,"")</f>
        <v>0.15126802220693267</v>
      </c>
      <c r="V270" s="61">
        <f>IFERROR(_xll.qlBachelierBlackFormulaImpliedVol(IF(O270&lt;$C$4,"Put","Call"),O270,$C$4,$C$7,P270),"")</f>
        <v>6.0372034070563883E-3</v>
      </c>
      <c r="W270" s="61">
        <f>IFERROR(_xll.qlBachelierBlackFormulaImpliedVol(IF(O270&lt;$C$4,"Put","Call"),O270,$C$4,$C$7,Q270),"")</f>
        <v>4.7073823259600146E-3</v>
      </c>
      <c r="X270" s="61">
        <f>IFERROR(_xll.qlBachelierBlackFormulaImpliedVol(IF(O270&lt;$C$4,"Put","Call"),O270,$C$4,$C$7,R270),"")</f>
        <v>3.1332853431632998E-3</v>
      </c>
      <c r="Y270" s="42"/>
    </row>
    <row r="271" spans="15:25">
      <c r="O271" s="37">
        <f t="shared" si="4"/>
        <v>1.6599999999999952E-2</v>
      </c>
      <c r="P271" s="38">
        <f>IFERROR(_xll.qlBlackFormula(IF(O271&lt;$C$4,"Put","Call"),O271,$C$4,$C$9*SQRT($C$7)),"")</f>
        <v>6.4498667170804732E-5</v>
      </c>
      <c r="Q271" s="39">
        <f>IFERROR(_xll.qlBlackFormula(IF(O271&lt;$C$4,"Put","Call"),O271,$C$4,$C$10*SQRT($C$7),,$C$11),"")</f>
        <v>1.0772685293465608E-5</v>
      </c>
      <c r="R271" s="40">
        <f>IFERROR(_xll.qlBachelierBlackFormula(IF(O271&lt;$C$4,"Put","Call"),O271,$C$4,$C$12*SQRT($C$7)),"")</f>
        <v>8.0484054249893439E-8</v>
      </c>
      <c r="S271" s="41">
        <f>IFERROR((_xll.qlBlackFormula(IF(O271&lt;$C$4,"Put","Call"),O271+$C$14,$C$4,$C$9*SQRT($C$7))-
2*_xll.qlBlackFormula(IF(O271&lt;$C$4,"Put","Call"),O271,$C$4,$C$9*SQRT($C$7))+
_xll.qlBlackFormula(IF(O271&lt;$C$4,"Put","Call"),O271-$C$14,$C$4,$C$9*SQRT($C$7)))/$C$14^2,"")</f>
        <v>3.3416397903981987</v>
      </c>
      <c r="T271" s="42">
        <f>IFERROR((_xll.qlBlackFormula(IF(O271&lt;$C$4,"Put","Call"),O271+$C$14,$C$4,$C$10*SQRT($C$7),,$C$11)-
2*_xll.qlBlackFormula(IF(O271&lt;$C$4,"Put","Call"),O271,$C$4,$C$10*SQRT($C$7),,$C$11)+
_xll.qlBlackFormula(IF(O271&lt;$C$4,"Put","Call"),O271-$C$14,$C$4,$C$10*SQRT($C$7),,$C$11))/$C$14^2,"")</f>
        <v>1.9726730828267121</v>
      </c>
      <c r="U271" s="43">
        <f>IFERROR((_xll.qlBachelierBlackFormula(IF(O271&lt;$C$4,"Put","Call"),O271+$C$14,$C$4,$C$12*SQRT($C$7))-
2*_xll.qlBachelierBlackFormula(IF(O271&lt;$C$4,"Put","Call"),O271,$C$4,$C$12*SQRT($C$7))+
_xll.qlBachelierBlackFormula(IF(O271&lt;$C$4,"Put","Call"),O271-$C$14,$C$4,$C$12*SQRT($C$7)))/$C$14^2,"")</f>
        <v>0.13447862301743554</v>
      </c>
      <c r="V271" s="61">
        <f>IFERROR(_xll.qlBachelierBlackFormulaImpliedVol(IF(O271&lt;$C$4,"Put","Call"),O271,$C$4,$C$7,P271),"")</f>
        <v>6.059048339203568E-3</v>
      </c>
      <c r="W271" s="61">
        <f>IFERROR(_xll.qlBachelierBlackFormulaImpliedVol(IF(O271&lt;$C$4,"Put","Call"),O271,$C$4,$C$7,Q271),"")</f>
        <v>4.7197056672847208E-3</v>
      </c>
      <c r="X271" s="61">
        <f>IFERROR(_xll.qlBachelierBlackFormulaImpliedVol(IF(O271&lt;$C$4,"Put","Call"),O271,$C$4,$C$7,R271),"")</f>
        <v>3.1332853433692939E-3</v>
      </c>
      <c r="Y271" s="42"/>
    </row>
    <row r="272" spans="15:25">
      <c r="O272" s="37">
        <f>O271+0.01%</f>
        <v>1.6699999999999951E-2</v>
      </c>
      <c r="P272" s="38">
        <f>IFERROR(_xll.qlBlackFormula(IF(O272&lt;$C$4,"Put","Call"),O272,$C$4,$C$9*SQRT($C$7)),"")</f>
        <v>6.313051506208852E-5</v>
      </c>
      <c r="Q272" s="39">
        <f>IFERROR(_xll.qlBlackFormula(IF(O272&lt;$C$4,"Put","Call"),O272,$C$4,$C$10*SQRT($C$7),,$C$11),"")</f>
        <v>1.0323092390450531E-5</v>
      </c>
      <c r="R272" s="40">
        <f>IFERROR(_xll.qlBachelierBlackFormula(IF(O272&lt;$C$4,"Put","Call"),O272,$C$4,$C$12*SQRT($C$7)),"")</f>
        <v>7.0443115890742188E-8</v>
      </c>
      <c r="S272" s="41">
        <f>IFERROR((_xll.qlBlackFormula(IF(O272&lt;$C$4,"Put","Call"),O272+$C$14,$C$4,$C$9*SQRT($C$7))-
2*_xll.qlBlackFormula(IF(O272&lt;$C$4,"Put","Call"),O272,$C$4,$C$9*SQRT($C$7))+
_xll.qlBlackFormula(IF(O272&lt;$C$4,"Put","Call"),O272-$C$14,$C$4,$C$9*SQRT($C$7)))/$C$14^2,"")</f>
        <v>3.2532746028351989</v>
      </c>
      <c r="T272" s="42">
        <f>IFERROR((_xll.qlBlackFormula(IF(O272&lt;$C$4,"Put","Call"),O272+$C$14,$C$4,$C$10*SQRT($C$7),,$C$11)-
2*_xll.qlBlackFormula(IF(O272&lt;$C$4,"Put","Call"),O272,$C$4,$C$10*SQRT($C$7),,$C$11)+
_xll.qlBlackFormula(IF(O272&lt;$C$4,"Put","Call"),O272-$C$14,$C$4,$C$10*SQRT($C$7),,$C$11))/$C$14^2,"")</f>
        <v>1.8897006762120736</v>
      </c>
      <c r="U272" s="43">
        <f>IFERROR((_xll.qlBachelierBlackFormula(IF(O272&lt;$C$4,"Put","Call"),O272+$C$14,$C$4,$C$12*SQRT($C$7))-
2*_xll.qlBachelierBlackFormula(IF(O272&lt;$C$4,"Put","Call"),O272,$C$4,$C$12*SQRT($C$7))+
_xll.qlBachelierBlackFormula(IF(O272&lt;$C$4,"Put","Call"),O272-$C$14,$C$4,$C$12*SQRT($C$7)))/$C$14^2,"")</f>
        <v>0.11943059947716649</v>
      </c>
      <c r="V272" s="61">
        <f>IFERROR(_xll.qlBachelierBlackFormulaImpliedVol(IF(O272&lt;$C$4,"Put","Call"),O272,$C$4,$C$7,P272),"")</f>
        <v>6.080857541491509E-3</v>
      </c>
      <c r="W272" s="61">
        <f>IFERROR(_xll.qlBachelierBlackFormulaImpliedVol(IF(O272&lt;$C$4,"Put","Call"),O272,$C$4,$C$7,Q272),"")</f>
        <v>4.7320123201048192E-3</v>
      </c>
      <c r="X272" s="61">
        <f>IFERROR(_xll.qlBachelierBlackFormulaImpliedVol(IF(O272&lt;$C$4,"Put","Call"),O272,$C$4,$C$7,R272),"")</f>
        <v>3.1332853435878695E-3</v>
      </c>
      <c r="Y272" s="42"/>
    </row>
    <row r="273" spans="15:25">
      <c r="O273" s="37">
        <f t="shared" ref="O273:O336" si="5">O272+0.01%</f>
        <v>1.679999999999995E-2</v>
      </c>
      <c r="P273" s="38">
        <f>IFERROR(_xll.qlBlackFormula(IF(O273&lt;$C$4,"Put","Call"),O273,$C$4,$C$9*SQRT($C$7)),"")</f>
        <v>6.1794897843565959E-5</v>
      </c>
      <c r="Q273" s="39">
        <f>IFERROR(_xll.qlBlackFormula(IF(O273&lt;$C$4,"Put","Call"),O273,$C$4,$C$10*SQRT($C$7),,$C$11),"")</f>
        <v>9.8923993804272682E-6</v>
      </c>
      <c r="R273" s="40">
        <f>IFERROR(_xll.qlBachelierBlackFormula(IF(O273&lt;$C$4,"Put","Call"),O273,$C$4,$C$12*SQRT($C$7)),"")</f>
        <v>6.1597800910403541E-8</v>
      </c>
      <c r="S273" s="41">
        <f>IFERROR((_xll.qlBlackFormula(IF(O273&lt;$C$4,"Put","Call"),O273+$C$14,$C$4,$C$9*SQRT($C$7))-
2*_xll.qlBlackFormula(IF(O273&lt;$C$4,"Put","Call"),O273,$C$4,$C$9*SQRT($C$7))+
_xll.qlBlackFormula(IF(O273&lt;$C$4,"Put","Call"),O273-$C$14,$C$4,$C$9*SQRT($C$7)))/$C$14^2,"")</f>
        <v>3.1674750441881145</v>
      </c>
      <c r="T273" s="42">
        <f>IFERROR((_xll.qlBlackFormula(IF(O273&lt;$C$4,"Put","Call"),O273+$C$14,$C$4,$C$10*SQRT($C$7),,$C$11)-
2*_xll.qlBlackFormula(IF(O273&lt;$C$4,"Put","Call"),O273,$C$4,$C$10*SQRT($C$7),,$C$11)+
_xll.qlBlackFormula(IF(O273&lt;$C$4,"Put","Call"),O273-$C$14,$C$4,$C$10*SQRT($C$7),,$C$11))/$C$14^2,"")</f>
        <v>1.8101889074067374</v>
      </c>
      <c r="U273" s="43">
        <f>IFERROR((_xll.qlBachelierBlackFormula(IF(O273&lt;$C$4,"Put","Call"),O273+$C$14,$C$4,$C$12*SQRT($C$7))-
2*_xll.qlBachelierBlackFormula(IF(O273&lt;$C$4,"Put","Call"),O273,$C$4,$C$12*SQRT($C$7))+
_xll.qlBachelierBlackFormula(IF(O273&lt;$C$4,"Put","Call"),O273-$C$14,$C$4,$C$12*SQRT($C$7)))/$C$14^2,"")</f>
        <v>0.10595941713018725</v>
      </c>
      <c r="V273" s="61">
        <f>IFERROR(_xll.qlBachelierBlackFormulaImpliedVol(IF(O273&lt;$C$4,"Put","Call"),O273,$C$4,$C$7,P273),"")</f>
        <v>6.1026313217089909E-3</v>
      </c>
      <c r="W273" s="61">
        <f>IFERROR(_xll.qlBachelierBlackFormulaImpliedVol(IF(O273&lt;$C$4,"Put","Call"),O273,$C$4,$C$7,Q273),"")</f>
        <v>4.744302396702451E-3</v>
      </c>
      <c r="X273" s="61">
        <f>IFERROR(_xll.qlBachelierBlackFormulaImpliedVol(IF(O273&lt;$C$4,"Put","Call"),O273,$C$4,$C$7,R273),"")</f>
        <v>3.1332853438111627E-3</v>
      </c>
      <c r="Y273" s="42"/>
    </row>
    <row r="274" spans="15:25">
      <c r="O274" s="37">
        <f t="shared" si="5"/>
        <v>1.689999999999995E-2</v>
      </c>
      <c r="P274" s="38">
        <f>IFERROR(_xll.qlBlackFormula(IF(O274&lt;$C$4,"Put","Call"),O274,$C$4,$C$9*SQRT($C$7)),"")</f>
        <v>6.0490957451492477E-5</v>
      </c>
      <c r="Q274" s="39">
        <f>IFERROR(_xll.qlBlackFormula(IF(O274&lt;$C$4,"Put","Call"),O274,$C$4,$C$10*SQRT($C$7),,$C$11),"")</f>
        <v>9.4798110195028256E-6</v>
      </c>
      <c r="R274" s="40">
        <f>IFERROR(_xll.qlBachelierBlackFormula(IF(O274&lt;$C$4,"Put","Call"),O274,$C$4,$C$12*SQRT($C$7)),"")</f>
        <v>5.3813264884322049E-8</v>
      </c>
      <c r="S274" s="41">
        <f>IFERROR((_xll.qlBlackFormula(IF(O274&lt;$C$4,"Put","Call"),O274+$C$14,$C$4,$C$9*SQRT($C$7))-
2*_xll.qlBlackFormula(IF(O274&lt;$C$4,"Put","Call"),O274,$C$4,$C$9*SQRT($C$7))+
_xll.qlBlackFormula(IF(O274&lt;$C$4,"Put","Call"),O274-$C$14,$C$4,$C$9*SQRT($C$7)))/$C$14^2,"")</f>
        <v>3.0841601787647694</v>
      </c>
      <c r="T274" s="42">
        <f>IFERROR((_xll.qlBlackFormula(IF(O274&lt;$C$4,"Put","Call"),O274+$C$14,$C$4,$C$10*SQRT($C$7),,$C$11)-
2*_xll.qlBlackFormula(IF(O274&lt;$C$4,"Put","Call"),O274,$C$4,$C$10*SQRT($C$7),,$C$11)+
_xll.qlBlackFormula(IF(O274&lt;$C$4,"Put","Call"),O274-$C$14,$C$4,$C$10*SQRT($C$7),,$C$11))/$C$14^2,"")</f>
        <v>1.7339959221089607</v>
      </c>
      <c r="U274" s="43">
        <f>IFERROR((_xll.qlBachelierBlackFormula(IF(O274&lt;$C$4,"Put","Call"),O274+$C$14,$C$4,$C$12*SQRT($C$7))-
2*_xll.qlBachelierBlackFormula(IF(O274&lt;$C$4,"Put","Call"),O274,$C$4,$C$12*SQRT($C$7))+
_xll.qlBachelierBlackFormula(IF(O274&lt;$C$4,"Put","Call"),O274-$C$14,$C$4,$C$12*SQRT($C$7)))/$C$14^2,"")</f>
        <v>9.391086695806572E-2</v>
      </c>
      <c r="V274" s="61">
        <f>IFERROR(_xll.qlBachelierBlackFormulaImpliedVol(IF(O274&lt;$C$4,"Put","Call"),O274,$C$4,$C$7,P274),"")</f>
        <v>6.1243699831185668E-3</v>
      </c>
      <c r="W274" s="61">
        <f>IFERROR(_xll.qlBachelierBlackFormulaImpliedVol(IF(O274&lt;$C$4,"Put","Call"),O274,$C$4,$C$7,Q274),"")</f>
        <v>4.7565760080760418E-3</v>
      </c>
      <c r="X274" s="61">
        <f>IFERROR(_xll.qlBachelierBlackFormulaImpliedVol(IF(O274&lt;$C$4,"Put","Call"),O274,$C$4,$C$7,R274),"")</f>
        <v>3.1332853440432418E-3</v>
      </c>
      <c r="Y274" s="42"/>
    </row>
    <row r="275" spans="15:25">
      <c r="O275" s="37">
        <f t="shared" si="5"/>
        <v>1.6999999999999949E-2</v>
      </c>
      <c r="P275" s="38">
        <f>IFERROR(_xll.qlBlackFormula(IF(O275&lt;$C$4,"Put","Call"),O275,$C$4,$C$9*SQRT($C$7)),"")</f>
        <v>5.9217860661910093E-5</v>
      </c>
      <c r="Q275" s="39">
        <f>IFERROR(_xll.qlBlackFormula(IF(O275&lt;$C$4,"Put","Call"),O275,$C$4,$C$10*SQRT($C$7),,$C$11),"")</f>
        <v>9.0845652586097589E-6</v>
      </c>
      <c r="R275" s="40">
        <f>IFERROR(_xll.qlBachelierBlackFormula(IF(O275&lt;$C$4,"Put","Call"),O275,$C$4,$C$12*SQRT($C$7)),"")</f>
        <v>4.6968913377587307E-8</v>
      </c>
      <c r="S275" s="41">
        <f>IFERROR((_xll.qlBlackFormula(IF(O275&lt;$C$4,"Put","Call"),O275+$C$14,$C$4,$C$9*SQRT($C$7))-
2*_xll.qlBlackFormula(IF(O275&lt;$C$4,"Put","Call"),O275,$C$4,$C$9*SQRT($C$7))+
_xll.qlBlackFormula(IF(O275&lt;$C$4,"Put","Call"),O275-$C$14,$C$4,$C$9*SQRT($C$7)))/$C$14^2,"")</f>
        <v>3.0032498027094539</v>
      </c>
      <c r="T275" s="42">
        <f>IFERROR((_xll.qlBlackFormula(IF(O275&lt;$C$4,"Put","Call"),O275+$C$14,$C$4,$C$10*SQRT($C$7),,$C$11)-
2*_xll.qlBlackFormula(IF(O275&lt;$C$4,"Put","Call"),O275,$C$4,$C$10*SQRT($C$7),,$C$11)+
_xll.qlBlackFormula(IF(O275&lt;$C$4,"Put","Call"),O275-$C$14,$C$4,$C$10*SQRT($C$7),,$C$11))/$C$14^2,"")</f>
        <v>1.6609829017830842</v>
      </c>
      <c r="U275" s="43">
        <f>IFERROR((_xll.qlBachelierBlackFormula(IF(O275&lt;$C$4,"Put","Call"),O275+$C$14,$C$4,$C$12*SQRT($C$7))-
2*_xll.qlBachelierBlackFormula(IF(O275&lt;$C$4,"Put","Call"),O275,$C$4,$C$12*SQRT($C$7))+
_xll.qlBachelierBlackFormula(IF(O275&lt;$C$4,"Put","Call"),O275-$C$14,$C$4,$C$12*SQRT($C$7)))/$C$14^2,"")</f>
        <v>8.3148358545310039E-2</v>
      </c>
      <c r="V275" s="61">
        <f>IFERROR(_xll.qlBachelierBlackFormulaImpliedVol(IF(O275&lt;$C$4,"Put","Call"),O275,$C$4,$C$7,P275),"")</f>
        <v>6.1460738245500066E-3</v>
      </c>
      <c r="W275" s="61">
        <f>IFERROR(_xll.qlBachelierBlackFormulaImpliedVol(IF(O275&lt;$C$4,"Put","Call"),O275,$C$4,$C$7,Q275),"")</f>
        <v>4.7688332639609417E-3</v>
      </c>
      <c r="X275" s="61">
        <f>IFERROR(_xll.qlBachelierBlackFormulaImpliedVol(IF(O275&lt;$C$4,"Put","Call"),O275,$C$4,$C$7,R275),"")</f>
        <v>3.1332853442728975E-3</v>
      </c>
      <c r="Y275" s="42"/>
    </row>
    <row r="276" spans="15:25">
      <c r="O276" s="37">
        <f t="shared" si="5"/>
        <v>1.7099999999999949E-2</v>
      </c>
      <c r="P276" s="38">
        <f>IFERROR(_xll.qlBlackFormula(IF(O276&lt;$C$4,"Put","Call"),O276,$C$4,$C$9*SQRT($C$7)),"")</f>
        <v>5.7974798309425209E-5</v>
      </c>
      <c r="Q276" s="39">
        <f>IFERROR(_xll.qlBlackFormula(IF(O276&lt;$C$4,"Put","Call"),O276,$C$4,$C$10*SQRT($C$7),,$C$11),"")</f>
        <v>8.7059318875394847E-6</v>
      </c>
      <c r="R276" s="40">
        <f>IFERROR(_xll.qlBachelierBlackFormula(IF(O276&lt;$C$4,"Put","Call"),O276,$C$4,$C$12*SQRT($C$7)),"")</f>
        <v>4.0957013493618967E-8</v>
      </c>
      <c r="S276" s="41">
        <f>IFERROR((_xll.qlBlackFormula(IF(O276&lt;$C$4,"Put","Call"),O276+$C$14,$C$4,$C$9*SQRT($C$7))-
2*_xll.qlBlackFormula(IF(O276&lt;$C$4,"Put","Call"),O276,$C$4,$C$9*SQRT($C$7))+
_xll.qlBlackFormula(IF(O276&lt;$C$4,"Put","Call"),O276-$C$14,$C$4,$C$9*SQRT($C$7)))/$C$14^2,"")</f>
        <v>2.924669295807647</v>
      </c>
      <c r="T276" s="42">
        <f>IFERROR((_xll.qlBlackFormula(IF(O276&lt;$C$4,"Put","Call"),O276+$C$14,$C$4,$C$10*SQRT($C$7),,$C$11)-
2*_xll.qlBlackFormula(IF(O276&lt;$C$4,"Put","Call"),O276,$C$4,$C$10*SQRT($C$7),,$C$11)+
_xll.qlBlackFormula(IF(O276&lt;$C$4,"Put","Call"),O276-$C$14,$C$4,$C$10*SQRT($C$7),,$C$11))/$C$14^2,"")</f>
        <v>1.591027724606904</v>
      </c>
      <c r="U276" s="43">
        <f>IFERROR((_xll.qlBachelierBlackFormula(IF(O276&lt;$C$4,"Put","Call"),O276+$C$14,$C$4,$C$12*SQRT($C$7))-
2*_xll.qlBachelierBlackFormula(IF(O276&lt;$C$4,"Put","Call"),O276,$C$4,$C$12*SQRT($C$7))+
_xll.qlBachelierBlackFormula(IF(O276&lt;$C$4,"Put","Call"),O276-$C$14,$C$4,$C$12*SQRT($C$7)))/$C$14^2,"")</f>
        <v>7.3544633873682971E-2</v>
      </c>
      <c r="V276" s="61">
        <f>IFERROR(_xll.qlBachelierBlackFormulaImpliedVol(IF(O276&lt;$C$4,"Put","Call"),O276,$C$4,$C$7,P276),"")</f>
        <v>6.1677431404912149E-3</v>
      </c>
      <c r="W276" s="61">
        <f>IFERROR(_xll.qlBachelierBlackFormulaImpliedVol(IF(O276&lt;$C$4,"Put","Call"),O276,$C$4,$C$7,Q276),"")</f>
        <v>4.7810742728493557E-3</v>
      </c>
      <c r="X276" s="61">
        <f>IFERROR(_xll.qlBachelierBlackFormulaImpliedVol(IF(O276&lt;$C$4,"Put","Call"),O276,$C$4,$C$7,R276),"")</f>
        <v>3.1332853444928687E-3</v>
      </c>
      <c r="Y276" s="42"/>
    </row>
    <row r="277" spans="15:25">
      <c r="O277" s="37">
        <f t="shared" si="5"/>
        <v>1.7199999999999948E-2</v>
      </c>
      <c r="P277" s="38">
        <f>IFERROR(_xll.qlBlackFormula(IF(O277&lt;$C$4,"Put","Call"),O277,$C$4,$C$9*SQRT($C$7)),"")</f>
        <v>5.6760984532397819E-5</v>
      </c>
      <c r="Q277" s="39">
        <f>IFERROR(_xll.qlBlackFormula(IF(O277&lt;$C$4,"Put","Call"),O277,$C$4,$C$10*SQRT($C$7),,$C$11),"")</f>
        <v>8.3432112319488952E-6</v>
      </c>
      <c r="R277" s="40">
        <f>IFERROR(_xll.qlBachelierBlackFormula(IF(O277&lt;$C$4,"Put","Call"),O277,$C$4,$C$12*SQRT($C$7)),"")</f>
        <v>3.5681426865521027E-8</v>
      </c>
      <c r="S277" s="41">
        <f>IFERROR((_xll.qlBlackFormula(IF(O277&lt;$C$4,"Put","Call"),O277+$C$14,$C$4,$C$9*SQRT($C$7))-
2*_xll.qlBlackFormula(IF(O277&lt;$C$4,"Put","Call"),O277,$C$4,$C$9*SQRT($C$7))+
_xll.qlBlackFormula(IF(O277&lt;$C$4,"Put","Call"),O277-$C$14,$C$4,$C$9*SQRT($C$7)))/$C$14^2,"")</f>
        <v>2.8483458809885205</v>
      </c>
      <c r="T277" s="42">
        <f>IFERROR((_xll.qlBlackFormula(IF(O277&lt;$C$4,"Put","Call"),O277+$C$14,$C$4,$C$10*SQRT($C$7),,$C$11)-
2*_xll.qlBlackFormula(IF(O277&lt;$C$4,"Put","Call"),O277,$C$4,$C$10*SQRT($C$7),,$C$11)+
_xll.qlBlackFormula(IF(O277&lt;$C$4,"Put","Call"),O277-$C$14,$C$4,$C$10*SQRT($C$7),,$C$11))/$C$14^2,"")</f>
        <v>1.5239987142265723</v>
      </c>
      <c r="U277" s="43">
        <f>IFERROR((_xll.qlBachelierBlackFormula(IF(O277&lt;$C$4,"Put","Call"),O277+$C$14,$C$4,$C$12*SQRT($C$7))-
2*_xll.qlBachelierBlackFormula(IF(O277&lt;$C$4,"Put","Call"),O277,$C$4,$C$12*SQRT($C$7))+
_xll.qlBachelierBlackFormula(IF(O277&lt;$C$4,"Put","Call"),O277-$C$14,$C$4,$C$12*SQRT($C$7)))/$C$14^2,"")</f>
        <v>6.4983358367714156E-2</v>
      </c>
      <c r="V277" s="61">
        <f>IFERROR(_xll.qlBachelierBlackFormulaImpliedVol(IF(O277&lt;$C$4,"Put","Call"),O277,$C$4,$C$7,P277),"")</f>
        <v>6.1893782211768231E-3</v>
      </c>
      <c r="W277" s="61">
        <f>IFERROR(_xll.qlBachelierBlackFormulaImpliedVol(IF(O277&lt;$C$4,"Put","Call"),O277,$C$4,$C$7,Q277),"")</f>
        <v>4.7932991420102065E-3</v>
      </c>
      <c r="X277" s="61">
        <f>IFERROR(_xll.qlBachelierBlackFormulaImpliedVol(IF(O277&lt;$C$4,"Put","Call"),O277,$C$4,$C$7,R277),"")</f>
        <v>3.133285344707228E-3</v>
      </c>
      <c r="Y277" s="42"/>
    </row>
    <row r="278" spans="15:25">
      <c r="O278" s="37">
        <f t="shared" si="5"/>
        <v>1.7299999999999947E-2</v>
      </c>
      <c r="P278" s="38">
        <f>IFERROR(_xll.qlBlackFormula(IF(O278&lt;$C$4,"Put","Call"),O278,$C$4,$C$9*SQRT($C$7)),"")</f>
        <v>5.5575656043595407E-5</v>
      </c>
      <c r="Q278" s="39">
        <f>IFERROR(_xll.qlBlackFormula(IF(O278&lt;$C$4,"Put","Call"),O278,$C$4,$C$10*SQRT($C$7),,$C$11),"")</f>
        <v>7.9957329014172698E-6</v>
      </c>
      <c r="R278" s="40">
        <f>IFERROR(_xll.qlBachelierBlackFormula(IF(O278&lt;$C$4,"Put","Call"),O278,$C$4,$C$12*SQRT($C$7)),"")</f>
        <v>3.1056455039637879E-8</v>
      </c>
      <c r="S278" s="41">
        <f>IFERROR((_xll.qlBlackFormula(IF(O278&lt;$C$4,"Put","Call"),O278+$C$14,$C$4,$C$9*SQRT($C$7))-
2*_xll.qlBlackFormula(IF(O278&lt;$C$4,"Put","Call"),O278,$C$4,$C$9*SQRT($C$7))+
_xll.qlBlackFormula(IF(O278&lt;$C$4,"Put","Call"),O278-$C$14,$C$4,$C$9*SQRT($C$7)))/$C$14^2,"")</f>
        <v>2.7742100879978722</v>
      </c>
      <c r="T278" s="42">
        <f>IFERROR((_xll.qlBlackFormula(IF(O278&lt;$C$4,"Put","Call"),O278+$C$14,$C$4,$C$10*SQRT($C$7),,$C$11)-
2*_xll.qlBlackFormula(IF(O278&lt;$C$4,"Put","Call"),O278,$C$4,$C$10*SQRT($C$7),,$C$11)+
_xll.qlBlackFormula(IF(O278&lt;$C$4,"Put","Call"),O278-$C$14,$C$4,$C$10*SQRT($C$7),,$C$11))/$C$14^2,"")</f>
        <v>1.4597770420839846</v>
      </c>
      <c r="U278" s="43">
        <f>IFERROR((_xll.qlBachelierBlackFormula(IF(O278&lt;$C$4,"Put","Call"),O278+$C$14,$C$4,$C$12*SQRT($C$7))-
2*_xll.qlBachelierBlackFormula(IF(O278&lt;$C$4,"Put","Call"),O278,$C$4,$C$12*SQRT($C$7))+
_xll.qlBachelierBlackFormula(IF(O278&lt;$C$4,"Put","Call"),O278-$C$14,$C$4,$C$12*SQRT($C$7)))/$C$14^2,"")</f>
        <v>5.7360305258518665E-2</v>
      </c>
      <c r="V278" s="61">
        <f>IFERROR(_xll.qlBachelierBlackFormulaImpliedVol(IF(O278&lt;$C$4,"Put","Call"),O278,$C$4,$C$7,P278),"")</f>
        <v>6.2109793526744193E-3</v>
      </c>
      <c r="W278" s="61">
        <f>IFERROR(_xll.qlBachelierBlackFormulaImpliedVol(IF(O278&lt;$C$4,"Put","Call"),O278,$C$4,$C$7,Q278),"")</f>
        <v>4.8055079775087099E-3</v>
      </c>
      <c r="X278" s="61">
        <f>IFERROR(_xll.qlBachelierBlackFormulaImpliedVol(IF(O278&lt;$C$4,"Put","Call"),O278,$C$4,$C$7,R278),"")</f>
        <v>3.13328534490345E-3</v>
      </c>
      <c r="Y278" s="42"/>
    </row>
    <row r="279" spans="15:25">
      <c r="O279" s="37">
        <f t="shared" si="5"/>
        <v>1.7399999999999947E-2</v>
      </c>
      <c r="P279" s="38">
        <f>IFERROR(_xll.qlBlackFormula(IF(O279&lt;$C$4,"Put","Call"),O279,$C$4,$C$9*SQRT($C$7)),"")</f>
        <v>5.4418071425391324E-5</v>
      </c>
      <c r="Q279" s="39">
        <f>IFERROR(_xll.qlBlackFormula(IF(O279&lt;$C$4,"Put","Call"),O279,$C$4,$C$10*SQRT($C$7),,$C$11),"")</f>
        <v>7.6628545867450876E-6</v>
      </c>
      <c r="R279" s="40">
        <f>IFERROR(_xll.qlBachelierBlackFormula(IF(O279&lt;$C$4,"Put","Call"),O279,$C$4,$C$12*SQRT($C$7)),"")</f>
        <v>2.7005788702158545E-8</v>
      </c>
      <c r="S279" s="41">
        <f>IFERROR((_xll.qlBlackFormula(IF(O279&lt;$C$4,"Put","Call"),O279+$C$14,$C$4,$C$9*SQRT($C$7))-
2*_xll.qlBlackFormula(IF(O279&lt;$C$4,"Put","Call"),O279,$C$4,$C$9*SQRT($C$7))+
_xll.qlBlackFormula(IF(O279&lt;$C$4,"Put","Call"),O279-$C$14,$C$4,$C$9*SQRT($C$7)))/$C$14^2,"")</f>
        <v>2.7021930971028034</v>
      </c>
      <c r="T279" s="42">
        <f>IFERROR((_xll.qlBlackFormula(IF(O279&lt;$C$4,"Put","Call"),O279+$C$14,$C$4,$C$10*SQRT($C$7),,$C$11)-
2*_xll.qlBlackFormula(IF(O279&lt;$C$4,"Put","Call"),O279,$C$4,$C$10*SQRT($C$7),,$C$11)+
_xll.qlBlackFormula(IF(O279&lt;$C$4,"Put","Call"),O279-$C$14,$C$4,$C$10*SQRT($C$7),,$C$11))/$C$14^2,"")</f>
        <v>1.398247159332608</v>
      </c>
      <c r="U279" s="43">
        <f>IFERROR((_xll.qlBachelierBlackFormula(IF(O279&lt;$C$4,"Put","Call"),O279+$C$14,$C$4,$C$12*SQRT($C$7))-
2*_xll.qlBachelierBlackFormula(IF(O279&lt;$C$4,"Put","Call"),O279,$C$4,$C$12*SQRT($C$7))+
_xll.qlBachelierBlackFormula(IF(O279&lt;$C$4,"Put","Call"),O279-$C$14,$C$4,$C$12*SQRT($C$7)))/$C$14^2,"")</f>
        <v>5.0580690765205362E-2</v>
      </c>
      <c r="V279" s="61">
        <f>IFERROR(_xll.qlBachelierBlackFormulaImpliedVol(IF(O279&lt;$C$4,"Put","Call"),O279,$C$4,$C$7,P279),"")</f>
        <v>6.2325468169686067E-3</v>
      </c>
      <c r="W279" s="61">
        <f>IFERROR(_xll.qlBachelierBlackFormulaImpliedVol(IF(O279&lt;$C$4,"Put","Call"),O279,$C$4,$C$7,Q279),"")</f>
        <v>4.8177008842249201E-3</v>
      </c>
      <c r="X279" s="61">
        <f>IFERROR(_xll.qlBachelierBlackFormulaImpliedVol(IF(O279&lt;$C$4,"Put","Call"),O279,$C$4,$C$7,R279),"")</f>
        <v>3.1332853450849922E-3</v>
      </c>
      <c r="Y279" s="42"/>
    </row>
    <row r="280" spans="15:25">
      <c r="O280" s="37">
        <f t="shared" si="5"/>
        <v>1.7499999999999946E-2</v>
      </c>
      <c r="P280" s="38">
        <f>IFERROR(_xll.qlBlackFormula(IF(O280&lt;$C$4,"Put","Call"),O280,$C$4,$C$9*SQRT($C$7)),"")</f>
        <v>5.3287510448633889E-5</v>
      </c>
      <c r="Q280" s="39">
        <f>IFERROR(_xll.qlBlackFormula(IF(O280&lt;$C$4,"Put","Call"),O280,$C$4,$C$10*SQRT($C$7),,$C$11),"")</f>
        <v>7.3439609047115949E-6</v>
      </c>
      <c r="R280" s="40">
        <f>IFERROR(_xll.qlBachelierBlackFormula(IF(O280&lt;$C$4,"Put","Call"),O280,$C$4,$C$12*SQRT($C$7)),"")</f>
        <v>2.3461552686745665E-8</v>
      </c>
      <c r="S280" s="41">
        <f>IFERROR((_xll.qlBlackFormula(IF(O280&lt;$C$4,"Put","Call"),O280+$C$14,$C$4,$C$9*SQRT($C$7))-
2*_xll.qlBlackFormula(IF(O280&lt;$C$4,"Put","Call"),O280,$C$4,$C$9*SQRT($C$7))+
_xll.qlBlackFormula(IF(O280&lt;$C$4,"Put","Call"),O280-$C$14,$C$4,$C$9*SQRT($C$7)))/$C$14^2,"")</f>
        <v>2.6322271456675344</v>
      </c>
      <c r="T280" s="42">
        <f>IFERROR((_xll.qlBlackFormula(IF(O280&lt;$C$4,"Put","Call"),O280+$C$14,$C$4,$C$10*SQRT($C$7),,$C$11)-
2*_xll.qlBlackFormula(IF(O280&lt;$C$4,"Put","Call"),O280,$C$4,$C$10*SQRT($C$7),,$C$11)+
_xll.qlBlackFormula(IF(O280&lt;$C$4,"Put","Call"),O280-$C$14,$C$4,$C$10*SQRT($C$7),,$C$11))/$C$14^2,"")</f>
        <v>1.3392998054985104</v>
      </c>
      <c r="U280" s="43">
        <f>IFERROR((_xll.qlBachelierBlackFormula(IF(O280&lt;$C$4,"Put","Call"),O280+$C$14,$C$4,$C$12*SQRT($C$7))-
2*_xll.qlBachelierBlackFormula(IF(O280&lt;$C$4,"Put","Call"),O280,$C$4,$C$12*SQRT($C$7))+
_xll.qlBachelierBlackFormula(IF(O280&lt;$C$4,"Put","Call"),O280-$C$14,$C$4,$C$12*SQRT($C$7)))/$C$14^2,"")</f>
        <v>4.4555214427606717E-2</v>
      </c>
      <c r="V280" s="61">
        <f>IFERROR(_xll.qlBachelierBlackFormulaImpliedVol(IF(O280&lt;$C$4,"Put","Call"),O280,$C$4,$C$7,P280),"")</f>
        <v>6.2540808920427925E-3</v>
      </c>
      <c r="W280" s="61">
        <f>IFERROR(_xll.qlBachelierBlackFormulaImpliedVol(IF(O280&lt;$C$4,"Put","Call"),O280,$C$4,$C$7,Q280),"")</f>
        <v>4.8298779658724825E-3</v>
      </c>
      <c r="X280" s="61">
        <f>IFERROR(_xll.qlBachelierBlackFormulaImpliedVol(IF(O280&lt;$C$4,"Put","Call"),O280,$C$4,$C$7,R280),"")</f>
        <v>3.1332853452385721E-3</v>
      </c>
      <c r="Y280" s="42"/>
    </row>
    <row r="281" spans="15:25">
      <c r="O281" s="37">
        <f t="shared" si="5"/>
        <v>1.7599999999999946E-2</v>
      </c>
      <c r="P281" s="38">
        <f>IFERROR(_xll.qlBlackFormula(IF(O281&lt;$C$4,"Put","Call"),O281,$C$4,$C$9*SQRT($C$7)),"")</f>
        <v>5.2183273414336227E-5</v>
      </c>
      <c r="Q281" s="39">
        <f>IFERROR(_xll.qlBlackFormula(IF(O281&lt;$C$4,"Put","Call"),O281,$C$4,$C$10*SQRT($C$7),,$C$11),"")</f>
        <v>7.0384622885595746E-6</v>
      </c>
      <c r="R281" s="40">
        <f>IFERROR(_xll.qlBachelierBlackFormula(IF(O281&lt;$C$4,"Put","Call"),O281,$C$4,$C$12*SQRT($C$7)),"")</f>
        <v>2.0363439183688716E-8</v>
      </c>
      <c r="S281" s="41">
        <f>IFERROR((_xll.qlBlackFormula(IF(O281&lt;$C$4,"Put","Call"),O281+$C$14,$C$4,$C$9*SQRT($C$7))-
2*_xll.qlBlackFormula(IF(O281&lt;$C$4,"Put","Call"),O281,$C$4,$C$9*SQRT($C$7))+
_xll.qlBlackFormula(IF(O281&lt;$C$4,"Put","Call"),O281-$C$14,$C$4,$C$9*SQRT($C$7)))/$C$14^2,"")</f>
        <v>2.5642537138798049</v>
      </c>
      <c r="T281" s="42">
        <f>IFERROR((_xll.qlBlackFormula(IF(O281&lt;$C$4,"Put","Call"),O281+$C$14,$C$4,$C$10*SQRT($C$7),,$C$11)-
2*_xll.qlBlackFormula(IF(O281&lt;$C$4,"Put","Call"),O281,$C$4,$C$10*SQRT($C$7),,$C$11)+
_xll.qlBlackFormula(IF(O281&lt;$C$4,"Put","Call"),O281-$C$14,$C$4,$C$10*SQRT($C$7),,$C$11))/$C$14^2,"")</f>
        <v>1.2828271024655293</v>
      </c>
      <c r="U281" s="43">
        <f>IFERROR((_xll.qlBachelierBlackFormula(IF(O281&lt;$C$4,"Put","Call"),O281+$C$14,$C$4,$C$12*SQRT($C$7))-
2*_xll.qlBachelierBlackFormula(IF(O281&lt;$C$4,"Put","Call"),O281,$C$4,$C$12*SQRT($C$7))+
_xll.qlBachelierBlackFormula(IF(O281&lt;$C$4,"Put","Call"),O281-$C$14,$C$4,$C$12*SQRT($C$7)))/$C$14^2,"")</f>
        <v>3.9208783333877277E-2</v>
      </c>
      <c r="V281" s="61">
        <f>IFERROR(_xll.qlBachelierBlackFormulaImpliedVol(IF(O281&lt;$C$4,"Put","Call"),O281,$C$4,$C$7,P281),"")</f>
        <v>6.2755818519589076E-3</v>
      </c>
      <c r="W281" s="61">
        <f>IFERROR(_xll.qlBachelierBlackFormulaImpliedVol(IF(O281&lt;$C$4,"Put","Call"),O281,$C$4,$C$7,Q281),"")</f>
        <v>4.8420393250169173E-3</v>
      </c>
      <c r="X281" s="61">
        <f>IFERROR(_xll.qlBachelierBlackFormulaImpliedVol(IF(O281&lt;$C$4,"Put","Call"),O281,$C$4,$C$7,R281),"")</f>
        <v>3.1332853453591002E-3</v>
      </c>
      <c r="Y281" s="42"/>
    </row>
    <row r="282" spans="15:25">
      <c r="O282" s="37">
        <f t="shared" si="5"/>
        <v>1.7699999999999945E-2</v>
      </c>
      <c r="P282" s="38">
        <f>IFERROR(_xll.qlBlackFormula(IF(O282&lt;$C$4,"Put","Call"),O282,$C$4,$C$9*SQRT($C$7)),"")</f>
        <v>5.1104680517387942E-5</v>
      </c>
      <c r="Q282" s="39">
        <f>IFERROR(_xll.qlBlackFormula(IF(O282&lt;$C$4,"Put","Call"),O282,$C$4,$C$10*SQRT($C$7),,$C$11),"")</f>
        <v>6.7457939225440845E-6</v>
      </c>
      <c r="R282" s="40">
        <f>IFERROR(_xll.qlBachelierBlackFormula(IF(O282&lt;$C$4,"Put","Call"),O282,$C$4,$C$12*SQRT($C$7)),"")</f>
        <v>1.7657922056307514E-8</v>
      </c>
      <c r="S282" s="41">
        <f>IFERROR((_xll.qlBlackFormula(IF(O282&lt;$C$4,"Put","Call"),O282+$C$14,$C$4,$C$9*SQRT($C$7))-
2*_xll.qlBlackFormula(IF(O282&lt;$C$4,"Put","Call"),O282,$C$4,$C$9*SQRT($C$7))+
_xll.qlBlackFormula(IF(O282&lt;$C$4,"Put","Call"),O282-$C$14,$C$4,$C$9*SQRT($C$7)))/$C$14^2,"")</f>
        <v>2.4982059877807354</v>
      </c>
      <c r="T282" s="42">
        <f>IFERROR((_xll.qlBlackFormula(IF(O282&lt;$C$4,"Put","Call"),O282+$C$14,$C$4,$C$10*SQRT($C$7),,$C$11)-
2*_xll.qlBlackFormula(IF(O282&lt;$C$4,"Put","Call"),O282,$C$4,$C$10*SQRT($C$7),,$C$11)+
_xll.qlBlackFormula(IF(O282&lt;$C$4,"Put","Call"),O282-$C$14,$C$4,$C$10*SQRT($C$7),,$C$11))/$C$14^2,"")</f>
        <v>1.2287260103696975</v>
      </c>
      <c r="U282" s="43">
        <f>IFERROR((_xll.qlBachelierBlackFormula(IF(O282&lt;$C$4,"Put","Call"),O282+$C$14,$C$4,$C$12*SQRT($C$7))-
2*_xll.qlBachelierBlackFormula(IF(O282&lt;$C$4,"Put","Call"),O282,$C$4,$C$12*SQRT($C$7))+
_xll.qlBachelierBlackFormula(IF(O282&lt;$C$4,"Put","Call"),O282-$C$14,$C$4,$C$12*SQRT($C$7)))/$C$14^2,"")</f>
        <v>3.4469473110669051E-2</v>
      </c>
      <c r="V282" s="61">
        <f>IFERROR(_xll.qlBachelierBlackFormulaImpliedVol(IF(O282&lt;$C$4,"Put","Call"),O282,$C$4,$C$7,P282),"")</f>
        <v>6.2970499669351308E-3</v>
      </c>
      <c r="W282" s="61">
        <f>IFERROR(_xll.qlBachelierBlackFormulaImpliedVol(IF(O282&lt;$C$4,"Put","Call"),O282,$C$4,$C$7,Q282),"")</f>
        <v>4.8541850630933027E-3</v>
      </c>
      <c r="X282" s="61">
        <f>IFERROR(_xll.qlBachelierBlackFormulaImpliedVol(IF(O282&lt;$C$4,"Put","Call"),O282,$C$4,$C$7,R282),"")</f>
        <v>3.1332853454459318E-3</v>
      </c>
      <c r="Y282" s="42"/>
    </row>
    <row r="283" spans="15:25">
      <c r="O283" s="37">
        <f t="shared" si="5"/>
        <v>1.7799999999999944E-2</v>
      </c>
      <c r="P283" s="38">
        <f>IFERROR(_xll.qlBlackFormula(IF(O283&lt;$C$4,"Put","Call"),O283,$C$4,$C$9*SQRT($C$7)),"")</f>
        <v>5.0051071231479685E-5</v>
      </c>
      <c r="Q283" s="39">
        <f>IFERROR(_xll.qlBlackFormula(IF(O283&lt;$C$4,"Put","Call"),O283,$C$4,$C$10*SQRT($C$7),,$C$11),"")</f>
        <v>6.4654147189069887E-6</v>
      </c>
      <c r="R283" s="40">
        <f>IFERROR(_xll.qlBachelierBlackFormula(IF(O283&lt;$C$4,"Put","Call"),O283,$C$4,$C$12*SQRT($C$7)),"")</f>
        <v>1.5297545599854095E-8</v>
      </c>
      <c r="S283" s="41">
        <f>IFERROR((_xll.qlBlackFormula(IF(O283&lt;$C$4,"Put","Call"),O283+$C$14,$C$4,$C$9*SQRT($C$7))-
2*_xll.qlBlackFormula(IF(O283&lt;$C$4,"Put","Call"),O283,$C$4,$C$9*SQRT($C$7))+
_xll.qlBlackFormula(IF(O283&lt;$C$4,"Put","Call"),O283-$C$14,$C$4,$C$9*SQRT($C$7)))/$C$14^2,"")</f>
        <v>2.4340263420248589</v>
      </c>
      <c r="T283" s="42">
        <f>IFERROR((_xll.qlBlackFormula(IF(O283&lt;$C$4,"Put","Call"),O283+$C$14,$C$4,$C$10*SQRT($C$7),,$C$11)-
2*_xll.qlBlackFormula(IF(O283&lt;$C$4,"Put","Call"),O283,$C$4,$C$10*SQRT($C$7),,$C$11)+
_xll.qlBlackFormula(IF(O283&lt;$C$4,"Put","Call"),O283-$C$14,$C$4,$C$10*SQRT($C$7),,$C$11))/$C$14^2,"")</f>
        <v>1.1769000487701908</v>
      </c>
      <c r="U283" s="43">
        <f>IFERROR((_xll.qlBachelierBlackFormula(IF(O283&lt;$C$4,"Put","Call"),O283+$C$14,$C$4,$C$12*SQRT($C$7))-
2*_xll.qlBachelierBlackFormula(IF(O283&lt;$C$4,"Put","Call"),O283,$C$4,$C$12*SQRT($C$7))+
_xll.qlBachelierBlackFormula(IF(O283&lt;$C$4,"Put","Call"),O283-$C$14,$C$4,$C$12*SQRT($C$7)))/$C$14^2,"")</f>
        <v>3.0270740584947935E-2</v>
      </c>
      <c r="V283" s="61">
        <f>IFERROR(_xll.qlBachelierBlackFormulaImpliedVol(IF(O283&lt;$C$4,"Put","Call"),O283,$C$4,$C$7,P283),"")</f>
        <v>6.318485503421567E-3</v>
      </c>
      <c r="W283" s="61">
        <f>IFERROR(_xll.qlBachelierBlackFormulaImpliedVol(IF(O283&lt;$C$4,"Put","Call"),O283,$C$4,$C$7,Q283),"")</f>
        <v>4.8663152804239492E-3</v>
      </c>
      <c r="X283" s="61">
        <f>IFERROR(_xll.qlBachelierBlackFormulaImpliedVol(IF(O283&lt;$C$4,"Put","Call"),O283,$C$4,$C$7,R283),"")</f>
        <v>3.133285345509202E-3</v>
      </c>
      <c r="Y283" s="42"/>
    </row>
    <row r="284" spans="15:25">
      <c r="O284" s="37">
        <f t="shared" si="5"/>
        <v>1.7899999999999944E-2</v>
      </c>
      <c r="P284" s="38">
        <f>IFERROR(_xll.qlBlackFormula(IF(O284&lt;$C$4,"Put","Call"),O284,$C$4,$C$9*SQRT($C$7)),"")</f>
        <v>4.9021803714513593E-5</v>
      </c>
      <c r="Q284" s="39">
        <f>IFERROR(_xll.qlBlackFormula(IF(O284&lt;$C$4,"Put","Call"),O284,$C$4,$C$10*SQRT($C$7),,$C$11),"")</f>
        <v>6.1968063357212692E-6</v>
      </c>
      <c r="R284" s="40">
        <f>IFERROR(_xll.qlBachelierBlackFormula(IF(O284&lt;$C$4,"Put","Call"),O284,$C$4,$C$12*SQRT($C$7)),"")</f>
        <v>1.3240281538374027E-8</v>
      </c>
      <c r="S284" s="41">
        <f>IFERROR((_xll.qlBlackFormula(IF(O284&lt;$C$4,"Put","Call"),O284+$C$14,$C$4,$C$9*SQRT($C$7))-
2*_xll.qlBlackFormula(IF(O284&lt;$C$4,"Put","Call"),O284,$C$4,$C$9*SQRT($C$7))+
_xll.qlBlackFormula(IF(O284&lt;$C$4,"Put","Call"),O284-$C$14,$C$4,$C$9*SQRT($C$7)))/$C$14^2,"")</f>
        <v>2.3716563381150775</v>
      </c>
      <c r="T284" s="42">
        <f>IFERROR((_xll.qlBlackFormula(IF(O284&lt;$C$4,"Put","Call"),O284+$C$14,$C$4,$C$10*SQRT($C$7),,$C$11)-
2*_xll.qlBlackFormula(IF(O284&lt;$C$4,"Put","Call"),O284,$C$4,$C$10*SQRT($C$7),,$C$11)+
_xll.qlBlackFormula(IF(O284&lt;$C$4,"Put","Call"),O284-$C$14,$C$4,$C$10*SQRT($C$7),,$C$11))/$C$14^2,"")</f>
        <v>1.1272529066327746</v>
      </c>
      <c r="U284" s="43">
        <f>IFERROR((_xll.qlBachelierBlackFormula(IF(O284&lt;$C$4,"Put","Call"),O284+$C$14,$C$4,$C$12*SQRT($C$7))-
2*_xll.qlBachelierBlackFormula(IF(O284&lt;$C$4,"Put","Call"),O284,$C$4,$C$12*SQRT($C$7))+
_xll.qlBachelierBlackFormula(IF(O284&lt;$C$4,"Put","Call"),O284-$C$14,$C$4,$C$12*SQRT($C$7)))/$C$14^2,"")</f>
        <v>2.6557645293930891E-2</v>
      </c>
      <c r="V284" s="61">
        <f>IFERROR(_xll.qlBachelierBlackFormulaImpliedVol(IF(O284&lt;$C$4,"Put","Call"),O284,$C$4,$C$7,P284),"")</f>
        <v>6.339888724174121E-3</v>
      </c>
      <c r="W284" s="61">
        <f>IFERROR(_xll.qlBachelierBlackFormulaImpliedVol(IF(O284&lt;$C$4,"Put","Call"),O284,$C$4,$C$7,Q284),"")</f>
        <v>4.8784300762351566E-3</v>
      </c>
      <c r="X284" s="61">
        <f>IFERROR(_xll.qlBachelierBlackFormulaImpliedVol(IF(O284&lt;$C$4,"Put","Call"),O284,$C$4,$C$7,R284),"")</f>
        <v>3.1332853455276919E-3</v>
      </c>
      <c r="Y284" s="42"/>
    </row>
    <row r="285" spans="15:25">
      <c r="O285" s="37">
        <f t="shared" si="5"/>
        <v>1.7999999999999943E-2</v>
      </c>
      <c r="P285" s="38">
        <f>IFERROR(_xll.qlBlackFormula(IF(O285&lt;$C$4,"Put","Call"),O285,$C$4,$C$9*SQRT($C$7)),"")</f>
        <v>4.8016254233752468E-5</v>
      </c>
      <c r="Q285" s="39">
        <f>IFERROR(_xll.qlBlackFormula(IF(O285&lt;$C$4,"Put","Call"),O285,$C$4,$C$10*SQRT($C$7),,$C$11),"")</f>
        <v>5.9394722340697383E-6</v>
      </c>
      <c r="R285" s="40">
        <f>IFERROR(_xll.qlBachelierBlackFormula(IF(O285&lt;$C$4,"Put","Call"),O285,$C$4,$C$12*SQRT($C$7)),"")</f>
        <v>1.1448948474520571E-8</v>
      </c>
      <c r="S285" s="41">
        <f>IFERROR((_xll.qlBlackFormula(IF(O285&lt;$C$4,"Put","Call"),O285+$C$14,$C$4,$C$9*SQRT($C$7))-
2*_xll.qlBlackFormula(IF(O285&lt;$C$4,"Put","Call"),O285,$C$4,$C$9*SQRT($C$7))+
_xll.qlBlackFormula(IF(O285&lt;$C$4,"Put","Call"),O285-$C$14,$C$4,$C$9*SQRT($C$7)))/$C$14^2,"")</f>
        <v>2.3110445848684158</v>
      </c>
      <c r="T285" s="42">
        <f>IFERROR((_xll.qlBlackFormula(IF(O285&lt;$C$4,"Put","Call"),O285+$C$14,$C$4,$C$10*SQRT($C$7),,$C$11)-
2*_xll.qlBlackFormula(IF(O285&lt;$C$4,"Put","Call"),O285,$C$4,$C$10*SQRT($C$7),,$C$11)+
_xll.qlBlackFormula(IF(O285&lt;$C$4,"Put","Call"),O285-$C$14,$C$4,$C$10*SQRT($C$7),,$C$11))/$C$14^2,"")</f>
        <v>1.079696350229399</v>
      </c>
      <c r="U285" s="43">
        <f>IFERROR((_xll.qlBachelierBlackFormula(IF(O285&lt;$C$4,"Put","Call"),O285+$C$14,$C$4,$C$12*SQRT($C$7))-
2*_xll.qlBachelierBlackFormula(IF(O285&lt;$C$4,"Put","Call"),O285,$C$4,$C$12*SQRT($C$7))+
_xll.qlBachelierBlackFormula(IF(O285&lt;$C$4,"Put","Call"),O285-$C$14,$C$4,$C$12*SQRT($C$7)))/$C$14^2,"")</f>
        <v>2.3274878156684137E-2</v>
      </c>
      <c r="V285" s="61">
        <f>IFERROR(_xll.qlBachelierBlackFormulaImpliedVol(IF(O285&lt;$C$4,"Put","Call"),O285,$C$4,$C$7,P285),"")</f>
        <v>6.3612598883263033E-3</v>
      </c>
      <c r="W285" s="61">
        <f>IFERROR(_xll.qlBachelierBlackFormulaImpliedVol(IF(O285&lt;$C$4,"Put","Call"),O285,$C$4,$C$7,Q285),"")</f>
        <v>4.8905295486743779E-3</v>
      </c>
      <c r="X285" s="61">
        <f>IFERROR(_xll.qlBachelierBlackFormulaImpliedVol(IF(O285&lt;$C$4,"Put","Call"),O285,$C$4,$C$7,R285),"")</f>
        <v>3.133285345502224E-3</v>
      </c>
      <c r="Y285" s="42"/>
    </row>
    <row r="286" spans="15:25">
      <c r="O286" s="37">
        <f t="shared" si="5"/>
        <v>1.8099999999999943E-2</v>
      </c>
      <c r="P286" s="38">
        <f>IFERROR(_xll.qlBlackFormula(IF(O286&lt;$C$4,"Put","Call"),O286,$C$4,$C$9*SQRT($C$7)),"")</f>
        <v>4.7033816610027925E-5</v>
      </c>
      <c r="Q286" s="39">
        <f>IFERROR(_xll.qlBlackFormula(IF(O286&lt;$C$4,"Put","Call"),O286,$C$4,$C$10*SQRT($C$7),,$C$11),"")</f>
        <v>5.6929367730945192E-6</v>
      </c>
      <c r="R286" s="40">
        <f>IFERROR(_xll.qlBachelierBlackFormula(IF(O286&lt;$C$4,"Put","Call"),O286,$C$4,$C$12*SQRT($C$7)),"")</f>
        <v>9.8906883927178516E-9</v>
      </c>
      <c r="S286" s="41">
        <f>IFERROR((_xll.qlBlackFormula(IF(O286&lt;$C$4,"Put","Call"),O286+$C$14,$C$4,$C$9*SQRT($C$7))-
2*_xll.qlBlackFormula(IF(O286&lt;$C$4,"Put","Call"),O286,$C$4,$C$9*SQRT($C$7))+
_xll.qlBlackFormula(IF(O286&lt;$C$4,"Put","Call"),O286-$C$14,$C$4,$C$9*SQRT($C$7)))/$C$14^2,"")</f>
        <v>2.2521331587838089</v>
      </c>
      <c r="T286" s="42">
        <f>IFERROR((_xll.qlBlackFormula(IF(O286&lt;$C$4,"Put","Call"),O286+$C$14,$C$4,$C$10*SQRT($C$7),,$C$11)-
2*_xll.qlBlackFormula(IF(O286&lt;$C$4,"Put","Call"),O286,$C$4,$C$10*SQRT($C$7),,$C$11)+
_xll.qlBlackFormula(IF(O286&lt;$C$4,"Put","Call"),O286-$C$14,$C$4,$C$10*SQRT($C$7),,$C$11))/$C$14^2,"")</f>
        <v>1.0341425591840931</v>
      </c>
      <c r="U286" s="43">
        <f>IFERROR((_xll.qlBachelierBlackFormula(IF(O286&lt;$C$4,"Put","Call"),O286+$C$14,$C$4,$C$12*SQRT($C$7))-
2*_xll.qlBachelierBlackFormula(IF(O286&lt;$C$4,"Put","Call"),O286,$C$4,$C$12*SQRT($C$7))+
_xll.qlBachelierBlackFormula(IF(O286&lt;$C$4,"Put","Call"),O286-$C$14,$C$4,$C$12*SQRT($C$7)))/$C$14^2,"")</f>
        <v>2.0377826186103808E-2</v>
      </c>
      <c r="V286" s="61">
        <f>IFERROR(_xll.qlBachelierBlackFormulaImpliedVol(IF(O286&lt;$C$4,"Put","Call"),O286,$C$4,$C$7,P286),"")</f>
        <v>6.382599251459572E-3</v>
      </c>
      <c r="W286" s="61">
        <f>IFERROR(_xll.qlBachelierBlackFormulaImpliedVol(IF(O286&lt;$C$4,"Put","Call"),O286,$C$4,$C$7,Q286),"")</f>
        <v>4.9026137948267635E-3</v>
      </c>
      <c r="X286" s="61">
        <f>IFERROR(_xll.qlBachelierBlackFormulaImpliedVol(IF(O286&lt;$C$4,"Put","Call"),O286,$C$4,$C$7,R286),"")</f>
        <v>3.1332853454408604E-3</v>
      </c>
      <c r="Y286" s="42"/>
    </row>
    <row r="287" spans="15:25">
      <c r="O287" s="37">
        <f t="shared" si="5"/>
        <v>1.8199999999999942E-2</v>
      </c>
      <c r="P287" s="38">
        <f>IFERROR(_xll.qlBlackFormula(IF(O287&lt;$C$4,"Put","Call"),O287,$C$4,$C$9*SQRT($C$7)),"")</f>
        <v>4.6073901680313874E-5</v>
      </c>
      <c r="Q287" s="39">
        <f>IFERROR(_xll.qlBlackFormula(IF(O287&lt;$C$4,"Put","Call"),O287,$C$4,$C$10*SQRT($C$7),,$C$11),"")</f>
        <v>5.4567443414770553E-6</v>
      </c>
      <c r="R287" s="40">
        <f>IFERROR(_xll.qlBachelierBlackFormula(IF(O287&lt;$C$4,"Put","Call"),O287,$C$4,$C$12*SQRT($C$7)),"")</f>
        <v>8.5364952306646608E-9</v>
      </c>
      <c r="S287" s="41">
        <f>IFERROR((_xll.qlBlackFormula(IF(O287&lt;$C$4,"Put","Call"),O287+$C$14,$C$4,$C$9*SQRT($C$7))-
2*_xll.qlBlackFormula(IF(O287&lt;$C$4,"Put","Call"),O287,$C$4,$C$9*SQRT($C$7))+
_xll.qlBlackFormula(IF(O287&lt;$C$4,"Put","Call"),O287-$C$14,$C$4,$C$9*SQRT($C$7)))/$C$14^2,"")</f>
        <v>2.1948689610598593</v>
      </c>
      <c r="T287" s="42">
        <f>IFERROR((_xll.qlBlackFormula(IF(O287&lt;$C$4,"Put","Call"),O287+$C$14,$C$4,$C$10*SQRT($C$7),,$C$11)-
2*_xll.qlBlackFormula(IF(O287&lt;$C$4,"Put","Call"),O287,$C$4,$C$10*SQRT($C$7),,$C$11)+
_xll.qlBlackFormula(IF(O287&lt;$C$4,"Put","Call"),O287-$C$14,$C$4,$C$10*SQRT($C$7),,$C$11))/$C$14^2,"")</f>
        <v>0.99050759591991566</v>
      </c>
      <c r="U287" s="43">
        <f>IFERROR((_xll.qlBachelierBlackFormula(IF(O287&lt;$C$4,"Put","Call"),O287+$C$14,$C$4,$C$12*SQRT($C$7))-
2*_xll.qlBachelierBlackFormula(IF(O287&lt;$C$4,"Put","Call"),O287,$C$4,$C$12*SQRT($C$7))+
_xll.qlBachelierBlackFormula(IF(O287&lt;$C$4,"Put","Call"),O287-$C$14,$C$4,$C$12*SQRT($C$7)))/$C$14^2,"")</f>
        <v>1.7823935082194559E-2</v>
      </c>
      <c r="V287" s="61">
        <f>IFERROR(_xll.qlBachelierBlackFormulaImpliedVol(IF(O287&lt;$C$4,"Put","Call"),O287,$C$4,$C$7,P287),"")</f>
        <v>6.4039070656716031E-3</v>
      </c>
      <c r="W287" s="61">
        <f>IFERROR(_xll.qlBachelierBlackFormulaImpliedVol(IF(O287&lt;$C$4,"Put","Call"),O287,$C$4,$C$7,Q287),"")</f>
        <v>4.9146829107307305E-3</v>
      </c>
      <c r="X287" s="61">
        <f>IFERROR(_xll.qlBachelierBlackFormulaImpliedVol(IF(O287&lt;$C$4,"Put","Call"),O287,$C$4,$C$7,R287),"")</f>
        <v>3.1332853453320646E-3</v>
      </c>
      <c r="Y287" s="42"/>
    </row>
    <row r="288" spans="15:25">
      <c r="O288" s="37">
        <f t="shared" si="5"/>
        <v>1.8299999999999941E-2</v>
      </c>
      <c r="P288" s="38">
        <f>IFERROR(_xll.qlBlackFormula(IF(O288&lt;$C$4,"Put","Call"),O288,$C$4,$C$9*SQRT($C$7)),"")</f>
        <v>4.513593677803315E-5</v>
      </c>
      <c r="Q288" s="39">
        <f>IFERROR(_xll.qlBlackFormula(IF(O288&lt;$C$4,"Put","Call"),O288,$C$4,$C$10*SQRT($C$7),,$C$11),"")</f>
        <v>5.2304585239860079E-6</v>
      </c>
      <c r="R288" s="40">
        <f>IFERROR(_xll.qlBachelierBlackFormula(IF(O288&lt;$C$4,"Put","Call"),O288,$C$4,$C$12*SQRT($C$7)),"")</f>
        <v>7.3607908794913968E-9</v>
      </c>
      <c r="S288" s="41">
        <f>IFERROR((_xll.qlBlackFormula(IF(O288&lt;$C$4,"Put","Call"),O288+$C$14,$C$4,$C$9*SQRT($C$7))-
2*_xll.qlBlackFormula(IF(O288&lt;$C$4,"Put","Call"),O288,$C$4,$C$9*SQRT($C$7))+
_xll.qlBlackFormula(IF(O288&lt;$C$4,"Put","Call"),O288-$C$14,$C$4,$C$9*SQRT($C$7)))/$C$14^2,"")</f>
        <v>2.1392051270576613</v>
      </c>
      <c r="T288" s="42">
        <f>IFERROR((_xll.qlBlackFormula(IF(O288&lt;$C$4,"Put","Call"),O288+$C$14,$C$4,$C$10*SQRT($C$7),,$C$11)-
2*_xll.qlBlackFormula(IF(O288&lt;$C$4,"Put","Call"),O288,$C$4,$C$10*SQRT($C$7),,$C$11)+
_xll.qlBlackFormula(IF(O288&lt;$C$4,"Put","Call"),O288-$C$14,$C$4,$C$10*SQRT($C$7),,$C$11))/$C$14^2,"")</f>
        <v>0.94871292354199721</v>
      </c>
      <c r="U288" s="43">
        <f>IFERROR((_xll.qlBachelierBlackFormula(IF(O288&lt;$C$4,"Put","Call"),O288+$C$14,$C$4,$C$12*SQRT($C$7))-
2*_xll.qlBachelierBlackFormula(IF(O288&lt;$C$4,"Put","Call"),O288,$C$4,$C$12*SQRT($C$7))+
_xll.qlBachelierBlackFormula(IF(O288&lt;$C$4,"Put","Call"),O288-$C$14,$C$4,$C$12*SQRT($C$7)))/$C$14^2,"")</f>
        <v>1.557357418505761E-2</v>
      </c>
      <c r="V288" s="61">
        <f>IFERROR(_xll.qlBachelierBlackFormulaImpliedVol(IF(O288&lt;$C$4,"Put","Call"),O288,$C$4,$C$7,P288),"")</f>
        <v>6.4251835796430186E-3</v>
      </c>
      <c r="W288" s="61">
        <f>IFERROR(_xll.qlBachelierBlackFormulaImpliedVol(IF(O288&lt;$C$4,"Put","Call"),O288,$C$4,$C$7,Q288),"")</f>
        <v>4.9267369913942281E-3</v>
      </c>
      <c r="X288" s="61">
        <f>IFERROR(_xll.qlBachelierBlackFormulaImpliedVol(IF(O288&lt;$C$4,"Put","Call"),O288,$C$4,$C$7,R288),"")</f>
        <v>3.1332853452122182E-3</v>
      </c>
      <c r="Y288" s="42"/>
    </row>
    <row r="289" spans="15:25">
      <c r="O289" s="37">
        <f t="shared" si="5"/>
        <v>1.8399999999999941E-2</v>
      </c>
      <c r="P289" s="38">
        <f>IFERROR(_xll.qlBlackFormula(IF(O289&lt;$C$4,"Put","Call"),O289,$C$4,$C$9*SQRT($C$7)),"")</f>
        <v>4.4219365230472213E-5</v>
      </c>
      <c r="Q289" s="39">
        <f>IFERROR(_xll.qlBlackFormula(IF(O289&lt;$C$4,"Put","Call"),O289,$C$4,$C$10*SQRT($C$7),,$C$11),"")</f>
        <v>5.013661301746403E-6</v>
      </c>
      <c r="R289" s="40">
        <f>IFERROR(_xll.qlBachelierBlackFormula(IF(O289&lt;$C$4,"Put","Call"),O289,$C$4,$C$12*SQRT($C$7)),"")</f>
        <v>6.3410443221358061E-9</v>
      </c>
      <c r="S289" s="41">
        <f>IFERROR((_xll.qlBlackFormula(IF(O289&lt;$C$4,"Put","Call"),O289+$C$14,$C$4,$C$9*SQRT($C$7))-
2*_xll.qlBlackFormula(IF(O289&lt;$C$4,"Put","Call"),O289,$C$4,$C$9*SQRT($C$7))+
_xll.qlBlackFormula(IF(O289&lt;$C$4,"Put","Call"),O289-$C$14,$C$4,$C$9*SQRT($C$7)))/$C$14^2,"")</f>
        <v>2.085093491095702</v>
      </c>
      <c r="T289" s="42">
        <f>IFERROR((_xll.qlBlackFormula(IF(O289&lt;$C$4,"Put","Call"),O289+$C$14,$C$4,$C$10*SQRT($C$7),,$C$11)-
2*_xll.qlBlackFormula(IF(O289&lt;$C$4,"Put","Call"),O289,$C$4,$C$10*SQRT($C$7),,$C$11)+
_xll.qlBlackFormula(IF(O289&lt;$C$4,"Put","Call"),O289-$C$14,$C$4,$C$10*SQRT($C$7),,$C$11))/$C$14^2,"")</f>
        <v>0.90868104870005939</v>
      </c>
      <c r="U289" s="43">
        <f>IFERROR((_xll.qlBachelierBlackFormula(IF(O289&lt;$C$4,"Put","Call"),O289+$C$14,$C$4,$C$12*SQRT($C$7))-
2*_xll.qlBachelierBlackFormula(IF(O289&lt;$C$4,"Put","Call"),O289,$C$4,$C$12*SQRT($C$7))+
_xll.qlBachelierBlackFormula(IF(O289&lt;$C$4,"Put","Call"),O289-$C$14,$C$4,$C$12*SQRT($C$7)))/$C$14^2,"")</f>
        <v>1.3593486545964031E-2</v>
      </c>
      <c r="V289" s="61">
        <f>IFERROR(_xll.qlBachelierBlackFormulaImpliedVol(IF(O289&lt;$C$4,"Put","Call"),O289,$C$4,$C$7,P289),"")</f>
        <v>6.4464290387024554E-3</v>
      </c>
      <c r="W289" s="61">
        <f>IFERROR(_xll.qlBachelierBlackFormulaImpliedVol(IF(O289&lt;$C$4,"Put","Call"),O289,$C$4,$C$7,Q289),"")</f>
        <v>4.9387761308103389E-3</v>
      </c>
      <c r="X289" s="61">
        <f>IFERROR(_xll.qlBachelierBlackFormulaImpliedVol(IF(O289&lt;$C$4,"Put","Call"),O289,$C$4,$C$7,R289),"")</f>
        <v>3.1332853450243142E-3</v>
      </c>
      <c r="Y289" s="42"/>
    </row>
    <row r="290" spans="15:25">
      <c r="O290" s="37">
        <f t="shared" si="5"/>
        <v>1.849999999999994E-2</v>
      </c>
      <c r="P290" s="38">
        <f>IFERROR(_xll.qlBlackFormula(IF(O290&lt;$C$4,"Put","Call"),O290,$C$4,$C$9*SQRT($C$7)),"")</f>
        <v>4.3323645872695772E-5</v>
      </c>
      <c r="Q290" s="39">
        <f>IFERROR(_xll.qlBlackFormula(IF(O290&lt;$C$4,"Put","Call"),O290,$C$4,$C$10*SQRT($C$7),,$C$11),"")</f>
        <v>4.8059522849447191E-6</v>
      </c>
      <c r="R290" s="40">
        <f>IFERROR(_xll.qlBachelierBlackFormula(IF(O290&lt;$C$4,"Put","Call"),O290,$C$4,$C$12*SQRT($C$7)),"")</f>
        <v>5.4574299704362525E-9</v>
      </c>
      <c r="S290" s="41">
        <f>IFERROR((_xll.qlBlackFormula(IF(O290&lt;$C$4,"Put","Call"),O290+$C$14,$C$4,$C$9*SQRT($C$7))-
2*_xll.qlBlackFormula(IF(O290&lt;$C$4,"Put","Call"),O290,$C$4,$C$9*SQRT($C$7))+
_xll.qlBlackFormula(IF(O290&lt;$C$4,"Put","Call"),O290-$C$14,$C$4,$C$9*SQRT($C$7)))/$C$14^2,"")</f>
        <v>2.0324849388155681</v>
      </c>
      <c r="T290" s="42">
        <f>IFERROR((_xll.qlBlackFormula(IF(O290&lt;$C$4,"Put","Call"),O290+$C$14,$C$4,$C$10*SQRT($C$7),,$C$11)-
2*_xll.qlBlackFormula(IF(O290&lt;$C$4,"Put","Call"),O290,$C$4,$C$10*SQRT($C$7),,$C$11)+
_xll.qlBlackFormula(IF(O290&lt;$C$4,"Put","Call"),O290-$C$14,$C$4,$C$10*SQRT($C$7),,$C$11))/$C$14^2,"")</f>
        <v>0.87033572487632205</v>
      </c>
      <c r="U290" s="43">
        <f>IFERROR((_xll.qlBachelierBlackFormula(IF(O290&lt;$C$4,"Put","Call"),O290+$C$14,$C$4,$C$12*SQRT($C$7))-
2*_xll.qlBachelierBlackFormula(IF(O290&lt;$C$4,"Put","Call"),O290,$C$4,$C$12*SQRT($C$7))+
_xll.qlBachelierBlackFormula(IF(O290&lt;$C$4,"Put","Call"),O290-$C$14,$C$4,$C$12*SQRT($C$7)))/$C$14^2,"")</f>
        <v>1.185394515981813E-2</v>
      </c>
      <c r="V290" s="61">
        <f>IFERROR(_xll.qlBachelierBlackFormulaImpliedVol(IF(O290&lt;$C$4,"Put","Call"),O290,$C$4,$C$7,P290),"")</f>
        <v>6.4676436848901762E-3</v>
      </c>
      <c r="W290" s="61">
        <f>IFERROR(_xll.qlBachelierBlackFormulaImpliedVol(IF(O290&lt;$C$4,"Put","Call"),O290,$C$4,$C$7,Q290),"")</f>
        <v>4.9508004219722479E-3</v>
      </c>
      <c r="X290" s="61">
        <f>IFERROR(_xll.qlBachelierBlackFormulaImpliedVol(IF(O290&lt;$C$4,"Put","Call"),O290,$C$4,$C$7,R290),"")</f>
        <v>3.1332853447895168E-3</v>
      </c>
      <c r="Y290" s="42"/>
    </row>
    <row r="291" spans="15:25">
      <c r="O291" s="37">
        <f t="shared" si="5"/>
        <v>1.8599999999999939E-2</v>
      </c>
      <c r="P291" s="38">
        <f>IFERROR(_xll.qlBlackFormula(IF(O291&lt;$C$4,"Put","Call"),O291,$C$4,$C$9*SQRT($C$7)),"")</f>
        <v>4.2448252577387415E-5</v>
      </c>
      <c r="Q291" s="39">
        <f>IFERROR(_xll.qlBlackFormula(IF(O291&lt;$C$4,"Put","Call"),O291,$C$4,$C$10*SQRT($C$7),,$C$11),"")</f>
        <v>4.606947976722433E-6</v>
      </c>
      <c r="R291" s="40">
        <f>IFERROR(_xll.qlBachelierBlackFormula(IF(O291&lt;$C$4,"Put","Call"),O291,$C$4,$C$12*SQRT($C$7)),"")</f>
        <v>4.6925215404922238E-9</v>
      </c>
      <c r="S291" s="41">
        <f>IFERROR((_xll.qlBlackFormula(IF(O291&lt;$C$4,"Put","Call"),O291+$C$14,$C$4,$C$9*SQRT($C$7))-
2*_xll.qlBlackFormula(IF(O291&lt;$C$4,"Put","Call"),O291,$C$4,$C$9*SQRT($C$7))+
_xll.qlBlackFormula(IF(O291&lt;$C$4,"Put","Call"),O291-$C$14,$C$4,$C$9*SQRT($C$7)))/$C$14^2,"")</f>
        <v>1.9813350992433505</v>
      </c>
      <c r="T291" s="42">
        <f>IFERROR((_xll.qlBlackFormula(IF(O291&lt;$C$4,"Put","Call"),O291+$C$14,$C$4,$C$10*SQRT($C$7),,$C$11)-
2*_xll.qlBlackFormula(IF(O291&lt;$C$4,"Put","Call"),O291,$C$4,$C$10*SQRT($C$7),,$C$11)+
_xll.qlBlackFormula(IF(O291&lt;$C$4,"Put","Call"),O291-$C$14,$C$4,$C$10*SQRT($C$7),,$C$11))/$C$14^2,"")</f>
        <v>0.83361135783934992</v>
      </c>
      <c r="U291" s="43">
        <f>IFERROR((_xll.qlBachelierBlackFormula(IF(O291&lt;$C$4,"Put","Call"),O291+$C$14,$C$4,$C$12*SQRT($C$7))-
2*_xll.qlBachelierBlackFormula(IF(O291&lt;$C$4,"Put","Call"),O291,$C$4,$C$12*SQRT($C$7))+
_xll.qlBachelierBlackFormula(IF(O291&lt;$C$4,"Put","Call"),O291-$C$14,$C$4,$C$12*SQRT($C$7)))/$C$14^2,"")</f>
        <v>1.0325320337668921E-2</v>
      </c>
      <c r="V291" s="61">
        <f>IFERROR(_xll.qlBachelierBlackFormulaImpliedVol(IF(O291&lt;$C$4,"Put","Call"),O291,$C$4,$C$7,P291),"")</f>
        <v>6.4888277570197845E-3</v>
      </c>
      <c r="W291" s="61">
        <f>IFERROR(_xll.qlBachelierBlackFormulaImpliedVol(IF(O291&lt;$C$4,"Put","Call"),O291,$C$4,$C$7,Q291),"")</f>
        <v>4.9628099568880535E-3</v>
      </c>
      <c r="X291" s="61">
        <f>IFERROR(_xll.qlBachelierBlackFormulaImpliedVol(IF(O291&lt;$C$4,"Put","Call"),O291,$C$4,$C$7,R291),"")</f>
        <v>3.1332853445441167E-3</v>
      </c>
      <c r="Y291" s="42"/>
    </row>
    <row r="292" spans="15:25">
      <c r="O292" s="37">
        <f t="shared" si="5"/>
        <v>1.8699999999999939E-2</v>
      </c>
      <c r="P292" s="38">
        <f>IFERROR(_xll.qlBlackFormula(IF(O292&lt;$C$4,"Put","Call"),O292,$C$4,$C$9*SQRT($C$7)),"")</f>
        <v>4.1592673800062692E-5</v>
      </c>
      <c r="Q292" s="39">
        <f>IFERROR(_xll.qlBlackFormula(IF(O292&lt;$C$4,"Put","Call"),O292,$C$4,$C$10*SQRT($C$7),,$C$11),"")</f>
        <v>4.4162810670673048E-6</v>
      </c>
      <c r="R292" s="40">
        <f>IFERROR(_xll.qlBachelierBlackFormula(IF(O292&lt;$C$4,"Put","Call"),O292,$C$4,$C$12*SQRT($C$7)),"")</f>
        <v>4.0310181236186789E-9</v>
      </c>
      <c r="S292" s="41">
        <f>IFERROR((_xll.qlBlackFormula(IF(O292&lt;$C$4,"Put","Call"),O292+$C$14,$C$4,$C$9*SQRT($C$7))-
2*_xll.qlBlackFormula(IF(O292&lt;$C$4,"Put","Call"),O292,$C$4,$C$9*SQRT($C$7))+
_xll.qlBlackFormula(IF(O292&lt;$C$4,"Put","Call"),O292-$C$14,$C$4,$C$9*SQRT($C$7)))/$C$14^2,"")</f>
        <v>1.9315979751018815</v>
      </c>
      <c r="T292" s="42">
        <f>IFERROR((_xll.qlBlackFormula(IF(O292&lt;$C$4,"Put","Call"),O292+$C$14,$C$4,$C$10*SQRT($C$7),,$C$11)-
2*_xll.qlBlackFormula(IF(O292&lt;$C$4,"Put","Call"),O292,$C$4,$C$10*SQRT($C$7),,$C$11)+
_xll.qlBlackFormula(IF(O292&lt;$C$4,"Put","Call"),O292-$C$14,$C$4,$C$10*SQRT($C$7),,$C$11))/$C$14^2,"")</f>
        <v>0.79843611919521584</v>
      </c>
      <c r="U292" s="43">
        <f>IFERROR((_xll.qlBachelierBlackFormula(IF(O292&lt;$C$4,"Put","Call"),O292+$C$14,$C$4,$C$12*SQRT($C$7))-
2*_xll.qlBachelierBlackFormula(IF(O292&lt;$C$4,"Put","Call"),O292,$C$4,$C$12*SQRT($C$7))+
_xll.qlBachelierBlackFormula(IF(O292&lt;$C$4,"Put","Call"),O292-$C$14,$C$4,$C$12*SQRT($C$7)))/$C$14^2,"")</f>
        <v>8.9839048449326161E-3</v>
      </c>
      <c r="V292" s="61">
        <f>IFERROR(_xll.qlBachelierBlackFormulaImpliedVol(IF(O292&lt;$C$4,"Put","Call"),O292,$C$4,$C$7,P292),"")</f>
        <v>6.5099814907389492E-3</v>
      </c>
      <c r="W292" s="61">
        <f>IFERROR(_xll.qlBachelierBlackFormulaImpliedVol(IF(O292&lt;$C$4,"Put","Call"),O292,$C$4,$C$7,Q292),"")</f>
        <v>4.9748048265961034E-3</v>
      </c>
      <c r="X292" s="61">
        <f>IFERROR(_xll.qlBachelierBlackFormulaImpliedVol(IF(O292&lt;$C$4,"Put","Call"),O292,$C$4,$C$7,R292),"")</f>
        <v>3.1332853442561548E-3</v>
      </c>
      <c r="Y292" s="42"/>
    </row>
    <row r="293" spans="15:25">
      <c r="O293" s="37">
        <f t="shared" si="5"/>
        <v>1.8799999999999938E-2</v>
      </c>
      <c r="P293" s="38">
        <f>IFERROR(_xll.qlBlackFormula(IF(O293&lt;$C$4,"Put","Call"),O293,$C$4,$C$9*SQRT($C$7)),"")</f>
        <v>4.0756412139108324E-5</v>
      </c>
      <c r="Q293" s="39">
        <f>IFERROR(_xll.qlBlackFormula(IF(O293&lt;$C$4,"Put","Call"),O293,$C$4,$C$10*SQRT($C$7),,$C$11),"")</f>
        <v>4.2335997555130467E-6</v>
      </c>
      <c r="R293" s="40">
        <f>IFERROR(_xll.qlBachelierBlackFormula(IF(O293&lt;$C$4,"Put","Call"),O293,$C$4,$C$12*SQRT($C$7)),"")</f>
        <v>3.4594993716274751E-9</v>
      </c>
      <c r="S293" s="41">
        <f>IFERROR((_xll.qlBlackFormula(IF(O293&lt;$C$4,"Put","Call"),O293+$C$14,$C$4,$C$9*SQRT($C$7))-
2*_xll.qlBlackFormula(IF(O293&lt;$C$4,"Put","Call"),O293,$C$4,$C$9*SQRT($C$7))+
_xll.qlBlackFormula(IF(O293&lt;$C$4,"Put","Call"),O293-$C$14,$C$4,$C$9*SQRT($C$7)))/$C$14^2,"")</f>
        <v>1.8832328817046384</v>
      </c>
      <c r="T293" s="42">
        <f>IFERROR((_xll.qlBlackFormula(IF(O293&lt;$C$4,"Put","Call"),O293+$C$14,$C$4,$C$10*SQRT($C$7),,$C$11)-
2*_xll.qlBlackFormula(IF(O293&lt;$C$4,"Put","Call"),O293,$C$4,$C$10*SQRT($C$7),,$C$11)+
_xll.qlBlackFormula(IF(O293&lt;$C$4,"Put","Call"),O293-$C$14,$C$4,$C$10*SQRT($C$7),,$C$11))/$C$14^2,"")</f>
        <v>0.76474705745527982</v>
      </c>
      <c r="U293" s="43">
        <f>IFERROR((_xll.qlBachelierBlackFormula(IF(O293&lt;$C$4,"Put","Call"),O293+$C$14,$C$4,$C$12*SQRT($C$7))-
2*_xll.qlBachelierBlackFormula(IF(O293&lt;$C$4,"Put","Call"),O293,$C$4,$C$12*SQRT($C$7))+
_xll.qlBachelierBlackFormula(IF(O293&lt;$C$4,"Put","Call"),O293-$C$14,$C$4,$C$12*SQRT($C$7)))/$C$14^2,"")</f>
        <v>7.8106196879887844E-3</v>
      </c>
      <c r="V293" s="61">
        <f>IFERROR(_xll.qlBachelierBlackFormulaImpliedVol(IF(O293&lt;$C$4,"Put","Call"),O293,$C$4,$C$7,P293),"")</f>
        <v>6.5311051185881269E-3</v>
      </c>
      <c r="W293" s="61">
        <f>IFERROR(_xll.qlBachelierBlackFormulaImpliedVol(IF(O293&lt;$C$4,"Put","Call"),O293,$C$4,$C$7,Q293),"")</f>
        <v>4.986785121178213E-3</v>
      </c>
      <c r="X293" s="61">
        <f>IFERROR(_xll.qlBachelierBlackFormulaImpliedVol(IF(O293&lt;$C$4,"Put","Call"),O293,$C$4,$C$7,R293),"")</f>
        <v>3.1332853439599803E-3</v>
      </c>
      <c r="Y293" s="42"/>
    </row>
    <row r="294" spans="15:25">
      <c r="O294" s="37">
        <f t="shared" si="5"/>
        <v>1.8899999999999938E-2</v>
      </c>
      <c r="P294" s="38">
        <f>IFERROR(_xll.qlBlackFormula(IF(O294&lt;$C$4,"Put","Call"),O294,$C$4,$C$9*SQRT($C$7)),"")</f>
        <v>3.9938983910143053E-5</v>
      </c>
      <c r="Q294" s="39">
        <f>IFERROR(_xll.qlBlackFormula(IF(O294&lt;$C$4,"Put","Call"),O294,$C$4,$C$10*SQRT($C$7),,$C$11),"")</f>
        <v>4.0585671015649341E-6</v>
      </c>
      <c r="R294" s="40">
        <f>IFERROR(_xll.qlBachelierBlackFormula(IF(O294&lt;$C$4,"Put","Call"),O294,$C$4,$C$12*SQRT($C$7)),"")</f>
        <v>2.9662069814040382E-9</v>
      </c>
      <c r="S294" s="41">
        <f>IFERROR((_xll.qlBlackFormula(IF(O294&lt;$C$4,"Put","Call"),O294+$C$14,$C$4,$C$9*SQRT($C$7))-
2*_xll.qlBlackFormula(IF(O294&lt;$C$4,"Put","Call"),O294,$C$4,$C$9*SQRT($C$7))+
_xll.qlBlackFormula(IF(O294&lt;$C$4,"Put","Call"),O294-$C$14,$C$4,$C$9*SQRT($C$7)))/$C$14^2,"")</f>
        <v>1.8361981043730353</v>
      </c>
      <c r="T294" s="42">
        <f>IFERROR((_xll.qlBlackFormula(IF(O294&lt;$C$4,"Put","Call"),O294+$C$14,$C$4,$C$10*SQRT($C$7),,$C$11)-
2*_xll.qlBlackFormula(IF(O294&lt;$C$4,"Put","Call"),O294,$C$4,$C$10*SQRT($C$7),,$C$11)+
_xll.qlBlackFormula(IF(O294&lt;$C$4,"Put","Call"),O294-$C$14,$C$4,$C$10*SQRT($C$7),,$C$11))/$C$14^2,"")</f>
        <v>0.7324816344829802</v>
      </c>
      <c r="U294" s="43">
        <f>IFERROR((_xll.qlBachelierBlackFormula(IF(O294&lt;$C$4,"Put","Call"),O294+$C$14,$C$4,$C$12*SQRT($C$7))-
2*_xll.qlBachelierBlackFormula(IF(O294&lt;$C$4,"Put","Call"),O294,$C$4,$C$12*SQRT($C$7))+
_xll.qlBachelierBlackFormula(IF(O294&lt;$C$4,"Put","Call"),O294-$C$14,$C$4,$C$12*SQRT($C$7)))/$C$14^2,"")</f>
        <v>6.7829806684201379E-3</v>
      </c>
      <c r="V294" s="61">
        <f>IFERROR(_xll.qlBachelierBlackFormulaImpliedVol(IF(O294&lt;$C$4,"Put","Call"),O294,$C$4,$C$7,P294),"")</f>
        <v>6.5521988700582333E-3</v>
      </c>
      <c r="W294" s="61">
        <f>IFERROR(_xll.qlBachelierBlackFormulaImpliedVol(IF(O294&lt;$C$4,"Put","Call"),O294,$C$4,$C$7,Q294),"")</f>
        <v>4.9987509297749096E-3</v>
      </c>
      <c r="X294" s="61">
        <f>IFERROR(_xll.qlBachelierBlackFormulaImpliedVol(IF(O294&lt;$C$4,"Put","Call"),O294,$C$4,$C$7,R294),"")</f>
        <v>3.1332853435926686E-3</v>
      </c>
      <c r="Y294" s="42"/>
    </row>
    <row r="295" spans="15:25">
      <c r="O295" s="37">
        <f t="shared" si="5"/>
        <v>1.8999999999999937E-2</v>
      </c>
      <c r="P295" s="38">
        <f>IFERROR(_xll.qlBlackFormula(IF(O295&lt;$C$4,"Put","Call"),O295,$C$4,$C$9*SQRT($C$7)),"")</f>
        <v>3.9139918734197192E-5</v>
      </c>
      <c r="Q295" s="39">
        <f>IFERROR(_xll.qlBlackFormula(IF(O295&lt;$C$4,"Put","Call"),O295,$C$4,$C$10*SQRT($C$7),,$C$11),"")</f>
        <v>3.8908604017292523E-6</v>
      </c>
      <c r="R295" s="40">
        <f>IFERROR(_xll.qlBachelierBlackFormula(IF(O295&lt;$C$4,"Put","Call"),O295,$C$4,$C$12*SQRT($C$7)),"")</f>
        <v>2.5408498850069142E-9</v>
      </c>
      <c r="S295" s="41">
        <f>IFERROR((_xll.qlBlackFormula(IF(O295&lt;$C$4,"Put","Call"),O295+$C$14,$C$4,$C$9*SQRT($C$7))-
2*_xll.qlBlackFormula(IF(O295&lt;$C$4,"Put","Call"),O295,$C$4,$C$9*SQRT($C$7))+
_xll.qlBlackFormula(IF(O295&lt;$C$4,"Put","Call"),O295-$C$14,$C$4,$C$9*SQRT($C$7)))/$C$14^2,"")</f>
        <v>1.790453636046907</v>
      </c>
      <c r="T295" s="42">
        <f>IFERROR((_xll.qlBlackFormula(IF(O295&lt;$C$4,"Put","Call"),O295+$C$14,$C$4,$C$10*SQRT($C$7),,$C$11)-
2*_xll.qlBlackFormula(IF(O295&lt;$C$4,"Put","Call"),O295,$C$4,$C$10*SQRT($C$7),,$C$11)+
_xll.qlBlackFormula(IF(O295&lt;$C$4,"Put","Call"),O295-$C$14,$C$4,$C$10*SQRT($C$7),,$C$11))/$C$14^2,"")</f>
        <v>0.70158145243880143</v>
      </c>
      <c r="U295" s="43">
        <f>IFERROR((_xll.qlBachelierBlackFormula(IF(O295&lt;$C$4,"Put","Call"),O295+$C$14,$C$4,$C$12*SQRT($C$7))-
2*_xll.qlBachelierBlackFormula(IF(O295&lt;$C$4,"Put","Call"),O295,$C$4,$C$12*SQRT($C$7))+
_xll.qlBachelierBlackFormula(IF(O295&lt;$C$4,"Put","Call"),O295-$C$14,$C$4,$C$12*SQRT($C$7)))/$C$14^2,"")</f>
        <v>5.8840721610756482E-3</v>
      </c>
      <c r="V295" s="61">
        <f>IFERROR(_xll.qlBachelierBlackFormulaImpliedVol(IF(O295&lt;$C$4,"Put","Call"),O295,$C$4,$C$7,P295),"")</f>
        <v>6.5732629716469945E-3</v>
      </c>
      <c r="W295" s="61">
        <f>IFERROR(_xll.qlBachelierBlackFormulaImpliedVol(IF(O295&lt;$C$4,"Put","Call"),O295,$C$4,$C$7,Q295),"")</f>
        <v>5.0107023405983218E-3</v>
      </c>
      <c r="X295" s="61">
        <f>IFERROR(_xll.qlBachelierBlackFormulaImpliedVol(IF(O295&lt;$C$4,"Put","Call"),O295,$C$4,$C$7,R295),"")</f>
        <v>3.1332853432330123E-3</v>
      </c>
      <c r="Y295" s="42"/>
    </row>
    <row r="296" spans="15:25">
      <c r="O296" s="37">
        <f t="shared" si="5"/>
        <v>1.9099999999999936E-2</v>
      </c>
      <c r="P296" s="38">
        <f>IFERROR(_xll.qlBlackFormula(IF(O296&lt;$C$4,"Put","Call"),O296,$C$4,$C$9*SQRT($C$7)),"")</f>
        <v>3.8358759139222269E-5</v>
      </c>
      <c r="Q296" s="39">
        <f>IFERROR(_xll.qlBlackFormula(IF(O296&lt;$C$4,"Put","Call"),O296,$C$4,$C$10*SQRT($C$7),,$C$11),"")</f>
        <v>3.730170592142246E-6</v>
      </c>
      <c r="R296" s="40">
        <f>IFERROR(_xll.qlBachelierBlackFormula(IF(O296&lt;$C$4,"Put","Call"),O296,$C$4,$C$12*SQRT($C$7)),"")</f>
        <v>2.1744308012270018E-9</v>
      </c>
      <c r="S296" s="41">
        <f>IFERROR((_xll.qlBlackFormula(IF(O296&lt;$C$4,"Put","Call"),O296+$C$14,$C$4,$C$9*SQRT($C$7))-
2*_xll.qlBlackFormula(IF(O296&lt;$C$4,"Put","Call"),O296,$C$4,$C$9*SQRT($C$7))+
_xll.qlBlackFormula(IF(O296&lt;$C$4,"Put","Call"),O296-$C$14,$C$4,$C$9*SQRT($C$7)))/$C$14^2,"")</f>
        <v>1.7459615025451625</v>
      </c>
      <c r="T296" s="42">
        <f>IFERROR((_xll.qlBlackFormula(IF(O296&lt;$C$4,"Put","Call"),O296+$C$14,$C$4,$C$10*SQRT($C$7),,$C$11)-
2*_xll.qlBlackFormula(IF(O296&lt;$C$4,"Put","Call"),O296,$C$4,$C$10*SQRT($C$7),,$C$11)+
_xll.qlBlackFormula(IF(O296&lt;$C$4,"Put","Call"),O296-$C$14,$C$4,$C$10*SQRT($C$7),,$C$11))/$C$14^2,"")</f>
        <v>0.67198408160639922</v>
      </c>
      <c r="U296" s="43">
        <f>IFERROR((_xll.qlBachelierBlackFormula(IF(O296&lt;$C$4,"Put","Call"),O296+$C$14,$C$4,$C$12*SQRT($C$7))-
2*_xll.qlBachelierBlackFormula(IF(O296&lt;$C$4,"Put","Call"),O296,$C$4,$C$12*SQRT($C$7))+
_xll.qlBachelierBlackFormula(IF(O296&lt;$C$4,"Put","Call"),O296-$C$14,$C$4,$C$12*SQRT($C$7)))/$C$14^2,"")</f>
        <v>5.099637641923515E-3</v>
      </c>
      <c r="V296" s="61">
        <f>IFERROR(_xll.qlBachelierBlackFormulaImpliedVol(IF(O296&lt;$C$4,"Put","Call"),O296,$C$4,$C$7,P296),"")</f>
        <v>6.5942976469136032E-3</v>
      </c>
      <c r="W296" s="61">
        <f>IFERROR(_xll.qlBachelierBlackFormulaImpliedVol(IF(O296&lt;$C$4,"Put","Call"),O296,$C$4,$C$7,Q296),"")</f>
        <v>5.0226394409467259E-3</v>
      </c>
      <c r="X296" s="61">
        <f>IFERROR(_xll.qlBachelierBlackFormulaImpliedVol(IF(O296&lt;$C$4,"Put","Call"),O296,$C$4,$C$7,R296),"")</f>
        <v>3.1332853428761246E-3</v>
      </c>
      <c r="Y296" s="42"/>
    </row>
    <row r="297" spans="15:25">
      <c r="O297" s="37">
        <f t="shared" si="5"/>
        <v>1.9199999999999936E-2</v>
      </c>
      <c r="P297" s="38">
        <f>IFERROR(_xll.qlBlackFormula(IF(O297&lt;$C$4,"Put","Call"),O297,$C$4,$C$9*SQRT($C$7)),"")</f>
        <v>3.7595060174491334E-5</v>
      </c>
      <c r="Q297" s="39">
        <f>IFERROR(_xll.qlBlackFormula(IF(O297&lt;$C$4,"Put","Call"),O297,$C$4,$C$10*SQRT($C$7),,$C$11),"")</f>
        <v>3.576201675754636E-6</v>
      </c>
      <c r="R297" s="40">
        <f>IFERROR(_xll.qlBachelierBlackFormula(IF(O297&lt;$C$4,"Put","Call"),O297,$C$4,$C$12*SQRT($C$7)),"")</f>
        <v>1.8590919933153151E-9</v>
      </c>
      <c r="S297" s="41">
        <f>IFERROR((_xll.qlBlackFormula(IF(O297&lt;$C$4,"Put","Call"),O297+$C$14,$C$4,$C$9*SQRT($C$7))-
2*_xll.qlBlackFormula(IF(O297&lt;$C$4,"Put","Call"),O297,$C$4,$C$9*SQRT($C$7))+
_xll.qlBlackFormula(IF(O297&lt;$C$4,"Put","Call"),O297-$C$14,$C$4,$C$9*SQRT($C$7)))/$C$14^2,"")</f>
        <v>1.7026846512585569</v>
      </c>
      <c r="T297" s="42">
        <f>IFERROR((_xll.qlBlackFormula(IF(O297&lt;$C$4,"Put","Call"),O297+$C$14,$C$4,$C$10*SQRT($C$7),,$C$11)-
2*_xll.qlBlackFormula(IF(O297&lt;$C$4,"Put","Call"),O297,$C$4,$C$10*SQRT($C$7),,$C$11)+
_xll.qlBlackFormula(IF(O297&lt;$C$4,"Put","Call"),O297-$C$14,$C$4,$C$10*SQRT($C$7),,$C$11))/$C$14^2,"")</f>
        <v>0.64364023822077043</v>
      </c>
      <c r="U297" s="43">
        <f>IFERROR((_xll.qlBachelierBlackFormula(IF(O297&lt;$C$4,"Put","Call"),O297+$C$14,$C$4,$C$12*SQRT($C$7))-
2*_xll.qlBachelierBlackFormula(IF(O297&lt;$C$4,"Put","Call"),O297,$C$4,$C$12*SQRT($C$7))+
_xll.qlBachelierBlackFormula(IF(O297&lt;$C$4,"Put","Call"),O297-$C$14,$C$4,$C$12*SQRT($C$7)))/$C$14^2,"")</f>
        <v>4.4160698443034534E-3</v>
      </c>
      <c r="V297" s="61">
        <f>IFERROR(_xll.qlBachelierBlackFormulaImpliedVol(IF(O297&lt;$C$4,"Put","Call"),O297,$C$4,$C$7,P297),"")</f>
        <v>6.6153031165324836E-3</v>
      </c>
      <c r="W297" s="61">
        <f>IFERROR(_xll.qlBachelierBlackFormulaImpliedVol(IF(O297&lt;$C$4,"Put","Call"),O297,$C$4,$C$7,Q297),"")</f>
        <v>5.0345623172165892E-3</v>
      </c>
      <c r="X297" s="61">
        <f>IFERROR(_xll.qlBachelierBlackFormulaImpliedVol(IF(O297&lt;$C$4,"Put","Call"),O297,$C$4,$C$7,R297),"")</f>
        <v>3.1332853424513212E-3</v>
      </c>
      <c r="Y297" s="42"/>
    </row>
    <row r="298" spans="15:25">
      <c r="O298" s="37">
        <f t="shared" si="5"/>
        <v>1.9299999999999935E-2</v>
      </c>
      <c r="P298" s="38">
        <f>IFERROR(_xll.qlBlackFormula(IF(O298&lt;$C$4,"Put","Call"),O298,$C$4,$C$9*SQRT($C$7)),"")</f>
        <v>3.6848389037418623E-5</v>
      </c>
      <c r="Q298" s="39">
        <f>IFERROR(_xll.qlBlackFormula(IF(O298&lt;$C$4,"Put","Call"),O298,$C$4,$C$10*SQRT($C$7),,$C$11),"")</f>
        <v>3.4286701731365036E-6</v>
      </c>
      <c r="R298" s="40">
        <f>IFERROR(_xll.qlBachelierBlackFormula(IF(O298&lt;$C$4,"Put","Call"),O298,$C$4,$C$12*SQRT($C$7)),"")</f>
        <v>1.5879782709022796E-9</v>
      </c>
      <c r="S298" s="41">
        <f>IFERROR((_xll.qlBlackFormula(IF(O298&lt;$C$4,"Put","Call"),O298+$C$14,$C$4,$C$9*SQRT($C$7))-
2*_xll.qlBlackFormula(IF(O298&lt;$C$4,"Put","Call"),O298,$C$4,$C$9*SQRT($C$7))+
_xll.qlBlackFormula(IF(O298&lt;$C$4,"Put","Call"),O298-$C$14,$C$4,$C$9*SQRT($C$7)))/$C$14^2,"")</f>
        <v>1.6605853519514879</v>
      </c>
      <c r="T298" s="42">
        <f>IFERROR((_xll.qlBlackFormula(IF(O298&lt;$C$4,"Put","Call"),O298+$C$14,$C$4,$C$10*SQRT($C$7),,$C$11)-
2*_xll.qlBlackFormula(IF(O298&lt;$C$4,"Put","Call"),O298,$C$4,$C$10*SQRT($C$7),,$C$11)+
_xll.qlBlackFormula(IF(O298&lt;$C$4,"Put","Call"),O298-$C$14,$C$4,$C$10*SQRT($C$7),,$C$11))/$C$14^2,"")</f>
        <v>0.61649741979171235</v>
      </c>
      <c r="U298" s="43">
        <f>IFERROR((_xll.qlBachelierBlackFormula(IF(O298&lt;$C$4,"Put","Call"),O298+$C$14,$C$4,$C$12*SQRT($C$7))-
2*_xll.qlBachelierBlackFormula(IF(O298&lt;$C$4,"Put","Call"),O298,$C$4,$C$12*SQRT($C$7))+
_xll.qlBachelierBlackFormula(IF(O298&lt;$C$4,"Put","Call"),O298-$C$14,$C$4,$C$12*SQRT($C$7)))/$C$14^2,"")</f>
        <v>3.8185377507046325E-3</v>
      </c>
      <c r="V298" s="61">
        <f>IFERROR(_xll.qlBachelierBlackFormulaImpliedVol(IF(O298&lt;$C$4,"Put","Call"),O298,$C$4,$C$7,P298),"")</f>
        <v>6.6362795983454558E-3</v>
      </c>
      <c r="W298" s="61">
        <f>IFERROR(_xll.qlBachelierBlackFormulaImpliedVol(IF(O298&lt;$C$4,"Put","Call"),O298,$C$4,$C$7,Q298),"")</f>
        <v>5.0464710549165959E-3</v>
      </c>
      <c r="X298" s="61">
        <f>IFERROR(_xll.qlBachelierBlackFormulaImpliedVol(IF(O298&lt;$C$4,"Put","Call"),O298,$C$4,$C$7,R298),"")</f>
        <v>3.1332853420351068E-3</v>
      </c>
      <c r="Y298" s="42"/>
    </row>
    <row r="299" spans="15:25">
      <c r="O299" s="37">
        <f t="shared" si="5"/>
        <v>1.9399999999999935E-2</v>
      </c>
      <c r="P299" s="38">
        <f>IFERROR(_xll.qlBlackFormula(IF(O299&lt;$C$4,"Put","Call"),O299,$C$4,$C$9*SQRT($C$7)),"")</f>
        <v>3.6118324712390272E-5</v>
      </c>
      <c r="Q299" s="39">
        <f>IFERROR(_xll.qlBlackFormula(IF(O299&lt;$C$4,"Put","Call"),O299,$C$4,$C$10*SQRT($C$7),,$C$11),"")</f>
        <v>3.2873045959463769E-6</v>
      </c>
      <c r="R299" s="40">
        <f>IFERROR(_xll.qlBachelierBlackFormula(IF(O299&lt;$C$4,"Put","Call"),O299,$C$4,$C$12*SQRT($C$7)),"")</f>
        <v>1.3551154633240789E-9</v>
      </c>
      <c r="S299" s="41">
        <f>IFERROR((_xll.qlBlackFormula(IF(O299&lt;$C$4,"Put","Call"),O299+$C$14,$C$4,$C$9*SQRT($C$7))-
2*_xll.qlBlackFormula(IF(O299&lt;$C$4,"Put","Call"),O299,$C$4,$C$9*SQRT($C$7))+
_xll.qlBlackFormula(IF(O299&lt;$C$4,"Put","Call"),O299-$C$14,$C$4,$C$9*SQRT($C$7)))/$C$14^2,"")</f>
        <v>1.6196307804031835</v>
      </c>
      <c r="T299" s="42">
        <f>IFERROR((_xll.qlBlackFormula(IF(O299&lt;$C$4,"Put","Call"),O299+$C$14,$C$4,$C$10*SQRT($C$7),,$C$11)-
2*_xll.qlBlackFormula(IF(O299&lt;$C$4,"Put","Call"),O299,$C$4,$C$10*SQRT($C$7),,$C$11)+
_xll.qlBlackFormula(IF(O299&lt;$C$4,"Put","Call"),O299-$C$14,$C$4,$C$10*SQRT($C$7),,$C$11))/$C$14^2,"")</f>
        <v>0.59049891576934066</v>
      </c>
      <c r="U299" s="43">
        <f>IFERROR((_xll.qlBachelierBlackFormula(IF(O299&lt;$C$4,"Put","Call"),O299+$C$14,$C$4,$C$12*SQRT($C$7))-
2*_xll.qlBachelierBlackFormula(IF(O299&lt;$C$4,"Put","Call"),O299,$C$4,$C$12*SQRT($C$7))+
_xll.qlBachelierBlackFormula(IF(O299&lt;$C$4,"Put","Call"),O299-$C$14,$C$4,$C$12*SQRT($C$7)))/$C$14^2,"")</f>
        <v>3.2996455326527703E-3</v>
      </c>
      <c r="V299" s="61">
        <f>IFERROR(_xll.qlBachelierBlackFormulaImpliedVol(IF(O299&lt;$C$4,"Put","Call"),O299,$C$4,$C$7,P299),"")</f>
        <v>6.6572273074130325E-3</v>
      </c>
      <c r="W299" s="61">
        <f>IFERROR(_xll.qlBachelierBlackFormulaImpliedVol(IF(O299&lt;$C$4,"Put","Call"),O299,$C$4,$C$7,Q299),"")</f>
        <v>5.0583657386806292E-3</v>
      </c>
      <c r="X299" s="61">
        <f>IFERROR(_xll.qlBachelierBlackFormulaImpliedVol(IF(O299&lt;$C$4,"Put","Call"),O299,$C$4,$C$7,R299),"")</f>
        <v>3.1332853416530687E-3</v>
      </c>
      <c r="Y299" s="42"/>
    </row>
    <row r="300" spans="15:25">
      <c r="O300" s="37">
        <f t="shared" si="5"/>
        <v>1.9499999999999934E-2</v>
      </c>
      <c r="P300" s="38">
        <f>IFERROR(_xll.qlBlackFormula(IF(O300&lt;$C$4,"Put","Call"),O300,$C$4,$C$9*SQRT($C$7)),"")</f>
        <v>3.5404457621187121E-5</v>
      </c>
      <c r="Q300" s="39">
        <f>IFERROR(_xll.qlBlackFormula(IF(O300&lt;$C$4,"Put","Call"),O300,$C$4,$C$10*SQRT($C$7),,$C$11),"")</f>
        <v>3.151844942165643E-6</v>
      </c>
      <c r="R300" s="40">
        <f>IFERROR(_xll.qlBachelierBlackFormula(IF(O300&lt;$C$4,"Put","Call"),O300,$C$4,$C$12*SQRT($C$7)),"")</f>
        <v>1.1553027499391451E-9</v>
      </c>
      <c r="S300" s="41">
        <f>IFERROR((_xll.qlBlackFormula(IF(O300&lt;$C$4,"Put","Call"),O300+$C$14,$C$4,$C$9*SQRT($C$7))-
2*_xll.qlBlackFormula(IF(O300&lt;$C$4,"Put","Call"),O300,$C$4,$C$9*SQRT($C$7))+
_xll.qlBlackFormula(IF(O300&lt;$C$4,"Put","Call"),O300-$C$14,$C$4,$C$9*SQRT($C$7)))/$C$14^2,"")</f>
        <v>1.5797865674047757</v>
      </c>
      <c r="T300" s="42">
        <f>IFERROR((_xll.qlBlackFormula(IF(O300&lt;$C$4,"Put","Call"),O300+$C$14,$C$4,$C$10*SQRT($C$7),,$C$11)-
2*_xll.qlBlackFormula(IF(O300&lt;$C$4,"Put","Call"),O300,$C$4,$C$10*SQRT($C$7),,$C$11)+
_xll.qlBlackFormula(IF(O300&lt;$C$4,"Put","Call"),O300-$C$14,$C$4,$C$10*SQRT($C$7),,$C$11))/$C$14^2,"")</f>
        <v>0.56560383140296167</v>
      </c>
      <c r="U300" s="43">
        <f>IFERROR((_xll.qlBachelierBlackFormula(IF(O300&lt;$C$4,"Put","Call"),O300+$C$14,$C$4,$C$12*SQRT($C$7))-
2*_xll.qlBachelierBlackFormula(IF(O300&lt;$C$4,"Put","Call"),O300,$C$4,$C$12*SQRT($C$7))+
_xll.qlBachelierBlackFormula(IF(O300&lt;$C$4,"Put","Call"),O300-$C$14,$C$4,$C$12*SQRT($C$7)))/$C$14^2,"")</f>
        <v>2.8477309625973848E-3</v>
      </c>
      <c r="V300" s="61">
        <f>IFERROR(_xll.qlBachelierBlackFormulaImpliedVol(IF(O300&lt;$C$4,"Put","Call"),O300,$C$4,$C$7,P300),"")</f>
        <v>6.678146456064211E-3</v>
      </c>
      <c r="W300" s="61">
        <f>IFERROR(_xll.qlBachelierBlackFormulaImpliedVol(IF(O300&lt;$C$4,"Put","Call"),O300,$C$4,$C$7,Q300),"")</f>
        <v>5.0702464522789162E-3</v>
      </c>
      <c r="X300" s="61">
        <f>IFERROR(_xll.qlBachelierBlackFormulaImpliedVol(IF(O300&lt;$C$4,"Put","Call"),O300,$C$4,$C$7,R300),"")</f>
        <v>3.1332853413900317E-3</v>
      </c>
      <c r="Y300" s="42"/>
    </row>
    <row r="301" spans="15:25">
      <c r="O301" s="37">
        <f t="shared" si="5"/>
        <v>1.9599999999999933E-2</v>
      </c>
      <c r="P301" s="38">
        <f>IFERROR(_xll.qlBlackFormula(IF(O301&lt;$C$4,"Put","Call"),O301,$C$4,$C$9*SQRT($C$7)),"")</f>
        <v>3.4706389284592696E-5</v>
      </c>
      <c r="Q301" s="39">
        <f>IFERROR(_xll.qlBlackFormula(IF(O301&lt;$C$4,"Put","Call"),O301,$C$4,$C$10*SQRT($C$7),,$C$11),"")</f>
        <v>3.0220422122434113E-6</v>
      </c>
      <c r="R301" s="40">
        <f>IFERROR(_xll.qlBachelierBlackFormula(IF(O301&lt;$C$4,"Put","Call"),O301,$C$4,$C$12*SQRT($C$7)),"")</f>
        <v>9.840173741949027E-10</v>
      </c>
      <c r="S301" s="41">
        <f>IFERROR((_xll.qlBlackFormula(IF(O301&lt;$C$4,"Put","Call"),O301+$C$14,$C$4,$C$9*SQRT($C$7))-
2*_xll.qlBlackFormula(IF(O301&lt;$C$4,"Put","Call"),O301,$C$4,$C$9*SQRT($C$7))+
_xll.qlBlackFormula(IF(O301&lt;$C$4,"Put","Call"),O301-$C$14,$C$4,$C$9*SQRT($C$7)))/$C$14^2,"")</f>
        <v>1.5410178829614736</v>
      </c>
      <c r="T301" s="42">
        <f>IFERROR((_xll.qlBlackFormula(IF(O301&lt;$C$4,"Put","Call"),O301+$C$14,$C$4,$C$10*SQRT($C$7),,$C$11)-
2*_xll.qlBlackFormula(IF(O301&lt;$C$4,"Put","Call"),O301,$C$4,$C$10*SQRT($C$7),,$C$11)+
_xll.qlBlackFormula(IF(O301&lt;$C$4,"Put","Call"),O301-$C$14,$C$4,$C$10*SQRT($C$7),,$C$11))/$C$14^2,"")</f>
        <v>0.54176168352891918</v>
      </c>
      <c r="U301" s="43">
        <f>IFERROR((_xll.qlBachelierBlackFormula(IF(O301&lt;$C$4,"Put","Call"),O301+$C$14,$C$4,$C$12*SQRT($C$7))-
2*_xll.qlBachelierBlackFormula(IF(O301&lt;$C$4,"Put","Call"),O301,$C$4,$C$12*SQRT($C$7))+
_xll.qlBachelierBlackFormula(IF(O301&lt;$C$4,"Put","Call"),O301-$C$14,$C$4,$C$12*SQRT($C$7)))/$C$14^2,"")</f>
        <v>2.4551254343679529E-3</v>
      </c>
      <c r="V301" s="61">
        <f>IFERROR(_xll.qlBachelierBlackFormulaImpliedVol(IF(O301&lt;$C$4,"Put","Call"),O301,$C$4,$C$7,P301),"")</f>
        <v>6.699037253945367E-3</v>
      </c>
      <c r="W301" s="61">
        <f>IFERROR(_xll.qlBachelierBlackFormulaImpliedVol(IF(O301&lt;$C$4,"Put","Call"),O301,$C$4,$C$7,Q301),"")</f>
        <v>5.0821132786326257E-3</v>
      </c>
      <c r="X301" s="61">
        <f>IFERROR(_xll.qlBachelierBlackFormulaImpliedVol(IF(O301&lt;$C$4,"Put","Call"),O301,$C$4,$C$7,R301),"")</f>
        <v>3.1332853409781012E-3</v>
      </c>
      <c r="Y301" s="42"/>
    </row>
    <row r="302" spans="15:25">
      <c r="O302" s="37">
        <f t="shared" si="5"/>
        <v>1.9699999999999933E-2</v>
      </c>
      <c r="P302" s="38">
        <f>IFERROR(_xll.qlBlackFormula(IF(O302&lt;$C$4,"Put","Call"),O302,$C$4,$C$9*SQRT($C$7)),"")</f>
        <v>3.4023731994815723E-5</v>
      </c>
      <c r="Q302" s="39">
        <f>IFERROR(_xll.qlBlackFormula(IF(O302&lt;$C$4,"Put","Call"),O302,$C$4,$C$10*SQRT($C$7),,$C$11),"")</f>
        <v>2.8976579453006684E-6</v>
      </c>
      <c r="R302" s="40">
        <f>IFERROR(_xll.qlBachelierBlackFormula(IF(O302&lt;$C$4,"Put","Call"),O302,$C$4,$C$12*SQRT($C$7)),"")</f>
        <v>8.3733043641764448E-10</v>
      </c>
      <c r="S302" s="41">
        <f>IFERROR((_xll.qlBlackFormula(IF(O302&lt;$C$4,"Put","Call"),O302+$C$14,$C$4,$C$9*SQRT($C$7))-
2*_xll.qlBlackFormula(IF(O302&lt;$C$4,"Put","Call"),O302,$C$4,$C$9*SQRT($C$7))+
_xll.qlBlackFormula(IF(O302&lt;$C$4,"Put","Call"),O302-$C$14,$C$4,$C$9*SQRT($C$7)))/$C$14^2,"")</f>
        <v>1.5032946946730992</v>
      </c>
      <c r="T302" s="42">
        <f>IFERROR((_xll.qlBlackFormula(IF(O302&lt;$C$4,"Put","Call"),O302+$C$14,$C$4,$C$10*SQRT($C$7),,$C$11)-
2*_xll.qlBlackFormula(IF(O302&lt;$C$4,"Put","Call"),O302,$C$4,$C$10*SQRT($C$7),,$C$11)+
_xll.qlBlackFormula(IF(O302&lt;$C$4,"Put","Call"),O302-$C$14,$C$4,$C$10*SQRT($C$7),,$C$11))/$C$14^2,"")</f>
        <v>0.51892711522695356</v>
      </c>
      <c r="U302" s="43">
        <f>IFERROR((_xll.qlBachelierBlackFormula(IF(O302&lt;$C$4,"Put","Call"),O302+$C$14,$C$4,$C$12*SQRT($C$7))-
2*_xll.qlBachelierBlackFormula(IF(O302&lt;$C$4,"Put","Call"),O302,$C$4,$C$12*SQRT($C$7))+
_xll.qlBachelierBlackFormula(IF(O302&lt;$C$4,"Put","Call"),O302-$C$14,$C$4,$C$12*SQRT($C$7)))/$C$14^2,"")</f>
        <v>2.1155184433195901E-3</v>
      </c>
      <c r="V302" s="61">
        <f>IFERROR(_xll.qlBachelierBlackFormulaImpliedVol(IF(O302&lt;$C$4,"Put","Call"),O302,$C$4,$C$7,P302),"")</f>
        <v>6.7198999080677248E-3</v>
      </c>
      <c r="W302" s="61">
        <f>IFERROR(_xll.qlBachelierBlackFormulaImpliedVol(IF(O302&lt;$C$4,"Put","Call"),O302,$C$4,$C$7,Q302),"")</f>
        <v>5.0939662998236738E-3</v>
      </c>
      <c r="X302" s="61">
        <f>IFERROR(_xll.qlBachelierBlackFormulaImpliedVol(IF(O302&lt;$C$4,"Put","Call"),O302,$C$4,$C$7,R302),"")</f>
        <v>3.1332853406280722E-3</v>
      </c>
      <c r="Y302" s="42"/>
    </row>
    <row r="303" spans="15:25">
      <c r="O303" s="37">
        <f t="shared" si="5"/>
        <v>1.9799999999999932E-2</v>
      </c>
      <c r="P303" s="38">
        <f>IFERROR(_xll.qlBlackFormula(IF(O303&lt;$C$4,"Put","Call"),O303,$C$4,$C$9*SQRT($C$7)),"")</f>
        <v>3.335610849835449E-5</v>
      </c>
      <c r="Q303" s="39">
        <f>IFERROR(_xll.qlBlackFormula(IF(O303&lt;$C$4,"Put","Call"),O303,$C$4,$C$10*SQRT($C$7),,$C$11),"")</f>
        <v>2.7784637746022614E-6</v>
      </c>
      <c r="R303" s="40">
        <f>IFERROR(_xll.qlBachelierBlackFormula(IF(O303&lt;$C$4,"Put","Call"),O303,$C$4,$C$12*SQRT($C$7)),"")</f>
        <v>7.1183255024213107E-10</v>
      </c>
      <c r="S303" s="41">
        <f>IFERROR((_xll.qlBlackFormula(IF(O303&lt;$C$4,"Put","Call"),O303+$C$14,$C$4,$C$9*SQRT($C$7))-
2*_xll.qlBlackFormula(IF(O303&lt;$C$4,"Put","Call"),O303,$C$4,$C$9*SQRT($C$7))+
_xll.qlBlackFormula(IF(O303&lt;$C$4,"Put","Call"),O303-$C$14,$C$4,$C$9*SQRT($C$7)))/$C$14^2,"")</f>
        <v>1.4665855064665418</v>
      </c>
      <c r="T303" s="42">
        <f>IFERROR((_xll.qlBlackFormula(IF(O303&lt;$C$4,"Put","Call"),O303+$C$14,$C$4,$C$10*SQRT($C$7),,$C$11)-
2*_xll.qlBlackFormula(IF(O303&lt;$C$4,"Put","Call"),O303,$C$4,$C$10*SQRT($C$7),,$C$11)+
_xll.qlBlackFormula(IF(O303&lt;$C$4,"Put","Call"),O303-$C$14,$C$4,$C$10*SQRT($C$7),,$C$11))/$C$14^2,"")</f>
        <v>0.49706197613312053</v>
      </c>
      <c r="U303" s="43">
        <f>IFERROR((_xll.qlBachelierBlackFormula(IF(O303&lt;$C$4,"Put","Call"),O303+$C$14,$C$4,$C$12*SQRT($C$7))-
2*_xll.qlBachelierBlackFormula(IF(O303&lt;$C$4,"Put","Call"),O303,$C$4,$C$12*SQRT($C$7))+
_xll.qlBachelierBlackFormula(IF(O303&lt;$C$4,"Put","Call"),O303-$C$14,$C$4,$C$12*SQRT($C$7)))/$C$14^2,"")</f>
        <v>1.8197366457945894E-3</v>
      </c>
      <c r="V303" s="61">
        <f>IFERROR(_xll.qlBachelierBlackFormulaImpliedVol(IF(O303&lt;$C$4,"Put","Call"),O303,$C$4,$C$7,P303),"")</f>
        <v>6.7407346228541866E-3</v>
      </c>
      <c r="W303" s="61">
        <f>IFERROR(_xll.qlBachelierBlackFormulaImpliedVol(IF(O303&lt;$C$4,"Put","Call"),O303,$C$4,$C$7,Q303),"")</f>
        <v>5.1058055971079496E-3</v>
      </c>
      <c r="X303" s="61">
        <f>IFERROR(_xll.qlBachelierBlackFormulaImpliedVol(IF(O303&lt;$C$4,"Put","Call"),O303,$C$4,$C$7,R303),"")</f>
        <v>3.1332853403434431E-3</v>
      </c>
      <c r="Y303" s="42"/>
    </row>
    <row r="304" spans="15:25">
      <c r="O304" s="37">
        <f t="shared" si="5"/>
        <v>1.9899999999999932E-2</v>
      </c>
      <c r="P304" s="38">
        <f>IFERROR(_xll.qlBlackFormula(IF(O304&lt;$C$4,"Put","Call"),O304,$C$4,$C$9*SQRT($C$7)),"")</f>
        <v>3.2703151688939216E-5</v>
      </c>
      <c r="Q304" s="39">
        <f>IFERROR(_xll.qlBlackFormula(IF(O304&lt;$C$4,"Put","Call"),O304,$C$4,$C$10*SQRT($C$7),,$C$11),"")</f>
        <v>2.6642410015156193E-6</v>
      </c>
      <c r="R304" s="40">
        <f>IFERROR(_xll.qlBachelierBlackFormula(IF(O304&lt;$C$4,"Put","Call"),O304,$C$4,$C$12*SQRT($C$7)),"")</f>
        <v>6.0456829560030324E-10</v>
      </c>
      <c r="S304" s="41">
        <f>IFERROR((_xll.qlBlackFormula(IF(O304&lt;$C$4,"Put","Call"),O304+$C$14,$C$4,$C$9*SQRT($C$7))-
2*_xll.qlBlackFormula(IF(O304&lt;$C$4,"Put","Call"),O304,$C$4,$C$9*SQRT($C$7))+
_xll.qlBlackFormula(IF(O304&lt;$C$4,"Put","Call"),O304-$C$14,$C$4,$C$9*SQRT($C$7)))/$C$14^2,"")</f>
        <v>1.4308628338167291</v>
      </c>
      <c r="T304" s="42">
        <f>IFERROR((_xll.qlBlackFormula(IF(O304&lt;$C$4,"Put","Call"),O304+$C$14,$C$4,$C$10*SQRT($C$7),,$C$11)-
2*_xll.qlBlackFormula(IF(O304&lt;$C$4,"Put","Call"),O304,$C$4,$C$10*SQRT($C$7),,$C$11)+
_xll.qlBlackFormula(IF(O304&lt;$C$4,"Put","Call"),O304-$C$14,$C$4,$C$10*SQRT($C$7),,$C$11))/$C$14^2,"")</f>
        <v>0.47612242043393838</v>
      </c>
      <c r="U304" s="43">
        <f>IFERROR((_xll.qlBachelierBlackFormula(IF(O304&lt;$C$4,"Put","Call"),O304+$C$14,$C$4,$C$12*SQRT($C$7))-
2*_xll.qlBachelierBlackFormula(IF(O304&lt;$C$4,"Put","Call"),O304,$C$4,$C$12*SQRT($C$7))+
_xll.qlBachelierBlackFormula(IF(O304&lt;$C$4,"Put","Call"),O304-$C$14,$C$4,$C$12*SQRT($C$7)))/$C$14^2,"")</f>
        <v>1.5647458820947405E-3</v>
      </c>
      <c r="V304" s="61">
        <f>IFERROR(_xll.qlBachelierBlackFormulaImpliedVol(IF(O304&lt;$C$4,"Put","Call"),O304,$C$4,$C$7,P304),"")</f>
        <v>6.7615416001846245E-3</v>
      </c>
      <c r="W304" s="61">
        <f>IFERROR(_xll.qlBachelierBlackFormulaImpliedVol(IF(O304&lt;$C$4,"Put","Call"),O304,$C$4,$C$7,Q304),"")</f>
        <v>5.1176312509270405E-3</v>
      </c>
      <c r="X304" s="61">
        <f>IFERROR(_xll.qlBachelierBlackFormulaImpliedVol(IF(O304&lt;$C$4,"Put","Call"),O304,$C$4,$C$7,R304),"")</f>
        <v>3.1332853399081073E-3</v>
      </c>
      <c r="Y304" s="42"/>
    </row>
    <row r="305" spans="15:25">
      <c r="O305" s="37">
        <f t="shared" si="5"/>
        <v>1.9999999999999931E-2</v>
      </c>
      <c r="P305" s="38">
        <f>IFERROR(_xll.qlBlackFormula(IF(O305&lt;$C$4,"Put","Call"),O305,$C$4,$C$9*SQRT($C$7)),"")</f>
        <v>3.2064504310219829E-5</v>
      </c>
      <c r="Q305" s="39">
        <f>IFERROR(_xll.qlBlackFormula(IF(O305&lt;$C$4,"Put","Call"),O305,$C$4,$C$10*SQRT($C$7),,$C$11),"")</f>
        <v>2.5547801872117437E-6</v>
      </c>
      <c r="R305" s="40">
        <f>IFERROR(_xll.qlBachelierBlackFormula(IF(O305&lt;$C$4,"Put","Call"),O305,$C$4,$C$12*SQRT($C$7)),"")</f>
        <v>5.1297850135309621E-10</v>
      </c>
      <c r="S305" s="41">
        <f>IFERROR((_xll.qlBlackFormula(IF(O305&lt;$C$4,"Put","Call"),O305+$C$14,$C$4,$C$9*SQRT($C$7))-
2*_xll.qlBlackFormula(IF(O305&lt;$C$4,"Put","Call"),O305,$C$4,$C$9*SQRT($C$7))+
_xll.qlBlackFormula(IF(O305&lt;$C$4,"Put","Call"),O305-$C$14,$C$4,$C$9*SQRT($C$7)))/$C$14^2,"")</f>
        <v>1.3960977014206011</v>
      </c>
      <c r="T305" s="42">
        <f>IFERROR((_xll.qlBlackFormula(IF(O305&lt;$C$4,"Put","Call"),O305+$C$14,$C$4,$C$10*SQRT($C$7),,$C$11)-
2*_xll.qlBlackFormula(IF(O305&lt;$C$4,"Put","Call"),O305,$C$4,$C$10*SQRT($C$7),,$C$11)+
_xll.qlBlackFormula(IF(O305&lt;$C$4,"Put","Call"),O305-$C$14,$C$4,$C$10*SQRT($C$7),,$C$11))/$C$14^2,"")</f>
        <v>0.45606907126175511</v>
      </c>
      <c r="U305" s="43">
        <f>IFERROR((_xll.qlBachelierBlackFormula(IF(O305&lt;$C$4,"Put","Call"),O305+$C$14,$C$4,$C$12*SQRT($C$7))-
2*_xll.qlBachelierBlackFormula(IF(O305&lt;$C$4,"Put","Call"),O305,$C$4,$C$12*SQRT($C$7))+
_xll.qlBachelierBlackFormula(IF(O305&lt;$C$4,"Put","Call"),O305-$C$14,$C$4,$C$12*SQRT($C$7)))/$C$14^2,"")</f>
        <v>1.3440177930172301E-3</v>
      </c>
      <c r="V305" s="61">
        <f>IFERROR(_xll.qlBachelierBlackFormulaImpliedVol(IF(O305&lt;$C$4,"Put","Call"),O305,$C$4,$C$7,P305),"")</f>
        <v>6.7823210394404284E-3</v>
      </c>
      <c r="W305" s="61">
        <f>IFERROR(_xll.qlBachelierBlackFormulaImpliedVol(IF(O305&lt;$C$4,"Put","Call"),O305,$C$4,$C$7,Q305),"")</f>
        <v>5.1294433409189389E-3</v>
      </c>
      <c r="X305" s="61">
        <f>IFERROR(_xll.qlBachelierBlackFormulaImpliedVol(IF(O305&lt;$C$4,"Put","Call"),O305,$C$4,$C$7,R305),"")</f>
        <v>3.1332853397453117E-3</v>
      </c>
      <c r="Y305" s="42"/>
    </row>
    <row r="306" spans="15:25">
      <c r="O306" s="37">
        <f t="shared" si="5"/>
        <v>2.009999999999993E-2</v>
      </c>
      <c r="P306" s="38">
        <f>IFERROR(_xll.qlBlackFormula(IF(O306&lt;$C$4,"Put","Call"),O306,$C$4,$C$9*SQRT($C$7)),"")</f>
        <v>3.1439818667861714E-5</v>
      </c>
      <c r="Q306" s="39">
        <f>IFERROR(_xll.qlBlackFormula(IF(O306&lt;$C$4,"Put","Call"),O306,$C$4,$C$10*SQRT($C$7),,$C$11),"")</f>
        <v>2.4498807613922517E-6</v>
      </c>
      <c r="R306" s="40">
        <f>IFERROR(_xll.qlBachelierBlackFormula(IF(O306&lt;$C$4,"Put","Call"),O306,$C$4,$C$12*SQRT($C$7)),"")</f>
        <v>4.3484947024437968E-10</v>
      </c>
      <c r="S306" s="41">
        <f>IFERROR((_xll.qlBlackFormula(IF(O306&lt;$C$4,"Put","Call"),O306+$C$14,$C$4,$C$9*SQRT($C$7))-
2*_xll.qlBlackFormula(IF(O306&lt;$C$4,"Put","Call"),O306,$C$4,$C$9*SQRT($C$7))+
_xll.qlBlackFormula(IF(O306&lt;$C$4,"Put","Call"),O306-$C$14,$C$4,$C$9*SQRT($C$7)))/$C$14^2,"")</f>
        <v>1.362257366372549</v>
      </c>
      <c r="T306" s="42">
        <f>IFERROR((_xll.qlBlackFormula(IF(O306&lt;$C$4,"Put","Call"),O306+$C$14,$C$4,$C$10*SQRT($C$7),,$C$11)-
2*_xll.qlBlackFormula(IF(O306&lt;$C$4,"Put","Call"),O306,$C$4,$C$10*SQRT($C$7),,$C$11)+
_xll.qlBlackFormula(IF(O306&lt;$C$4,"Put","Call"),O306-$C$14,$C$4,$C$10*SQRT($C$7),,$C$11))/$C$14^2,"")</f>
        <v>0.43686382568647147</v>
      </c>
      <c r="U306" s="43">
        <f>IFERROR((_xll.qlBachelierBlackFormula(IF(O306&lt;$C$4,"Put","Call"),O306+$C$14,$C$4,$C$12*SQRT($C$7))-
2*_xll.qlBachelierBlackFormula(IF(O306&lt;$C$4,"Put","Call"),O306,$C$4,$C$12*SQRT($C$7))+
_xll.qlBachelierBlackFormula(IF(O306&lt;$C$4,"Put","Call"),O306-$C$14,$C$4,$C$12*SQRT($C$7)))/$C$14^2,"")</f>
        <v>1.1518925474218972E-3</v>
      </c>
      <c r="V306" s="61">
        <f>IFERROR(_xll.qlBachelierBlackFormulaImpliedVol(IF(O306&lt;$C$4,"Put","Call"),O306,$C$4,$C$7,P306),"")</f>
        <v>6.8030731375481957E-3</v>
      </c>
      <c r="W306" s="61">
        <f>IFERROR(_xll.qlBachelierBlackFormulaImpliedVol(IF(O306&lt;$C$4,"Put","Call"),O306,$C$4,$C$7,Q306),"")</f>
        <v>5.1412419459303865E-3</v>
      </c>
      <c r="X306" s="61">
        <f>IFERROR(_xll.qlBachelierBlackFormulaImpliedVol(IF(O306&lt;$C$4,"Put","Call"),O306,$C$4,$C$7,R306),"")</f>
        <v>3.1332853398401252E-3</v>
      </c>
      <c r="Y306" s="42"/>
    </row>
    <row r="307" spans="15:25">
      <c r="O307" s="37">
        <f t="shared" si="5"/>
        <v>2.019999999999993E-2</v>
      </c>
      <c r="P307" s="38">
        <f>IFERROR(_xll.qlBlackFormula(IF(O307&lt;$C$4,"Put","Call"),O307,$C$4,$C$9*SQRT($C$7)),"")</f>
        <v>3.0828756350729792E-5</v>
      </c>
      <c r="Q307" s="39">
        <f>IFERROR(_xll.qlBlackFormula(IF(O307&lt;$C$4,"Put","Call"),O307,$C$4,$C$10*SQRT($C$7),,$C$11),"")</f>
        <v>2.3493506473520465E-6</v>
      </c>
      <c r="R307" s="40">
        <f>IFERROR(_xll.qlBachelierBlackFormula(IF(O307&lt;$C$4,"Put","Call"),O307,$C$4,$C$12*SQRT($C$7)),"")</f>
        <v>3.6826837719055904E-10</v>
      </c>
      <c r="S307" s="41">
        <f>IFERROR((_xll.qlBlackFormula(IF(O307&lt;$C$4,"Put","Call"),O307+$C$14,$C$4,$C$9*SQRT($C$7))-
2*_xll.qlBlackFormula(IF(O307&lt;$C$4,"Put","Call"),O307,$C$4,$C$9*SQRT($C$7))+
_xll.qlBlackFormula(IF(O307&lt;$C$4,"Put","Call"),O307-$C$14,$C$4,$C$9*SQRT($C$7)))/$C$14^2,"")</f>
        <v>1.3293194263451837</v>
      </c>
      <c r="T307" s="42">
        <f>IFERROR((_xll.qlBlackFormula(IF(O307&lt;$C$4,"Put","Call"),O307+$C$14,$C$4,$C$10*SQRT($C$7),,$C$11)-
2*_xll.qlBlackFormula(IF(O307&lt;$C$4,"Put","Call"),O307,$C$4,$C$10*SQRT($C$7),,$C$11)+
_xll.qlBlackFormula(IF(O307&lt;$C$4,"Put","Call"),O307-$C$14,$C$4,$C$10*SQRT($C$7),,$C$11))/$C$14^2,"")</f>
        <v>0.41847215864515735</v>
      </c>
      <c r="U307" s="43">
        <f>IFERROR((_xll.qlBachelierBlackFormula(IF(O307&lt;$C$4,"Put","Call"),O307+$C$14,$C$4,$C$12*SQRT($C$7))-
2*_xll.qlBachelierBlackFormula(IF(O307&lt;$C$4,"Put","Call"),O307,$C$4,$C$12*SQRT($C$7))+
_xll.qlBachelierBlackFormula(IF(O307&lt;$C$4,"Put","Call"),O307-$C$14,$C$4,$C$12*SQRT($C$7)))/$C$14^2,"")</f>
        <v>9.8825067395850899E-4</v>
      </c>
      <c r="V307" s="61">
        <f>IFERROR(_xll.qlBachelierBlackFormulaImpliedVol(IF(O307&lt;$C$4,"Put","Call"),O307,$C$4,$C$7,P307),"")</f>
        <v>6.823798089021821E-3</v>
      </c>
      <c r="W307" s="61">
        <f>IFERROR(_xll.qlBachelierBlackFormulaImpliedVol(IF(O307&lt;$C$4,"Put","Call"),O307,$C$4,$C$7,Q307),"")</f>
        <v>5.1530271440258712E-3</v>
      </c>
      <c r="X307" s="61">
        <f>IFERROR(_xll.qlBachelierBlackFormulaImpliedVol(IF(O307&lt;$C$4,"Put","Call"),O307,$C$4,$C$7,R307),"")</f>
        <v>3.1332853394406509E-3</v>
      </c>
      <c r="Y307" s="42"/>
    </row>
    <row r="308" spans="15:25">
      <c r="O308" s="37">
        <f t="shared" si="5"/>
        <v>2.0299999999999929E-2</v>
      </c>
      <c r="P308" s="38">
        <f>IFERROR(_xll.qlBlackFormula(IF(O308&lt;$C$4,"Put","Call"),O308,$C$4,$C$9*SQRT($C$7)),"")</f>
        <v>3.0230987960857913E-5</v>
      </c>
      <c r="Q308" s="39">
        <f>IFERROR(_xll.qlBlackFormula(IF(O308&lt;$C$4,"Put","Call"),O308,$C$4,$C$10*SQRT($C$7),,$C$11),"")</f>
        <v>2.2530059027217829E-6</v>
      </c>
      <c r="R308" s="40">
        <f>IFERROR(_xll.qlBachelierBlackFormula(IF(O308&lt;$C$4,"Put","Call"),O308,$C$4,$C$12*SQRT($C$7)),"")</f>
        <v>3.1158413490516352E-10</v>
      </c>
      <c r="S308" s="41">
        <f>IFERROR((_xll.qlBlackFormula(IF(O308&lt;$C$4,"Put","Call"),O308+$C$14,$C$4,$C$9*SQRT($C$7))-
2*_xll.qlBlackFormula(IF(O308&lt;$C$4,"Put","Call"),O308,$C$4,$C$9*SQRT($C$7))+
_xll.qlBlackFormula(IF(O308&lt;$C$4,"Put","Call"),O308-$C$14,$C$4,$C$9*SQRT($C$7)))/$C$14^2,"")</f>
        <v>1.29725622063058</v>
      </c>
      <c r="T308" s="42">
        <f>IFERROR((_xll.qlBlackFormula(IF(O308&lt;$C$4,"Put","Call"),O308+$C$14,$C$4,$C$10*SQRT($C$7),,$C$11)-
2*_xll.qlBlackFormula(IF(O308&lt;$C$4,"Put","Call"),O308,$C$4,$C$10*SQRT($C$7),,$C$11)+
_xll.qlBlackFormula(IF(O308&lt;$C$4,"Put","Call"),O308-$C$14,$C$4,$C$10*SQRT($C$7),,$C$11))/$C$14^2,"")</f>
        <v>0.40085962300191391</v>
      </c>
      <c r="U308" s="43">
        <f>IFERROR((_xll.qlBachelierBlackFormula(IF(O308&lt;$C$4,"Put","Call"),O308+$C$14,$C$4,$C$12*SQRT($C$7))-
2*_xll.qlBachelierBlackFormula(IF(O308&lt;$C$4,"Put","Call"),O308,$C$4,$C$12*SQRT($C$7))+
_xll.qlBachelierBlackFormula(IF(O308&lt;$C$4,"Put","Call"),O308-$C$14,$C$4,$C$12*SQRT($C$7)))/$C$14^2,"")</f>
        <v>8.4565259622454739E-4</v>
      </c>
      <c r="V308" s="61">
        <f>IFERROR(_xll.qlBachelierBlackFormulaImpliedVol(IF(O308&lt;$C$4,"Put","Call"),O308,$C$4,$C$7,P308),"")</f>
        <v>6.8444960860045397E-3</v>
      </c>
      <c r="W308" s="61">
        <f>IFERROR(_xll.qlBachelierBlackFormulaImpliedVol(IF(O308&lt;$C$4,"Put","Call"),O308,$C$4,$C$7,Q308),"")</f>
        <v>5.1647990125017976E-3</v>
      </c>
      <c r="X308" s="61">
        <f>IFERROR(_xll.qlBachelierBlackFormulaImpliedVol(IF(O308&lt;$C$4,"Put","Call"),O308,$C$4,$C$7,R308),"")</f>
        <v>3.1332853392216317E-3</v>
      </c>
      <c r="Y308" s="42"/>
    </row>
    <row r="309" spans="15:25">
      <c r="O309" s="37">
        <f t="shared" si="5"/>
        <v>2.0399999999999929E-2</v>
      </c>
      <c r="P309" s="38">
        <f>IFERROR(_xll.qlBlackFormula(IF(O309&lt;$C$4,"Put","Call"),O309,$C$4,$C$9*SQRT($C$7)),"")</f>
        <v>2.9646192851907221E-5</v>
      </c>
      <c r="Q309" s="39">
        <f>IFERROR(_xll.qlBlackFormula(IF(O309&lt;$C$4,"Put","Call"),O309,$C$4,$C$10*SQRT($C$7),,$C$11),"")</f>
        <v>2.1606703752345952E-6</v>
      </c>
      <c r="R309" s="40">
        <f>IFERROR(_xll.qlBachelierBlackFormula(IF(O309&lt;$C$4,"Put","Call"),O309,$C$4,$C$12*SQRT($C$7)),"")</f>
        <v>2.6337308745767073E-10</v>
      </c>
      <c r="S309" s="41">
        <f>IFERROR((_xll.qlBlackFormula(IF(O309&lt;$C$4,"Put","Call"),O309+$C$14,$C$4,$C$9*SQRT($C$7))-
2*_xll.qlBlackFormula(IF(O309&lt;$C$4,"Put","Call"),O309,$C$4,$C$9*SQRT($C$7))+
_xll.qlBlackFormula(IF(O309&lt;$C$4,"Put","Call"),O309-$C$14,$C$4,$C$9*SQRT($C$7)))/$C$14^2,"")</f>
        <v>1.2660451707184952</v>
      </c>
      <c r="T309" s="42">
        <f>IFERROR((_xll.qlBlackFormula(IF(O309&lt;$C$4,"Put","Call"),O309+$C$14,$C$4,$C$10*SQRT($C$7),,$C$11)-
2*_xll.qlBlackFormula(IF(O309&lt;$C$4,"Put","Call"),O309,$C$4,$C$10*SQRT($C$7),,$C$11)+
_xll.qlBlackFormula(IF(O309&lt;$C$4,"Put","Call"),O309-$C$14,$C$4,$C$10*SQRT($C$7),,$C$11))/$C$14^2,"")</f>
        <v>0.38399365881024855</v>
      </c>
      <c r="U309" s="43">
        <f>IFERROR((_xll.qlBachelierBlackFormula(IF(O309&lt;$C$4,"Put","Call"),O309+$C$14,$C$4,$C$12*SQRT($C$7))-
2*_xll.qlBachelierBlackFormula(IF(O309&lt;$C$4,"Put","Call"),O309,$C$4,$C$12*SQRT($C$7))+
_xll.qlBachelierBlackFormula(IF(O309&lt;$C$4,"Put","Call"),O309-$C$14,$C$4,$C$12*SQRT($C$7)))/$C$14^2,"")</f>
        <v>7.2343450674152245E-4</v>
      </c>
      <c r="V309" s="61">
        <f>IFERROR(_xll.qlBachelierBlackFormulaImpliedVol(IF(O309&lt;$C$4,"Put","Call"),O309,$C$4,$C$7,P309),"")</f>
        <v>6.8651673183092185E-3</v>
      </c>
      <c r="W309" s="61">
        <f>IFERROR(_xll.qlBachelierBlackFormulaImpliedVol(IF(O309&lt;$C$4,"Put","Call"),O309,$C$4,$C$7,Q309),"")</f>
        <v>5.1765576278938455E-3</v>
      </c>
      <c r="X309" s="61">
        <f>IFERROR(_xll.qlBachelierBlackFormulaImpliedVol(IF(O309&lt;$C$4,"Put","Call"),O309,$C$4,$C$7,R309),"")</f>
        <v>3.1332853388072045E-3</v>
      </c>
      <c r="Y309" s="42"/>
    </row>
    <row r="310" spans="15:25">
      <c r="O310" s="37">
        <f t="shared" si="5"/>
        <v>2.0499999999999928E-2</v>
      </c>
      <c r="P310" s="38">
        <f>IFERROR(_xll.qlBlackFormula(IF(O310&lt;$C$4,"Put","Call"),O310,$C$4,$C$9*SQRT($C$7)),"")</f>
        <v>2.9074058875821197E-5</v>
      </c>
      <c r="Q310" s="39">
        <f>IFERROR(_xll.qlBlackFormula(IF(O310&lt;$C$4,"Put","Call"),O310,$C$4,$C$10*SQRT($C$7),,$C$11),"")</f>
        <v>2.0721753729241801E-6</v>
      </c>
      <c r="R310" s="40">
        <f>IFERROR(_xll.qlBachelierBlackFormula(IF(O310&lt;$C$4,"Put","Call"),O310,$C$4,$C$12*SQRT($C$7)),"")</f>
        <v>2.2240898820008571E-10</v>
      </c>
      <c r="S310" s="41">
        <f>IFERROR((_xll.qlBlackFormula(IF(O310&lt;$C$4,"Put","Call"),O310+$C$14,$C$4,$C$9*SQRT($C$7))-
2*_xll.qlBlackFormula(IF(O310&lt;$C$4,"Put","Call"),O310,$C$4,$C$9*SQRT($C$7))+
_xll.qlBlackFormula(IF(O310&lt;$C$4,"Put","Call"),O310-$C$14,$C$4,$C$9*SQRT($C$7)))/$C$14^2,"")</f>
        <v>1.2356568134148926</v>
      </c>
      <c r="T310" s="42">
        <f>IFERROR((_xll.qlBlackFormula(IF(O310&lt;$C$4,"Put","Call"),O310+$C$14,$C$4,$C$10*SQRT($C$7),,$C$11)-
2*_xll.qlBlackFormula(IF(O310&lt;$C$4,"Put","Call"),O310,$C$4,$C$10*SQRT($C$7),,$C$11)+
_xll.qlBlackFormula(IF(O310&lt;$C$4,"Put","Call"),O310-$C$14,$C$4,$C$10*SQRT($C$7),,$C$11))/$C$14^2,"")</f>
        <v>0.36783919212988148</v>
      </c>
      <c r="U310" s="43">
        <f>IFERROR((_xll.qlBachelierBlackFormula(IF(O310&lt;$C$4,"Put","Call"),O310+$C$14,$C$4,$C$12*SQRT($C$7))-
2*_xll.qlBachelierBlackFormula(IF(O310&lt;$C$4,"Put","Call"),O310,$C$4,$C$12*SQRT($C$7))+
_xll.qlBachelierBlackFormula(IF(O310&lt;$C$4,"Put","Call"),O310-$C$14,$C$4,$C$12*SQRT($C$7)))/$C$14^2,"")</f>
        <v>6.1751466706035953E-4</v>
      </c>
      <c r="V310" s="61">
        <f>IFERROR(_xll.qlBachelierBlackFormulaImpliedVol(IF(O310&lt;$C$4,"Put","Call"),O310,$C$4,$C$7,P310),"")</f>
        <v>6.8858119734582475E-3</v>
      </c>
      <c r="W310" s="61">
        <f>IFERROR(_xll.qlBachelierBlackFormulaImpliedVol(IF(O310&lt;$C$4,"Put","Call"),O310,$C$4,$C$7,Q310),"")</f>
        <v>5.1883030659894717E-3</v>
      </c>
      <c r="X310" s="61">
        <f>IFERROR(_xll.qlBachelierBlackFormulaImpliedVol(IF(O310&lt;$C$4,"Put","Call"),O310,$C$4,$C$7,R310),"")</f>
        <v>3.1332853391481908E-3</v>
      </c>
      <c r="Y310" s="42"/>
    </row>
    <row r="311" spans="15:25">
      <c r="O311" s="37">
        <f t="shared" si="5"/>
        <v>2.0599999999999927E-2</v>
      </c>
      <c r="P311" s="38">
        <f>IFERROR(_xll.qlBlackFormula(IF(O311&lt;$C$4,"Put","Call"),O311,$C$4,$C$9*SQRT($C$7)),"")</f>
        <v>2.8514282137409076E-5</v>
      </c>
      <c r="Q311" s="39">
        <f>IFERROR(_xll.qlBlackFormula(IF(O311&lt;$C$4,"Put","Call"),O311,$C$4,$C$10*SQRT($C$7),,$C$11),"")</f>
        <v>1.9873593481499673E-6</v>
      </c>
      <c r="R311" s="40">
        <f>IFERROR(_xll.qlBachelierBlackFormula(IF(O311&lt;$C$4,"Put","Call"),O311,$C$4,$C$12*SQRT($C$7)),"")</f>
        <v>1.8763674282203082E-10</v>
      </c>
      <c r="S311" s="41">
        <f>IFERROR((_xll.qlBlackFormula(IF(O311&lt;$C$4,"Put","Call"),O311+$C$14,$C$4,$C$9*SQRT($C$7))-
2*_xll.qlBlackFormula(IF(O311&lt;$C$4,"Put","Call"),O311,$C$4,$C$9*SQRT($C$7))+
_xll.qlBlackFormula(IF(O311&lt;$C$4,"Put","Call"),O311-$C$14,$C$4,$C$9*SQRT($C$7)))/$C$14^2,"")</f>
        <v>1.2060708605866195</v>
      </c>
      <c r="T311" s="42">
        <f>IFERROR((_xll.qlBlackFormula(IF(O311&lt;$C$4,"Put","Call"),O311+$C$14,$C$4,$C$10*SQRT($C$7),,$C$11)-
2*_xll.qlBlackFormula(IF(O311&lt;$C$4,"Put","Call"),O311,$C$4,$C$10*SQRT($C$7),,$C$11)+
_xll.qlBlackFormula(IF(O311&lt;$C$4,"Put","Call"),O311-$C$14,$C$4,$C$10*SQRT($C$7),,$C$11))/$C$14^2,"")</f>
        <v>0.35237074082162745</v>
      </c>
      <c r="U311" s="43">
        <f>IFERROR((_xll.qlBachelierBlackFormula(IF(O311&lt;$C$4,"Put","Call"),O311+$C$14,$C$4,$C$12*SQRT($C$7))-
2*_xll.qlBachelierBlackFormula(IF(O311&lt;$C$4,"Put","Call"),O311,$C$4,$C$12*SQRT($C$7))+
_xll.qlBachelierBlackFormula(IF(O311&lt;$C$4,"Put","Call"),O311-$C$14,$C$4,$C$12*SQRT($C$7)))/$C$14^2,"")</f>
        <v>5.2807591552929618E-4</v>
      </c>
      <c r="V311" s="61">
        <f>IFERROR(_xll.qlBachelierBlackFormulaImpliedVol(IF(O311&lt;$C$4,"Put","Call"),O311,$C$4,$C$7,P311),"")</f>
        <v>6.9064302367225338E-3</v>
      </c>
      <c r="W311" s="61">
        <f>IFERROR(_xll.qlBachelierBlackFormulaImpliedVol(IF(O311&lt;$C$4,"Put","Call"),O311,$C$4,$C$7,Q311),"")</f>
        <v>5.2000354018373251E-3</v>
      </c>
      <c r="X311" s="61">
        <f>IFERROR(_xll.qlBachelierBlackFormulaImpliedVol(IF(O311&lt;$C$4,"Put","Call"),O311,$C$4,$C$7,R311),"")</f>
        <v>3.1332853388373553E-3</v>
      </c>
      <c r="Y311" s="42"/>
    </row>
    <row r="312" spans="15:25">
      <c r="O312" s="37">
        <f t="shared" si="5"/>
        <v>2.0699999999999927E-2</v>
      </c>
      <c r="P312" s="38">
        <f>IFERROR(_xll.qlBlackFormula(IF(O312&lt;$C$4,"Put","Call"),O312,$C$4,$C$9*SQRT($C$7)),"")</f>
        <v>2.7966566756587214E-5</v>
      </c>
      <c r="Q312" s="39">
        <f>IFERROR(_xll.qlBlackFormula(IF(O312&lt;$C$4,"Put","Call"),O312,$C$4,$C$10*SQRT($C$7),,$C$11),"")</f>
        <v>1.9060675948896957E-6</v>
      </c>
      <c r="R312" s="40">
        <f>IFERROR(_xll.qlBachelierBlackFormula(IF(O312&lt;$C$4,"Put","Call"),O312,$C$4,$C$12*SQRT($C$7)),"")</f>
        <v>1.5814948710121701E-10</v>
      </c>
      <c r="S312" s="41">
        <f>IFERROR((_xll.qlBlackFormula(IF(O312&lt;$C$4,"Put","Call"),O312+$C$14,$C$4,$C$9*SQRT($C$7))-
2*_xll.qlBlackFormula(IF(O312&lt;$C$4,"Put","Call"),O312,$C$4,$C$9*SQRT($C$7))+
_xll.qlBlackFormula(IF(O312&lt;$C$4,"Put","Call"),O312-$C$14,$C$4,$C$9*SQRT($C$7)))/$C$14^2,"")</f>
        <v>1.1772633920232451</v>
      </c>
      <c r="T312" s="42">
        <f>IFERROR((_xll.qlBlackFormula(IF(O312&lt;$C$4,"Put","Call"),O312+$C$14,$C$4,$C$10*SQRT($C$7),,$C$11)-
2*_xll.qlBlackFormula(IF(O312&lt;$C$4,"Put","Call"),O312,$C$4,$C$10*SQRT($C$7),,$C$11)+
_xll.qlBlackFormula(IF(O312&lt;$C$4,"Put","Call"),O312-$C$14,$C$4,$C$10*SQRT($C$7),,$C$11))/$C$14^2,"")</f>
        <v>0.3375577981468581</v>
      </c>
      <c r="U312" s="43">
        <f>IFERROR((_xll.qlBachelierBlackFormula(IF(O312&lt;$C$4,"Put","Call"),O312+$C$14,$C$4,$C$12*SQRT($C$7))-
2*_xll.qlBachelierBlackFormula(IF(O312&lt;$C$4,"Put","Call"),O312,$C$4,$C$12*SQRT($C$7))+
_xll.qlBachelierBlackFormula(IF(O312&lt;$C$4,"Put","Call"),O312-$C$14,$C$4,$C$12*SQRT($C$7)))/$C$14^2,"")</f>
        <v>4.5020665798460363E-4</v>
      </c>
      <c r="V312" s="61">
        <f>IFERROR(_xll.qlBachelierBlackFormulaImpliedVol(IF(O312&lt;$C$4,"Put","Call"),O312,$C$4,$C$7,P312),"")</f>
        <v>6.9270222911593324E-3</v>
      </c>
      <c r="W312" s="61">
        <f>IFERROR(_xll.qlBachelierBlackFormulaImpliedVol(IF(O312&lt;$C$4,"Put","Call"),O312,$C$4,$C$7,Q312),"")</f>
        <v>5.2117547097569857E-3</v>
      </c>
      <c r="X312" s="61">
        <f>IFERROR(_xll.qlBachelierBlackFormulaImpliedVol(IF(O312&lt;$C$4,"Put","Call"),O312,$C$4,$C$7,R312),"")</f>
        <v>3.133285338372148E-3</v>
      </c>
      <c r="Y312" s="42"/>
    </row>
    <row r="313" spans="15:25">
      <c r="O313" s="37">
        <f t="shared" si="5"/>
        <v>2.0799999999999926E-2</v>
      </c>
      <c r="P313" s="38">
        <f>IFERROR(_xll.qlBlackFormula(IF(O313&lt;$C$4,"Put","Call"),O313,$C$4,$C$9*SQRT($C$7)),"")</f>
        <v>2.7430624638024071E-5</v>
      </c>
      <c r="Q313" s="39">
        <f>IFERROR(_xll.qlBlackFormula(IF(O313&lt;$C$4,"Put","Call"),O313,$C$4,$C$10*SQRT($C$7),,$C$11),"")</f>
        <v>1.8281519587547429E-6</v>
      </c>
      <c r="R313" s="40">
        <f>IFERROR(_xll.qlBachelierBlackFormula(IF(O313&lt;$C$4,"Put","Call"),O313,$C$4,$C$12*SQRT($C$7)),"")</f>
        <v>1.3316858376779626E-10</v>
      </c>
      <c r="S313" s="41">
        <f>IFERROR((_xll.qlBlackFormula(IF(O313&lt;$C$4,"Put","Call"),O313+$C$14,$C$4,$C$9*SQRT($C$7))-
2*_xll.qlBlackFormula(IF(O313&lt;$C$4,"Put","Call"),O313,$C$4,$C$9*SQRT($C$7))+
_xll.qlBlackFormula(IF(O313&lt;$C$4,"Put","Call"),O313-$C$14,$C$4,$C$9*SQRT($C$7)))/$C$14^2,"")</f>
        <v>1.1492130218369174</v>
      </c>
      <c r="T313" s="42">
        <f>IFERROR((_xll.qlBlackFormula(IF(O313&lt;$C$4,"Put","Call"),O313+$C$14,$C$4,$C$10*SQRT($C$7),,$C$11)-
2*_xll.qlBlackFormula(IF(O313&lt;$C$4,"Put","Call"),O313,$C$4,$C$10*SQRT($C$7),,$C$11)+
_xll.qlBlackFormula(IF(O313&lt;$C$4,"Put","Call"),O313-$C$14,$C$4,$C$10*SQRT($C$7),,$C$11))/$C$14^2,"")</f>
        <v>0.32337165985305699</v>
      </c>
      <c r="U313" s="43">
        <f>IFERROR((_xll.qlBachelierBlackFormula(IF(O313&lt;$C$4,"Put","Call"),O313+$C$14,$C$4,$C$12*SQRT($C$7))-
2*_xll.qlBachelierBlackFormula(IF(O313&lt;$C$4,"Put","Call"),O313,$C$4,$C$12*SQRT($C$7))+
_xll.qlBachelierBlackFormula(IF(O313&lt;$C$4,"Put","Call"),O313-$C$14,$C$4,$C$12*SQRT($C$7)))/$C$14^2,"")</f>
        <v>3.8355407666601954E-4</v>
      </c>
      <c r="V313" s="61">
        <f>IFERROR(_xll.qlBachelierBlackFormulaImpliedVol(IF(O313&lt;$C$4,"Put","Call"),O313,$C$4,$C$7,P313),"")</f>
        <v>6.947588317649551E-3</v>
      </c>
      <c r="W313" s="61">
        <f>IFERROR(_xll.qlBachelierBlackFormulaImpliedVol(IF(O313&lt;$C$4,"Put","Call"),O313,$C$4,$C$7,Q313),"")</f>
        <v>5.2234610633513714E-3</v>
      </c>
      <c r="X313" s="61">
        <f>IFERROR(_xll.qlBachelierBlackFormulaImpliedVol(IF(O313&lt;$C$4,"Put","Call"),O313,$C$4,$C$7,R313),"")</f>
        <v>3.1332853396210526E-3</v>
      </c>
      <c r="Y313" s="42"/>
    </row>
    <row r="314" spans="15:25">
      <c r="O314" s="37">
        <f t="shared" si="5"/>
        <v>2.0899999999999926E-2</v>
      </c>
      <c r="P314" s="38">
        <f>IFERROR(_xll.qlBlackFormula(IF(O314&lt;$C$4,"Put","Call"),O314,$C$4,$C$9*SQRT($C$7)),"")</f>
        <v>2.6906175247943655E-5</v>
      </c>
      <c r="Q314" s="39">
        <f>IFERROR(_xll.qlBlackFormula(IF(O314&lt;$C$4,"Put","Call"),O314,$C$4,$C$10*SQRT($C$7),,$C$11),"")</f>
        <v>1.7534705591990704E-6</v>
      </c>
      <c r="R314" s="40">
        <f>IFERROR(_xll.qlBachelierBlackFormula(IF(O314&lt;$C$4,"Put","Call"),O314,$C$4,$C$12*SQRT($C$7)),"")</f>
        <v>1.1202620038184488E-10</v>
      </c>
      <c r="S314" s="41">
        <f>IFERROR((_xll.qlBlackFormula(IF(O314&lt;$C$4,"Put","Call"),O314+$C$14,$C$4,$C$9*SQRT($C$7))-
2*_xll.qlBlackFormula(IF(O314&lt;$C$4,"Put","Call"),O314,$C$4,$C$9*SQRT($C$7))+
_xll.qlBlackFormula(IF(O314&lt;$C$4,"Put","Call"),O314-$C$14,$C$4,$C$9*SQRT($C$7)))/$C$14^2,"")</f>
        <v>1.1218959111323688</v>
      </c>
      <c r="T314" s="42">
        <f>IFERROR((_xll.qlBlackFormula(IF(O314&lt;$C$4,"Put","Call"),O314+$C$14,$C$4,$C$10*SQRT($C$7),,$C$11)-
2*_xll.qlBlackFormula(IF(O314&lt;$C$4,"Put","Call"),O314,$C$4,$C$10*SQRT($C$7),,$C$11)+
_xll.qlBlackFormula(IF(O314&lt;$C$4,"Put","Call"),O314-$C$14,$C$4,$C$10*SQRT($C$7),,$C$11))/$C$14^2,"")</f>
        <v>0.30978754175618739</v>
      </c>
      <c r="U314" s="43">
        <f>IFERROR((_xll.qlBachelierBlackFormula(IF(O314&lt;$C$4,"Put","Call"),O314+$C$14,$C$4,$C$12*SQRT($C$7))-
2*_xll.qlBachelierBlackFormula(IF(O314&lt;$C$4,"Put","Call"),O314,$C$4,$C$12*SQRT($C$7))+
_xll.qlBachelierBlackFormula(IF(O314&lt;$C$4,"Put","Call"),O314-$C$14,$C$4,$C$12*SQRT($C$7)))/$C$14^2,"")</f>
        <v>3.2653669778170318E-4</v>
      </c>
      <c r="V314" s="61">
        <f>IFERROR(_xll.qlBachelierBlackFormulaImpliedVol(IF(O314&lt;$C$4,"Put","Call"),O314,$C$4,$C$7,P314),"")</f>
        <v>6.968128494934168E-3</v>
      </c>
      <c r="W314" s="61">
        <f>IFERROR(_xll.qlBachelierBlackFormulaImpliedVol(IF(O314&lt;$C$4,"Put","Call"),O314,$C$4,$C$7,Q314),"")</f>
        <v>5.2351545355125845E-3</v>
      </c>
      <c r="X314" s="61">
        <f>IFERROR(_xll.qlBachelierBlackFormulaImpliedVol(IF(O314&lt;$C$4,"Put","Call"),O314,$C$4,$C$7,R314),"")</f>
        <v>3.1332853398566398E-3</v>
      </c>
      <c r="Y314" s="42"/>
    </row>
    <row r="315" spans="15:25">
      <c r="O315" s="37">
        <f t="shared" si="5"/>
        <v>2.0999999999999925E-2</v>
      </c>
      <c r="P315" s="38">
        <f>IFERROR(_xll.qlBlackFormula(IF(O315&lt;$C$4,"Put","Call"),O315,$C$4,$C$9*SQRT($C$7)),"")</f>
        <v>2.6392945397843805E-5</v>
      </c>
      <c r="Q315" s="39">
        <f>IFERROR(_xll.qlBlackFormula(IF(O315&lt;$C$4,"Put","Call"),O315,$C$4,$C$10*SQRT($C$7),,$C$11),"")</f>
        <v>1.6818875234281765E-6</v>
      </c>
      <c r="R315" s="40">
        <f>IFERROR(_xll.qlBachelierBlackFormula(IF(O315&lt;$C$4,"Put","Call"),O315,$C$4,$C$12*SQRT($C$7)),"")</f>
        <v>9.4150149973718587E-11</v>
      </c>
      <c r="S315" s="41">
        <f>IFERROR((_xll.qlBlackFormula(IF(O315&lt;$C$4,"Put","Call"),O315+$C$14,$C$4,$C$9*SQRT($C$7))-
2*_xll.qlBlackFormula(IF(O315&lt;$C$4,"Put","Call"),O315,$C$4,$C$9*SQRT($C$7))+
_xll.qlBlackFormula(IF(O315&lt;$C$4,"Put","Call"),O315-$C$14,$C$4,$C$9*SQRT($C$7)))/$C$14^2,"")</f>
        <v>1.0952897795549545</v>
      </c>
      <c r="T315" s="42">
        <f>IFERROR((_xll.qlBlackFormula(IF(O315&lt;$C$4,"Put","Call"),O315+$C$14,$C$4,$C$10*SQRT($C$7),,$C$11)-
2*_xll.qlBlackFormula(IF(O315&lt;$C$4,"Put","Call"),O315,$C$4,$C$10*SQRT($C$7),,$C$11)+
_xll.qlBlackFormula(IF(O315&lt;$C$4,"Put","Call"),O315-$C$14,$C$4,$C$10*SQRT($C$7),,$C$11))/$C$14^2,"")</f>
        <v>0.29677696322043084</v>
      </c>
      <c r="U315" s="43">
        <f>IFERROR((_xll.qlBachelierBlackFormula(IF(O315&lt;$C$4,"Put","Call"),O315+$C$14,$C$4,$C$12*SQRT($C$7))-
2*_xll.qlBachelierBlackFormula(IF(O315&lt;$C$4,"Put","Call"),O315,$C$4,$C$12*SQRT($C$7))+
_xll.qlBachelierBlackFormula(IF(O315&lt;$C$4,"Put","Call"),O315-$C$14,$C$4,$C$12*SQRT($C$7)))/$C$14^2,"")</f>
        <v>2.7750627338486559E-4</v>
      </c>
      <c r="V315" s="61">
        <f>IFERROR(_xll.qlBachelierBlackFormulaImpliedVol(IF(O315&lt;$C$4,"Put","Call"),O315,$C$4,$C$7,P315),"")</f>
        <v>6.9886429996499008E-3</v>
      </c>
      <c r="W315" s="61">
        <f>IFERROR(_xll.qlBachelierBlackFormulaImpliedVol(IF(O315&lt;$C$4,"Put","Call"),O315,$C$4,$C$7,Q315),"")</f>
        <v>5.2468351984346177E-3</v>
      </c>
      <c r="X315" s="61">
        <f>IFERROR(_xll.qlBachelierBlackFormulaImpliedVol(IF(O315&lt;$C$4,"Put","Call"),O315,$C$4,$C$7,R315),"")</f>
        <v>3.1332853389001124E-3</v>
      </c>
      <c r="Y315" s="42"/>
    </row>
    <row r="316" spans="15:25">
      <c r="O316" s="37">
        <f t="shared" si="5"/>
        <v>2.1099999999999924E-2</v>
      </c>
      <c r="P316" s="38">
        <f>IFERROR(_xll.qlBlackFormula(IF(O316&lt;$C$4,"Put","Call"),O316,$C$4,$C$9*SQRT($C$7)),"")</f>
        <v>2.5890669034900625E-5</v>
      </c>
      <c r="Q316" s="39">
        <f>IFERROR(_xll.qlBlackFormula(IF(O316&lt;$C$4,"Put","Call"),O316,$C$4,$C$10*SQRT($C$7),,$C$11),"")</f>
        <v>1.6132727315162138E-6</v>
      </c>
      <c r="R316" s="40">
        <f>IFERROR(_xll.qlBachelierBlackFormula(IF(O316&lt;$C$4,"Put","Call"),O316,$C$4,$C$12*SQRT($C$7)),"")</f>
        <v>7.9050706919881847E-11</v>
      </c>
      <c r="S316" s="41">
        <f>IFERROR((_xll.qlBlackFormula(IF(O316&lt;$C$4,"Put","Call"),O316+$C$14,$C$4,$C$9*SQRT($C$7))-
2*_xll.qlBlackFormula(IF(O316&lt;$C$4,"Put","Call"),O316,$C$4,$C$9*SQRT($C$7))+
_xll.qlBlackFormula(IF(O316&lt;$C$4,"Put","Call"),O316-$C$14,$C$4,$C$9*SQRT($C$7)))/$C$14^2,"")</f>
        <v>1.0693808170795029</v>
      </c>
      <c r="T316" s="42">
        <f>IFERROR((_xll.qlBlackFormula(IF(O316&lt;$C$4,"Put","Call"),O316+$C$14,$C$4,$C$10*SQRT($C$7),,$C$11)-
2*_xll.qlBlackFormula(IF(O316&lt;$C$4,"Put","Call"),O316,$C$4,$C$10*SQRT($C$7),,$C$11)+
_xll.qlBlackFormula(IF(O316&lt;$C$4,"Put","Call"),O316-$C$14,$C$4,$C$10*SQRT($C$7),,$C$11))/$C$14^2,"")</f>
        <v>0.28432124547523446</v>
      </c>
      <c r="U316" s="43">
        <f>IFERROR((_xll.qlBachelierBlackFormula(IF(O316&lt;$C$4,"Put","Call"),O316+$C$14,$C$4,$C$12*SQRT($C$7))-
2*_xll.qlBachelierBlackFormula(IF(O316&lt;$C$4,"Put","Call"),O316,$C$4,$C$12*SQRT($C$7))+
_xll.qlBachelierBlackFormula(IF(O316&lt;$C$4,"Put","Call"),O316-$C$14,$C$4,$C$12*SQRT($C$7)))/$C$14^2,"")</f>
        <v>2.3512240071984675E-4</v>
      </c>
      <c r="V316" s="61">
        <f>IFERROR(_xll.qlBachelierBlackFormulaImpliedVol(IF(O316&lt;$C$4,"Put","Call"),O316,$C$4,$C$7,P316),"")</f>
        <v>7.0091320063638395E-3</v>
      </c>
      <c r="W316" s="61">
        <f>IFERROR(_xll.qlBachelierBlackFormulaImpliedVol(IF(O316&lt;$C$4,"Put","Call"),O316,$C$4,$C$7,Q316),"")</f>
        <v>5.2585031236212464E-3</v>
      </c>
      <c r="X316" s="61">
        <f>IFERROR(_xll.qlBachelierBlackFormulaImpliedVol(IF(O316&lt;$C$4,"Put","Call"),O316,$C$4,$C$7,R316),"")</f>
        <v>3.1332853406652599E-3</v>
      </c>
      <c r="Y316" s="42"/>
    </row>
    <row r="317" spans="15:25">
      <c r="O317" s="37">
        <f t="shared" si="5"/>
        <v>2.1199999999999924E-2</v>
      </c>
      <c r="P317" s="38">
        <f>IFERROR(_xll.qlBlackFormula(IF(O317&lt;$C$4,"Put","Call"),O317,$C$4,$C$9*SQRT($C$7)),"")</f>
        <v>2.5399087038849983E-5</v>
      </c>
      <c r="Q317" s="39">
        <f>IFERROR(_xll.qlBlackFormula(IF(O317&lt;$C$4,"Put","Call"),O317,$C$4,$C$10*SQRT($C$7),,$C$11),"")</f>
        <v>1.5475015722793127E-6</v>
      </c>
      <c r="R317" s="40">
        <f>IFERROR(_xll.qlBachelierBlackFormula(IF(O317&lt;$C$4,"Put","Call"),O317,$C$4,$C$12*SQRT($C$7)),"")</f>
        <v>6.6309168695227817E-11</v>
      </c>
      <c r="S317" s="41">
        <f>IFERROR((_xll.qlBlackFormula(IF(O317&lt;$C$4,"Put","Call"),O317+$C$14,$C$4,$C$9*SQRT($C$7))-
2*_xll.qlBlackFormula(IF(O317&lt;$C$4,"Put","Call"),O317,$C$4,$C$9*SQRT($C$7))+
_xll.qlBlackFormula(IF(O317&lt;$C$4,"Put","Call"),O317-$C$14,$C$4,$C$9*SQRT($C$7)))/$C$14^2,"")</f>
        <v>1.0441427318033312</v>
      </c>
      <c r="T317" s="42">
        <f>IFERROR((_xll.qlBlackFormula(IF(O317&lt;$C$4,"Put","Call"),O317+$C$14,$C$4,$C$10*SQRT($C$7),,$C$11)-
2*_xll.qlBlackFormula(IF(O317&lt;$C$4,"Put","Call"),O317,$C$4,$C$10*SQRT($C$7),,$C$11)+
_xll.qlBlackFormula(IF(O317&lt;$C$4,"Put","Call"),O317-$C$14,$C$4,$C$10*SQRT($C$7),,$C$11))/$C$14^2,"")</f>
        <v>0.27238792344179591</v>
      </c>
      <c r="U317" s="43">
        <f>IFERROR((_xll.qlBachelierBlackFormula(IF(O317&lt;$C$4,"Put","Call"),O317+$C$14,$C$4,$C$12*SQRT($C$7))-
2*_xll.qlBachelierBlackFormula(IF(O317&lt;$C$4,"Put","Call"),O317,$C$4,$C$12*SQRT($C$7))+
_xll.qlBachelierBlackFormula(IF(O317&lt;$C$4,"Put","Call"),O317-$C$14,$C$4,$C$12*SQRT($C$7)))/$C$14^2,"")</f>
        <v>1.987969531303505E-4</v>
      </c>
      <c r="V317" s="61">
        <f>IFERROR(_xll.qlBachelierBlackFormulaImpliedVol(IF(O317&lt;$C$4,"Put","Call"),O317,$C$4,$C$7,P317),"")</f>
        <v>7.0295956876079363E-3</v>
      </c>
      <c r="W317" s="61">
        <f>IFERROR(_xll.qlBachelierBlackFormulaImpliedVol(IF(O317&lt;$C$4,"Put","Call"),O317,$C$4,$C$7,Q317),"")</f>
        <v>5.2701583818972209E-3</v>
      </c>
      <c r="X317" s="61">
        <f>IFERROR(_xll.qlBachelierBlackFormulaImpliedVol(IF(O317&lt;$C$4,"Put","Call"),O317,$C$4,$C$7,R317),"")</f>
        <v>3.1332853394855946E-3</v>
      </c>
      <c r="Y317" s="42"/>
    </row>
    <row r="318" spans="15:25">
      <c r="O318" s="37">
        <f t="shared" si="5"/>
        <v>2.1299999999999923E-2</v>
      </c>
      <c r="P318" s="38">
        <f>IFERROR(_xll.qlBlackFormula(IF(O318&lt;$C$4,"Put","Call"),O318,$C$4,$C$9*SQRT($C$7)),"")</f>
        <v>2.4917947025104108E-5</v>
      </c>
      <c r="Q318" s="39">
        <f>IFERROR(_xll.qlBlackFormula(IF(O318&lt;$C$4,"Put","Call"),O318,$C$4,$C$10*SQRT($C$7),,$C$11),"")</f>
        <v>1.4844547094397565E-6</v>
      </c>
      <c r="R318" s="40">
        <f>IFERROR(_xll.qlBachelierBlackFormula(IF(O318&lt;$C$4,"Put","Call"),O318,$C$4,$C$12*SQRT($C$7)),"")</f>
        <v>5.5567934007892652E-11</v>
      </c>
      <c r="S318" s="41">
        <f>IFERROR((_xll.qlBlackFormula(IF(O318&lt;$C$4,"Put","Call"),O318+$C$14,$C$4,$C$9*SQRT($C$7))-
2*_xll.qlBlackFormula(IF(O318&lt;$C$4,"Put","Call"),O318,$C$4,$C$9*SQRT($C$7))+
_xll.qlBlackFormula(IF(O318&lt;$C$4,"Put","Call"),O318-$C$14,$C$4,$C$9*SQRT($C$7)))/$C$14^2,"")</f>
        <v>1.0195611580476536</v>
      </c>
      <c r="T318" s="42">
        <f>IFERROR((_xll.qlBlackFormula(IF(O318&lt;$C$4,"Put","Call"),O318+$C$14,$C$4,$C$10*SQRT($C$7),,$C$11)-
2*_xll.qlBlackFormula(IF(O318&lt;$C$4,"Put","Call"),O318,$C$4,$C$10*SQRT($C$7),,$C$11)+
_xll.qlBlackFormula(IF(O318&lt;$C$4,"Put","Call"),O318-$C$14,$C$4,$C$10*SQRT($C$7),,$C$11))/$C$14^2,"")</f>
        <v>0.26096039188621722</v>
      </c>
      <c r="U318" s="43">
        <f>IFERROR((_xll.qlBachelierBlackFormula(IF(O318&lt;$C$4,"Put","Call"),O318+$C$14,$C$4,$C$12*SQRT($C$7))-
2*_xll.qlBachelierBlackFormula(IF(O318&lt;$C$4,"Put","Call"),O318,$C$4,$C$12*SQRT($C$7))+
_xll.qlBachelierBlackFormula(IF(O318&lt;$C$4,"Put","Call"),O318-$C$14,$C$4,$C$12*SQRT($C$7)))/$C$14^2,"")</f>
        <v>1.6830118870722637E-4</v>
      </c>
      <c r="V318" s="61">
        <f>IFERROR(_xll.qlBachelierBlackFormulaImpliedVol(IF(O318&lt;$C$4,"Put","Call"),O318,$C$4,$C$7,P318),"")</f>
        <v>7.0500342139119335E-3</v>
      </c>
      <c r="W318" s="61">
        <f>IFERROR(_xll.qlBachelierBlackFormulaImpliedVol(IF(O318&lt;$C$4,"Put","Call"),O318,$C$4,$C$7,Q318),"")</f>
        <v>5.2818010434132782E-3</v>
      </c>
      <c r="X318" s="61">
        <f>IFERROR(_xll.qlBachelierBlackFormulaImpliedVol(IF(O318&lt;$C$4,"Put","Call"),O318,$C$4,$C$7,R318),"")</f>
        <v>3.1332853409142603E-3</v>
      </c>
      <c r="Y318" s="42"/>
    </row>
    <row r="319" spans="15:25">
      <c r="O319" s="37">
        <f t="shared" si="5"/>
        <v>2.1399999999999923E-2</v>
      </c>
      <c r="P319" s="38">
        <f>IFERROR(_xll.qlBlackFormula(IF(O319&lt;$C$4,"Put","Call"),O319,$C$4,$C$9*SQRT($C$7)),"")</f>
        <v>2.4447003153927686E-5</v>
      </c>
      <c r="Q319" s="39">
        <f>IFERROR(_xll.qlBlackFormula(IF(O319&lt;$C$4,"Put","Call"),O319,$C$4,$C$10*SQRT($C$7),,$C$11),"")</f>
        <v>1.424017857679628E-6</v>
      </c>
      <c r="R319" s="40">
        <f>IFERROR(_xll.qlBachelierBlackFormula(IF(O319&lt;$C$4,"Put","Call"),O319,$C$4,$C$12*SQRT($C$7)),"")</f>
        <v>4.6521908674528671E-11</v>
      </c>
      <c r="S319" s="41">
        <f>IFERROR((_xll.qlBlackFormula(IF(O319&lt;$C$4,"Put","Call"),O319+$C$14,$C$4,$C$9*SQRT($C$7))-
2*_xll.qlBlackFormula(IF(O319&lt;$C$4,"Put","Call"),O319,$C$4,$C$9*SQRT($C$7))+
_xll.qlBlackFormula(IF(O319&lt;$C$4,"Put","Call"),O319-$C$14,$C$4,$C$9*SQRT($C$7)))/$C$14^2,"")</f>
        <v>0.99561639043798533</v>
      </c>
      <c r="T319" s="42">
        <f>IFERROR((_xll.qlBlackFormula(IF(O319&lt;$C$4,"Put","Call"),O319+$C$14,$C$4,$C$10*SQRT($C$7),,$C$11)-
2*_xll.qlBlackFormula(IF(O319&lt;$C$4,"Put","Call"),O319,$C$4,$C$10*SQRT($C$7),,$C$11)+
_xll.qlBlackFormula(IF(O319&lt;$C$4,"Put","Call"),O319-$C$14,$C$4,$C$10*SQRT($C$7),,$C$11))/$C$14^2,"")</f>
        <v>0.25001566911057349</v>
      </c>
      <c r="U319" s="43">
        <f>IFERROR((_xll.qlBachelierBlackFormula(IF(O319&lt;$C$4,"Put","Call"),O319+$C$14,$C$4,$C$12*SQRT($C$7))-
2*_xll.qlBachelierBlackFormula(IF(O319&lt;$C$4,"Put","Call"),O319,$C$4,$C$12*SQRT($C$7))+
_xll.qlBachelierBlackFormula(IF(O319&lt;$C$4,"Put","Call"),O319-$C$14,$C$4,$C$12*SQRT($C$7)))/$C$14^2,"")</f>
        <v>1.4249306612122212E-4</v>
      </c>
      <c r="V319" s="61">
        <f>IFERROR(_xll.qlBachelierBlackFormulaImpliedVol(IF(O319&lt;$C$4,"Put","Call"),O319,$C$4,$C$7,P319),"")</f>
        <v>7.0704477538366612E-3</v>
      </c>
      <c r="W319" s="61">
        <f>IFERROR(_xll.qlBachelierBlackFormulaImpliedVol(IF(O319&lt;$C$4,"Put","Call"),O319,$C$4,$C$7,Q319),"")</f>
        <v>5.2934311776599739E-3</v>
      </c>
      <c r="X319" s="61">
        <f>IFERROR(_xll.qlBachelierBlackFormulaImpliedVol(IF(O319&lt;$C$4,"Put","Call"),O319,$C$4,$C$7,R319),"")</f>
        <v>3.1332853408140363E-3</v>
      </c>
      <c r="Y319" s="42"/>
    </row>
    <row r="320" spans="15:25">
      <c r="O320" s="37">
        <f t="shared" si="5"/>
        <v>2.1499999999999922E-2</v>
      </c>
      <c r="P320" s="38">
        <f>IFERROR(_xll.qlBlackFormula(IF(O320&lt;$C$4,"Put","Call"),O320,$C$4,$C$9*SQRT($C$7)),"")</f>
        <v>2.3986015945455104E-5</v>
      </c>
      <c r="Q320" s="39">
        <f>IFERROR(_xll.qlBlackFormula(IF(O320&lt;$C$4,"Put","Call"),O320,$C$4,$C$10*SQRT($C$7),,$C$11),"")</f>
        <v>1.366081568151034E-6</v>
      </c>
      <c r="R320" s="40">
        <f>IFERROR(_xll.qlBachelierBlackFormula(IF(O320&lt;$C$4,"Put","Call"),O320,$C$4,$C$12*SQRT($C$7)),"")</f>
        <v>3.891106892184083E-11</v>
      </c>
      <c r="S320" s="41">
        <f>IFERROR((_xll.qlBlackFormula(IF(O320&lt;$C$4,"Put","Call"),O320+$C$14,$C$4,$C$9*SQRT($C$7))-
2*_xll.qlBlackFormula(IF(O320&lt;$C$4,"Put","Call"),O320,$C$4,$C$9*SQRT($C$7))+
_xll.qlBlackFormula(IF(O320&lt;$C$4,"Put","Call"),O320-$C$14,$C$4,$C$9*SQRT($C$7)))/$C$14^2,"")</f>
        <v>0.97228739545218024</v>
      </c>
      <c r="T320" s="42">
        <f>IFERROR((_xll.qlBlackFormula(IF(O320&lt;$C$4,"Put","Call"),O320+$C$14,$C$4,$C$10*SQRT($C$7),,$C$11)-
2*_xll.qlBlackFormula(IF(O320&lt;$C$4,"Put","Call"),O320,$C$4,$C$10*SQRT($C$7),,$C$11)+
_xll.qlBlackFormula(IF(O320&lt;$C$4,"Put","Call"),O320-$C$14,$C$4,$C$10*SQRT($C$7),,$C$11))/$C$14^2,"")</f>
        <v>0.23953904045850502</v>
      </c>
      <c r="U320" s="43">
        <f>IFERROR((_xll.qlBachelierBlackFormula(IF(O320&lt;$C$4,"Put","Call"),O320+$C$14,$C$4,$C$12*SQRT($C$7))-
2*_xll.qlBachelierBlackFormula(IF(O320&lt;$C$4,"Put","Call"),O320,$C$4,$C$12*SQRT($C$7))+
_xll.qlBachelierBlackFormula(IF(O320&lt;$C$4,"Put","Call"),O320-$C$14,$C$4,$C$12*SQRT($C$7)))/$C$14^2,"")</f>
        <v>1.2078762764496835E-4</v>
      </c>
      <c r="V320" s="61">
        <f>IFERROR(_xll.qlBachelierBlackFormulaImpliedVol(IF(O320&lt;$C$4,"Put","Call"),O320,$C$4,$C$7,P320),"")</f>
        <v>7.0908364740054821E-3</v>
      </c>
      <c r="W320" s="61">
        <f>IFERROR(_xll.qlBachelierBlackFormulaImpliedVol(IF(O320&lt;$C$4,"Put","Call"),O320,$C$4,$C$7,Q320),"")</f>
        <v>5.3050488534713437E-3</v>
      </c>
      <c r="X320" s="61">
        <f>IFERROR(_xll.qlBachelierBlackFormulaImpliedVol(IF(O320&lt;$C$4,"Put","Call"),O320,$C$4,$C$7,R320),"")</f>
        <v>3.1332853421925872E-3</v>
      </c>
      <c r="Y320" s="42"/>
    </row>
    <row r="321" spans="15:25">
      <c r="O321" s="37">
        <f t="shared" si="5"/>
        <v>2.1599999999999921E-2</v>
      </c>
      <c r="P321" s="38">
        <f>IFERROR(_xll.qlBlackFormula(IF(O321&lt;$C$4,"Put","Call"),O321,$C$4,$C$9*SQRT($C$7)),"")</f>
        <v>2.3534752100362209E-5</v>
      </c>
      <c r="Q321" s="39">
        <f>IFERROR(_xll.qlBlackFormula(IF(O321&lt;$C$4,"Put","Call"),O321,$C$4,$C$10*SQRT($C$7),,$C$11),"")</f>
        <v>1.3105410230695107E-6</v>
      </c>
      <c r="R321" s="40">
        <f>IFERROR(_xll.qlBachelierBlackFormula(IF(O321&lt;$C$4,"Put","Call"),O321,$C$4,$C$12*SQRT($C$7)),"")</f>
        <v>3.2514039868358269E-11</v>
      </c>
      <c r="S321" s="41">
        <f>IFERROR((_xll.qlBlackFormula(IF(O321&lt;$C$4,"Put","Call"),O321+$C$14,$C$4,$C$9*SQRT($C$7))-
2*_xll.qlBlackFormula(IF(O321&lt;$C$4,"Put","Call"),O321,$C$4,$C$9*SQRT($C$7))+
_xll.qlBlackFormula(IF(O321&lt;$C$4,"Put","Call"),O321-$C$14,$C$4,$C$9*SQRT($C$7)))/$C$14^2,"")</f>
        <v>0.94955705624844011</v>
      </c>
      <c r="T321" s="42">
        <f>IFERROR((_xll.qlBlackFormula(IF(O321&lt;$C$4,"Put","Call"),O321+$C$14,$C$4,$C$10*SQRT($C$7),,$C$11)-
2*_xll.qlBlackFormula(IF(O321&lt;$C$4,"Put","Call"),O321,$C$4,$C$10*SQRT($C$7),,$C$11)+
_xll.qlBlackFormula(IF(O321&lt;$C$4,"Put","Call"),O321-$C$14,$C$4,$C$10*SQRT($C$7),,$C$11))/$C$14^2,"")</f>
        <v>0.22950308747350917</v>
      </c>
      <c r="U321" s="43">
        <f>IFERROR((_xll.qlBachelierBlackFormula(IF(O321&lt;$C$4,"Put","Call"),O321+$C$14,$C$4,$C$12*SQRT($C$7))-
2*_xll.qlBachelierBlackFormula(IF(O321&lt;$C$4,"Put","Call"),O321,$C$4,$C$12*SQRT($C$7))+
_xll.qlBachelierBlackFormula(IF(O321&lt;$C$4,"Put","Call"),O321-$C$14,$C$4,$C$12*SQRT($C$7)))/$C$14^2,"")</f>
        <v>1.0195504802709112E-4</v>
      </c>
      <c r="V321" s="61">
        <f>IFERROR(_xll.qlBachelierBlackFormulaImpliedVol(IF(O321&lt;$C$4,"Put","Call"),O321,$C$4,$C$7,P321),"")</f>
        <v>7.1112005391358781E-3</v>
      </c>
      <c r="W321" s="61">
        <f>IFERROR(_xll.qlBachelierBlackFormulaImpliedVol(IF(O321&lt;$C$4,"Put","Call"),O321,$C$4,$C$7,Q321),"")</f>
        <v>5.3166541390408453E-3</v>
      </c>
      <c r="X321" s="61">
        <f>IFERROR(_xll.qlBachelierBlackFormulaImpliedVol(IF(O321&lt;$C$4,"Put","Call"),O321,$C$4,$C$7,R321),"")</f>
        <v>3.1332853433678818E-3</v>
      </c>
      <c r="Y321" s="42"/>
    </row>
    <row r="322" spans="15:25">
      <c r="O322" s="37">
        <f t="shared" si="5"/>
        <v>2.1699999999999921E-2</v>
      </c>
      <c r="P322" s="38">
        <f>IFERROR(_xll.qlBlackFormula(IF(O322&lt;$C$4,"Put","Call"),O322,$C$4,$C$9*SQRT($C$7)),"")</f>
        <v>2.3092984326002097E-5</v>
      </c>
      <c r="Q322" s="39">
        <f>IFERROR(_xll.qlBlackFormula(IF(O322&lt;$C$4,"Put","Call"),O322,$C$4,$C$10*SQRT($C$7),,$C$11),"")</f>
        <v>1.2572958389842135E-6</v>
      </c>
      <c r="R322" s="40">
        <f>IFERROR(_xll.qlBachelierBlackFormula(IF(O322&lt;$C$4,"Put","Call"),O322,$C$4,$C$12*SQRT($C$7)),"")</f>
        <v>2.7142547605655259E-11</v>
      </c>
      <c r="S322" s="41">
        <f>IFERROR((_xll.qlBlackFormula(IF(O322&lt;$C$4,"Put","Call"),O322+$C$14,$C$4,$C$9*SQRT($C$7))-
2*_xll.qlBlackFormula(IF(O322&lt;$C$4,"Put","Call"),O322,$C$4,$C$9*SQRT($C$7))+
_xll.qlBlackFormula(IF(O322&lt;$C$4,"Put","Call"),O322-$C$14,$C$4,$C$9*SQRT($C$7)))/$C$14^2,"")</f>
        <v>0.92741409712417122</v>
      </c>
      <c r="T322" s="42">
        <f>IFERROR((_xll.qlBlackFormula(IF(O322&lt;$C$4,"Put","Call"),O322+$C$14,$C$4,$C$10*SQRT($C$7),,$C$11)-
2*_xll.qlBlackFormula(IF(O322&lt;$C$4,"Put","Call"),O322,$C$4,$C$10*SQRT($C$7),,$C$11)+
_xll.qlBlackFormula(IF(O322&lt;$C$4,"Put","Call"),O322-$C$14,$C$4,$C$10*SQRT($C$7),,$C$11))/$C$14^2,"")</f>
        <v>0.21988741190815017</v>
      </c>
      <c r="U322" s="43">
        <f>IFERROR((_xll.qlBachelierBlackFormula(IF(O322&lt;$C$4,"Put","Call"),O322+$C$14,$C$4,$C$12*SQRT($C$7))-
2*_xll.qlBachelierBlackFormula(IF(O322&lt;$C$4,"Put","Call"),O322,$C$4,$C$12*SQRT($C$7))+
_xll.qlBachelierBlackFormula(IF(O322&lt;$C$4,"Put","Call"),O322-$C$14,$C$4,$C$12*SQRT($C$7)))/$C$14^2,"")</f>
        <v>8.661726730956889E-5</v>
      </c>
      <c r="V322" s="61">
        <f>IFERROR(_xll.qlBachelierBlackFormulaImpliedVol(IF(O322&lt;$C$4,"Put","Call"),O322,$C$4,$C$7,P322),"")</f>
        <v>7.1315401120701062E-3</v>
      </c>
      <c r="W322" s="61">
        <f>IFERROR(_xll.qlBachelierBlackFormulaImpliedVol(IF(O322&lt;$C$4,"Put","Call"),O322,$C$4,$C$7,Q322),"")</f>
        <v>5.3282471019222817E-3</v>
      </c>
      <c r="X322" s="61">
        <f>IFERROR(_xll.qlBachelierBlackFormulaImpliedVol(IF(O322&lt;$C$4,"Put","Call"),O322,$C$4,$C$7,R322),"")</f>
        <v>3.1332853416636301E-3</v>
      </c>
      <c r="Y322" s="42"/>
    </row>
    <row r="323" spans="15:25">
      <c r="O323" s="37">
        <f t="shared" si="5"/>
        <v>2.179999999999992E-2</v>
      </c>
      <c r="P323" s="38">
        <f>IFERROR(_xll.qlBlackFormula(IF(O323&lt;$C$4,"Put","Call"),O323,$C$4,$C$9*SQRT($C$7)),"")</f>
        <v>2.2660491167843407E-5</v>
      </c>
      <c r="Q323" s="39">
        <f>IFERROR(_xll.qlBlackFormula(IF(O323&lt;$C$4,"Put","Call"),O323,$C$4,$C$10*SQRT($C$7),,$C$11),"")</f>
        <v>1.2062498783892611E-6</v>
      </c>
      <c r="R323" s="40">
        <f>IFERROR(_xll.qlBachelierBlackFormula(IF(O323&lt;$C$4,"Put","Call"),O323,$C$4,$C$12*SQRT($C$7)),"")</f>
        <v>2.2636639251769187E-11</v>
      </c>
      <c r="S323" s="41">
        <f>IFERROR((_xll.qlBlackFormula(IF(O323&lt;$C$4,"Put","Call"),O323+$C$14,$C$4,$C$9*SQRT($C$7))-
2*_xll.qlBlackFormula(IF(O323&lt;$C$4,"Put","Call"),O323,$C$4,$C$9*SQRT($C$7))+
_xll.qlBlackFormula(IF(O323&lt;$C$4,"Put","Call"),O323-$C$14,$C$4,$C$9*SQRT($C$7)))/$C$14^2,"")</f>
        <v>0.90583881270488864</v>
      </c>
      <c r="T323" s="42">
        <f>IFERROR((_xll.qlBlackFormula(IF(O323&lt;$C$4,"Put","Call"),O323+$C$14,$C$4,$C$10*SQRT($C$7),,$C$11)-
2*_xll.qlBlackFormula(IF(O323&lt;$C$4,"Put","Call"),O323,$C$4,$C$10*SQRT($C$7),,$C$11)+
_xll.qlBlackFormula(IF(O323&lt;$C$4,"Put","Call"),O323-$C$14,$C$4,$C$10*SQRT($C$7),,$C$11))/$C$14^2,"")</f>
        <v>0.21068289291165196</v>
      </c>
      <c r="U323" s="43">
        <f>IFERROR((_xll.qlBachelierBlackFormula(IF(O323&lt;$C$4,"Put","Call"),O323+$C$14,$C$4,$C$12*SQRT($C$7))-
2*_xll.qlBachelierBlackFormula(IF(O323&lt;$C$4,"Put","Call"),O323,$C$4,$C$12*SQRT($C$7))+
_xll.qlBachelierBlackFormula(IF(O323&lt;$C$4,"Put","Call"),O323-$C$14,$C$4,$C$12*SQRT($C$7)))/$C$14^2,"")</f>
        <v>7.3337464289795811E-5</v>
      </c>
      <c r="V323" s="61">
        <f>IFERROR(_xll.qlBachelierBlackFormulaImpliedVol(IF(O323&lt;$C$4,"Put","Call"),O323,$C$4,$C$7,P323),"")</f>
        <v>7.1518553538052598E-3</v>
      </c>
      <c r="W323" s="61">
        <f>IFERROR(_xll.qlBachelierBlackFormulaImpliedVol(IF(O323&lt;$C$4,"Put","Call"),O323,$C$4,$C$7,Q323),"")</f>
        <v>5.3398278090403123E-3</v>
      </c>
      <c r="X323" s="61">
        <f>IFERROR(_xll.qlBachelierBlackFormulaImpliedVol(IF(O323&lt;$C$4,"Put","Call"),O323,$C$4,$C$7,R323),"")</f>
        <v>3.1332853422130786E-3</v>
      </c>
      <c r="Y323" s="42"/>
    </row>
    <row r="324" spans="15:25">
      <c r="O324" s="37">
        <f t="shared" si="5"/>
        <v>2.189999999999992E-2</v>
      </c>
      <c r="P324" s="38">
        <f>IFERROR(_xll.qlBlackFormula(IF(O324&lt;$C$4,"Put","Call"),O324,$C$4,$C$9*SQRT($C$7)),"")</f>
        <v>2.2237056846013706E-5</v>
      </c>
      <c r="Q324" s="39">
        <f>IFERROR(_xll.qlBlackFormula(IF(O324&lt;$C$4,"Put","Call"),O324,$C$4,$C$10*SQRT($C$7),,$C$11),"")</f>
        <v>1.157311069324263E-6</v>
      </c>
      <c r="R324" s="40">
        <f>IFERROR(_xll.qlBachelierBlackFormula(IF(O324&lt;$C$4,"Put","Call"),O324,$C$4,$C$12*SQRT($C$7)),"")</f>
        <v>1.8860567214016644E-11</v>
      </c>
      <c r="S324" s="41">
        <f>IFERROR((_xll.qlBlackFormula(IF(O324&lt;$C$4,"Put","Call"),O324+$C$14,$C$4,$C$9*SQRT($C$7))-
2*_xll.qlBlackFormula(IF(O324&lt;$C$4,"Put","Call"),O324,$C$4,$C$9*SQRT($C$7))+
_xll.qlBlackFormula(IF(O324&lt;$C$4,"Put","Call"),O324-$C$14,$C$4,$C$9*SQRT($C$7)))/$C$14^2,"")</f>
        <v>0.88481418101648424</v>
      </c>
      <c r="T324" s="42">
        <f>IFERROR((_xll.qlBlackFormula(IF(O324&lt;$C$4,"Put","Call"),O324+$C$14,$C$4,$C$10*SQRT($C$7),,$C$11)-
2*_xll.qlBlackFormula(IF(O324&lt;$C$4,"Put","Call"),O324,$C$4,$C$10*SQRT($C$7),,$C$11)+
_xll.qlBlackFormula(IF(O324&lt;$C$4,"Put","Call"),O324-$C$14,$C$4,$C$10*SQRT($C$7),,$C$11))/$C$14^2,"")</f>
        <v>0.20186653353949663</v>
      </c>
      <c r="U324" s="43">
        <f>IFERROR((_xll.qlBachelierBlackFormula(IF(O324&lt;$C$4,"Put","Call"),O324+$C$14,$C$4,$C$12*SQRT($C$7))-
2*_xll.qlBachelierBlackFormula(IF(O324&lt;$C$4,"Put","Call"),O324,$C$4,$C$12*SQRT($C$7))+
_xll.qlBachelierBlackFormula(IF(O324&lt;$C$4,"Put","Call"),O324-$C$14,$C$4,$C$12*SQRT($C$7)))/$C$14^2,"")</f>
        <v>6.2101145936259327E-5</v>
      </c>
      <c r="V324" s="61">
        <f>IFERROR(_xll.qlBachelierBlackFormulaImpliedVol(IF(O324&lt;$C$4,"Put","Call"),O324,$C$4,$C$7,P324),"")</f>
        <v>7.1721464235227133E-3</v>
      </c>
      <c r="W324" s="61">
        <f>IFERROR(_xll.qlBachelierBlackFormulaImpliedVol(IF(O324&lt;$C$4,"Put","Call"),O324,$C$4,$C$7,Q324),"")</f>
        <v>5.3513963267027382E-3</v>
      </c>
      <c r="X324" s="61">
        <f>IFERROR(_xll.qlBachelierBlackFormulaImpliedVol(IF(O324&lt;$C$4,"Put","Call"),O324,$C$4,$C$7,R324),"")</f>
        <v>3.1332853419775491E-3</v>
      </c>
      <c r="Y324" s="42"/>
    </row>
    <row r="325" spans="15:25">
      <c r="O325" s="37">
        <f t="shared" si="5"/>
        <v>2.1999999999999919E-2</v>
      </c>
      <c r="P325" s="38">
        <f>IFERROR(_xll.qlBlackFormula(IF(O325&lt;$C$4,"Put","Call"),O325,$C$4,$C$9*SQRT($C$7)),"")</f>
        <v>2.1822471096795697E-5</v>
      </c>
      <c r="Q325" s="39">
        <f>IFERROR(_xll.qlBlackFormula(IF(O325&lt;$C$4,"Put","Call"),O325,$C$4,$C$10*SQRT($C$7),,$C$11),"")</f>
        <v>1.1103912326094579E-6</v>
      </c>
      <c r="R325" s="40">
        <f>IFERROR(_xll.qlBachelierBlackFormula(IF(O325&lt;$C$4,"Put","Call"),O325,$C$4,$C$12*SQRT($C$7)),"")</f>
        <v>1.569924534834644E-11</v>
      </c>
      <c r="S325" s="41">
        <f>IFERROR((_xll.qlBlackFormula(IF(O325&lt;$C$4,"Put","Call"),O325+$C$14,$C$4,$C$9*SQRT($C$7))-
2*_xll.qlBlackFormula(IF(O325&lt;$C$4,"Put","Call"),O325,$C$4,$C$9*SQRT($C$7))+
_xll.qlBlackFormula(IF(O325&lt;$C$4,"Put","Call"),O325-$C$14,$C$4,$C$9*SQRT($C$7)))/$C$14^2,"")</f>
        <v>0.86432267864134527</v>
      </c>
      <c r="T325" s="42">
        <f>IFERROR((_xll.qlBlackFormula(IF(O325&lt;$C$4,"Put","Call"),O325+$C$14,$C$4,$C$10*SQRT($C$7),,$C$11)-
2*_xll.qlBlackFormula(IF(O325&lt;$C$4,"Put","Call"),O325,$C$4,$C$10*SQRT($C$7),,$C$11)+
_xll.qlBlackFormula(IF(O325&lt;$C$4,"Put","Call"),O325-$C$14,$C$4,$C$10*SQRT($C$7),,$C$11))/$C$14^2,"")</f>
        <v>0.19342281445402457</v>
      </c>
      <c r="U325" s="43">
        <f>IFERROR((_xll.qlBachelierBlackFormula(IF(O325&lt;$C$4,"Put","Call"),O325+$C$14,$C$4,$C$12*SQRT($C$7))-
2*_xll.qlBachelierBlackFormula(IF(O325&lt;$C$4,"Put","Call"),O325,$C$4,$C$12*SQRT($C$7))+
_xll.qlBachelierBlackFormula(IF(O325&lt;$C$4,"Put","Call"),O325-$C$14,$C$4,$C$12*SQRT($C$7)))/$C$14^2,"")</f>
        <v>5.2285284567873007E-5</v>
      </c>
      <c r="V325" s="61">
        <f>IFERROR(_xll.qlBachelierBlackFormulaImpliedVol(IF(O325&lt;$C$4,"Put","Call"),O325,$C$4,$C$7,P325),"")</f>
        <v>7.1924134786170131E-3</v>
      </c>
      <c r="W325" s="61">
        <f>IFERROR(_xll.qlBachelierBlackFormulaImpliedVol(IF(O325&lt;$C$4,"Put","Call"),O325,$C$4,$C$7,Q325),"")</f>
        <v>5.3629527206023181E-3</v>
      </c>
      <c r="X325" s="61">
        <f>IFERROR(_xll.qlBachelierBlackFormulaImpliedVol(IF(O325&lt;$C$4,"Put","Call"),O325,$C$4,$C$7,R325),"")</f>
        <v>3.1332853462847821E-3</v>
      </c>
      <c r="Y325" s="42"/>
    </row>
    <row r="326" spans="15:25">
      <c r="O326" s="37">
        <f t="shared" si="5"/>
        <v>2.2099999999999918E-2</v>
      </c>
      <c r="P326" s="38">
        <f>IFERROR(_xll.qlBlackFormula(IF(O326&lt;$C$4,"Put","Call"),O326,$C$4,$C$9*SQRT($C$7)),"")</f>
        <v>2.1416529018913473E-5</v>
      </c>
      <c r="Q326" s="39">
        <f>IFERROR(_xll.qlBlackFormula(IF(O326&lt;$C$4,"Put","Call"),O326,$C$4,$C$10*SQRT($C$7),,$C$11),"")</f>
        <v>1.0654059164208448E-6</v>
      </c>
      <c r="R326" s="40">
        <f>IFERROR(_xll.qlBachelierBlackFormula(IF(O326&lt;$C$4,"Put","Call"),O326,$C$4,$C$12*SQRT($C$7)),"")</f>
        <v>1.3055209413462531E-11</v>
      </c>
      <c r="S326" s="41">
        <f>IFERROR((_xll.qlBlackFormula(IF(O326&lt;$C$4,"Put","Call"),O326+$C$14,$C$4,$C$9*SQRT($C$7))-
2*_xll.qlBlackFormula(IF(O326&lt;$C$4,"Put","Call"),O326,$C$4,$C$9*SQRT($C$7))+
_xll.qlBlackFormula(IF(O326&lt;$C$4,"Put","Call"),O326-$C$14,$C$4,$C$9*SQRT($C$7)))/$C$14^2,"")</f>
        <v>0.84435610630054225</v>
      </c>
      <c r="T326" s="42">
        <f>IFERROR((_xll.qlBlackFormula(IF(O326&lt;$C$4,"Put","Call"),O326+$C$14,$C$4,$C$10*SQRT($C$7),,$C$11)-
2*_xll.qlBlackFormula(IF(O326&lt;$C$4,"Put","Call"),O326,$C$4,$C$10*SQRT($C$7),,$C$11)+
_xll.qlBlackFormula(IF(O326&lt;$C$4,"Put","Call"),O326-$C$14,$C$4,$C$10*SQRT($C$7),,$C$11))/$C$14^2,"")</f>
        <v>0.18533363625521884</v>
      </c>
      <c r="U326" s="43">
        <f>IFERROR((_xll.qlBachelierBlackFormula(IF(O326&lt;$C$4,"Put","Call"),O326+$C$14,$C$4,$C$12*SQRT($C$7))-
2*_xll.qlBachelierBlackFormula(IF(O326&lt;$C$4,"Put","Call"),O326,$C$4,$C$12*SQRT($C$7))+
_xll.qlBachelierBlackFormula(IF(O326&lt;$C$4,"Put","Call"),O326-$C$14,$C$4,$C$12*SQRT($C$7)))/$C$14^2,"")</f>
        <v>4.3424784805435492E-5</v>
      </c>
      <c r="V326" s="61">
        <f>IFERROR(_xll.qlBachelierBlackFormulaImpliedVol(IF(O326&lt;$C$4,"Put","Call"),O326,$C$4,$C$7,P326),"")</f>
        <v>7.2126566747237495E-3</v>
      </c>
      <c r="W326" s="61">
        <f>IFERROR(_xll.qlBachelierBlackFormulaImpliedVol(IF(O326&lt;$C$4,"Put","Call"),O326,$C$4,$C$7,Q326),"")</f>
        <v>5.3744970558308536E-3</v>
      </c>
      <c r="X326" s="61">
        <f>IFERROR(_xll.qlBachelierBlackFormulaImpliedVol(IF(O326&lt;$C$4,"Put","Call"),O326,$C$4,$C$7,R326),"")</f>
        <v>3.1332853512955751E-3</v>
      </c>
      <c r="Y326" s="42"/>
    </row>
    <row r="327" spans="15:25">
      <c r="O327" s="37">
        <f t="shared" si="5"/>
        <v>2.2199999999999918E-2</v>
      </c>
      <c r="P327" s="38">
        <f>IFERROR(_xll.qlBlackFormula(IF(O327&lt;$C$4,"Put","Call"),O327,$C$4,$C$9*SQRT($C$7)),"")</f>
        <v>2.1019030924458669E-5</v>
      </c>
      <c r="Q327" s="39">
        <f>IFERROR(_xll.qlBlackFormula(IF(O327&lt;$C$4,"Put","Call"),O327,$C$4,$C$10*SQRT($C$7),,$C$11),"")</f>
        <v>1.0222742378757668E-6</v>
      </c>
      <c r="R327" s="40">
        <f>IFERROR(_xll.qlBachelierBlackFormula(IF(O327&lt;$C$4,"Put","Call"),O327,$C$4,$C$12*SQRT($C$7)),"")</f>
        <v>1.0846001404923242E-11</v>
      </c>
      <c r="S327" s="41">
        <f>IFERROR((_xll.qlBlackFormula(IF(O327&lt;$C$4,"Put","Call"),O327+$C$14,$C$4,$C$9*SQRT($C$7))-
2*_xll.qlBlackFormula(IF(O327&lt;$C$4,"Put","Call"),O327,$C$4,$C$9*SQRT($C$7))+
_xll.qlBlackFormula(IF(O327&lt;$C$4,"Put","Call"),O327-$C$14,$C$4,$C$9*SQRT($C$7)))/$C$14^2,"")</f>
        <v>0.82489489414486195</v>
      </c>
      <c r="T327" s="42">
        <f>IFERROR((_xll.qlBlackFormula(IF(O327&lt;$C$4,"Put","Call"),O327+$C$14,$C$4,$C$10*SQRT($C$7),,$C$11)-
2*_xll.qlBlackFormula(IF(O327&lt;$C$4,"Put","Call"),O327,$C$4,$C$10*SQRT($C$7),,$C$11)+
_xll.qlBlackFormula(IF(O327&lt;$C$4,"Put","Call"),O327-$C$14,$C$4,$C$10*SQRT($C$7),,$C$11))/$C$14^2,"")</f>
        <v>0.17758810779344367</v>
      </c>
      <c r="U327" s="43">
        <f>IFERROR((_xll.qlBachelierBlackFormula(IF(O327&lt;$C$4,"Put","Call"),O327+$C$14,$C$4,$C$12*SQRT($C$7))-
2*_xll.qlBachelierBlackFormula(IF(O327&lt;$C$4,"Put","Call"),O327,$C$4,$C$12*SQRT($C$7))+
_xll.qlBachelierBlackFormula(IF(O327&lt;$C$4,"Put","Call"),O327-$C$14,$C$4,$C$12*SQRT($C$7)))/$C$14^2,"")</f>
        <v>3.698103609802247E-5</v>
      </c>
      <c r="V327" s="61">
        <f>IFERROR(_xll.qlBachelierBlackFormulaImpliedVol(IF(O327&lt;$C$4,"Put","Call"),O327,$C$4,$C$7,P327),"")</f>
        <v>7.2328761657478166E-3</v>
      </c>
      <c r="W327" s="61">
        <f>IFERROR(_xll.qlBachelierBlackFormulaImpliedVol(IF(O327&lt;$C$4,"Put","Call"),O327,$C$4,$C$7,Q327),"")</f>
        <v>5.386029396881575E-3</v>
      </c>
      <c r="X327" s="61">
        <f>IFERROR(_xll.qlBachelierBlackFormulaImpliedVol(IF(O327&lt;$C$4,"Put","Call"),O327,$C$4,$C$7,R327),"")</f>
        <v>3.1332853423817883E-3</v>
      </c>
      <c r="Y327" s="42"/>
    </row>
    <row r="328" spans="15:25">
      <c r="O328" s="37">
        <f t="shared" si="5"/>
        <v>2.2299999999999917E-2</v>
      </c>
      <c r="P328" s="38">
        <f>IFERROR(_xll.qlBlackFormula(IF(O328&lt;$C$4,"Put","Call"),O328,$C$4,$C$9*SQRT($C$7)),"")</f>
        <v>2.0629782194288027E-5</v>
      </c>
      <c r="Q328" s="39">
        <f>IFERROR(_xll.qlBlackFormula(IF(O328&lt;$C$4,"Put","Call"),O328,$C$4,$C$10*SQRT($C$7),,$C$11),"")</f>
        <v>9.8091873135548583E-7</v>
      </c>
      <c r="R328" s="40">
        <f>IFERROR(_xll.qlBachelierBlackFormula(IF(O328&lt;$C$4,"Put","Call"),O328,$C$4,$C$12*SQRT($C$7)),"")</f>
        <v>9.0019396390388307E-12</v>
      </c>
      <c r="S328" s="41">
        <f>IFERROR((_xll.qlBlackFormula(IF(O328&lt;$C$4,"Put","Call"),O328+$C$14,$C$4,$C$9*SQRT($C$7))-
2*_xll.qlBlackFormula(IF(O328&lt;$C$4,"Put","Call"),O328,$C$4,$C$9*SQRT($C$7))+
_xll.qlBlackFormula(IF(O328&lt;$C$4,"Put","Call"),O328-$C$14,$C$4,$C$9*SQRT($C$7)))/$C$14^2,"")</f>
        <v>0.80592752252622168</v>
      </c>
      <c r="T328" s="42">
        <f>IFERROR((_xll.qlBlackFormula(IF(O328&lt;$C$4,"Put","Call"),O328+$C$14,$C$4,$C$10*SQRT($C$7),,$C$11)-
2*_xll.qlBlackFormula(IF(O328&lt;$C$4,"Put","Call"),O328,$C$4,$C$10*SQRT($C$7),,$C$11)+
_xll.qlBlackFormula(IF(O328&lt;$C$4,"Put","Call"),O328-$C$14,$C$4,$C$10*SQRT($C$7),,$C$11))/$C$14^2,"")</f>
        <v>0.17017069448444638</v>
      </c>
      <c r="U328" s="43">
        <f>IFERROR((_xll.qlBachelierBlackFormula(IF(O328&lt;$C$4,"Put","Call"),O328+$C$14,$C$4,$C$12*SQRT($C$7))-
2*_xll.qlBachelierBlackFormula(IF(O328&lt;$C$4,"Put","Call"),O328,$C$4,$C$12*SQRT($C$7))+
_xll.qlBachelierBlackFormula(IF(O328&lt;$C$4,"Put","Call"),O328-$C$14,$C$4,$C$12*SQRT($C$7)))/$C$14^2,"")</f>
        <v>2.9546795113852788E-5</v>
      </c>
      <c r="V328" s="61">
        <f>IFERROR(_xll.qlBachelierBlackFormulaImpliedVol(IF(O328&lt;$C$4,"Put","Call"),O328,$C$4,$C$7,P328),"")</f>
        <v>7.2530721038900712E-3</v>
      </c>
      <c r="W328" s="61">
        <f>IFERROR(_xll.qlBachelierBlackFormulaImpliedVol(IF(O328&lt;$C$4,"Put","Call"),O328,$C$4,$C$7,Q328),"")</f>
        <v>5.3975498076598415E-3</v>
      </c>
      <c r="X328" s="61">
        <f>IFERROR(_xll.qlBachelierBlackFormulaImpliedVol(IF(O328&lt;$C$4,"Put","Call"),O328,$C$4,$C$7,R328),"")</f>
        <v>3.1332853461033014E-3</v>
      </c>
      <c r="Y328" s="42"/>
    </row>
    <row r="329" spans="15:25">
      <c r="O329" s="37">
        <f t="shared" si="5"/>
        <v>2.2399999999999917E-2</v>
      </c>
      <c r="P329" s="38">
        <f>IFERROR(_xll.qlBlackFormula(IF(O329&lt;$C$4,"Put","Call"),O329,$C$4,$C$9*SQRT($C$7)),"")</f>
        <v>2.0248593137772079E-5</v>
      </c>
      <c r="Q329" s="39">
        <f>IFERROR(_xll.qlBlackFormula(IF(O329&lt;$C$4,"Put","Call"),O329,$C$4,$C$10*SQRT($C$7),,$C$11),"")</f>
        <v>9.4126520326684828E-7</v>
      </c>
      <c r="R329" s="40">
        <f>IFERROR(_xll.qlBachelierBlackFormula(IF(O329&lt;$C$4,"Put","Call"),O329,$C$4,$C$12*SQRT($C$7)),"")</f>
        <v>7.4641936981636268E-12</v>
      </c>
      <c r="S329" s="41">
        <f>IFERROR((_xll.qlBlackFormula(IF(O329&lt;$C$4,"Put","Call"),O329+$C$14,$C$4,$C$9*SQRT($C$7))-
2*_xll.qlBlackFormula(IF(O329&lt;$C$4,"Put","Call"),O329,$C$4,$C$9*SQRT($C$7))+
_xll.qlBlackFormula(IF(O329&lt;$C$4,"Put","Call"),O329-$C$14,$C$4,$C$9*SQRT($C$7)))/$C$14^2,"")</f>
        <v>0.78743905655969537</v>
      </c>
      <c r="T329" s="42">
        <f>IFERROR((_xll.qlBlackFormula(IF(O329&lt;$C$4,"Put","Call"),O329+$C$14,$C$4,$C$10*SQRT($C$7),,$C$11)-
2*_xll.qlBlackFormula(IF(O329&lt;$C$4,"Put","Call"),O329,$C$4,$C$10*SQRT($C$7),,$C$11)+
_xll.qlBlackFormula(IF(O329&lt;$C$4,"Put","Call"),O329-$C$14,$C$4,$C$10*SQRT($C$7),,$C$11))/$C$14^2,"")</f>
        <v>0.1630653264191517</v>
      </c>
      <c r="U329" s="43">
        <f>IFERROR((_xll.qlBachelierBlackFormula(IF(O329&lt;$C$4,"Put","Call"),O329+$C$14,$C$4,$C$12*SQRT($C$7))-
2*_xll.qlBachelierBlackFormula(IF(O329&lt;$C$4,"Put","Call"),O329,$C$4,$C$12*SQRT($C$7))+
_xll.qlBachelierBlackFormula(IF(O329&lt;$C$4,"Put","Call"),O329-$C$14,$C$4,$C$12*SQRT($C$7)))/$C$14^2,"")</f>
        <v>2.5147593069185296E-5</v>
      </c>
      <c r="V329" s="61">
        <f>IFERROR(_xll.qlBachelierBlackFormulaImpliedVol(IF(O329&lt;$C$4,"Put","Call"),O329,$C$4,$C$7,P329),"")</f>
        <v>7.2732446396740445E-3</v>
      </c>
      <c r="W329" s="61">
        <f>IFERROR(_xll.qlBachelierBlackFormulaImpliedVol(IF(O329&lt;$C$4,"Put","Call"),O329,$C$4,$C$7,Q329),"")</f>
        <v>5.4090583514903832E-3</v>
      </c>
      <c r="X329" s="61">
        <f>IFERROR(_xll.qlBachelierBlackFormulaImpliedVol(IF(O329&lt;$C$4,"Put","Call"),O329,$C$4,$C$7,R329),"")</f>
        <v>3.1332853589913084E-3</v>
      </c>
      <c r="Y329" s="42"/>
    </row>
    <row r="330" spans="15:25">
      <c r="O330" s="37">
        <f t="shared" si="5"/>
        <v>2.2499999999999916E-2</v>
      </c>
      <c r="P330" s="38">
        <f>IFERROR(_xll.qlBlackFormula(IF(O330&lt;$C$4,"Put","Call"),O330,$C$4,$C$9*SQRT($C$7)),"")</f>
        <v>1.9875278856734709E-5</v>
      </c>
      <c r="Q330" s="39">
        <f>IFERROR(_xll.qlBlackFormula(IF(O330&lt;$C$4,"Put","Call"),O330,$C$4,$C$10*SQRT($C$7),,$C$11),"")</f>
        <v>9.032425929688147E-7</v>
      </c>
      <c r="R330" s="40">
        <f>IFERROR(_xll.qlBachelierBlackFormula(IF(O330&lt;$C$4,"Put","Call"),O330,$C$4,$C$12*SQRT($C$7)),"")</f>
        <v>6.1831509989562674E-12</v>
      </c>
      <c r="S330" s="41">
        <f>IFERROR((_xll.qlBlackFormula(IF(O330&lt;$C$4,"Put","Call"),O330+$C$14,$C$4,$C$9*SQRT($C$7))-
2*_xll.qlBlackFormula(IF(O330&lt;$C$4,"Put","Call"),O330,$C$4,$C$9*SQRT($C$7))+
_xll.qlBlackFormula(IF(O330&lt;$C$4,"Put","Call"),O330-$C$14,$C$4,$C$9*SQRT($C$7)))/$C$14^2,"")</f>
        <v>0.76941682463239214</v>
      </c>
      <c r="T330" s="42">
        <f>IFERROR((_xll.qlBlackFormula(IF(O330&lt;$C$4,"Put","Call"),O330+$C$14,$C$4,$C$10*SQRT($C$7),,$C$11)-
2*_xll.qlBlackFormula(IF(O330&lt;$C$4,"Put","Call"),O330,$C$4,$C$10*SQRT($C$7),,$C$11)+
_xll.qlBlackFormula(IF(O330&lt;$C$4,"Put","Call"),O330-$C$14,$C$4,$C$10*SQRT($C$7),,$C$11))/$C$14^2,"")</f>
        <v>0.15626367556962217</v>
      </c>
      <c r="U330" s="43">
        <f>IFERROR((_xll.qlBachelierBlackFormula(IF(O330&lt;$C$4,"Put","Call"),O330+$C$14,$C$4,$C$12*SQRT($C$7))-
2*_xll.qlBachelierBlackFormula(IF(O330&lt;$C$4,"Put","Call"),O330,$C$4,$C$12*SQRT($C$7))+
_xll.qlBachelierBlackFormula(IF(O330&lt;$C$4,"Put","Call"),O330-$C$14,$C$4,$C$12*SQRT($C$7)))/$C$14^2,"")</f>
        <v>2.0785376751246887E-5</v>
      </c>
      <c r="V330" s="61">
        <f>IFERROR(_xll.qlBachelierBlackFormulaImpliedVol(IF(O330&lt;$C$4,"Put","Call"),O330,$C$4,$C$7,P330),"")</f>
        <v>7.2933939219720018E-3</v>
      </c>
      <c r="W330" s="61">
        <f>IFERROR(_xll.qlBachelierBlackFormulaImpliedVol(IF(O330&lt;$C$4,"Put","Call"),O330,$C$4,$C$7,Q330),"")</f>
        <v>5.4205550911237306E-3</v>
      </c>
      <c r="X330" s="61">
        <f>IFERROR(_xll.qlBachelierBlackFormulaImpliedVol(IF(O330&lt;$C$4,"Put","Call"),O330,$C$4,$C$7,R330),"")</f>
        <v>3.1332853533898564E-3</v>
      </c>
      <c r="Y330" s="42"/>
    </row>
    <row r="331" spans="15:25">
      <c r="O331" s="37">
        <f t="shared" si="5"/>
        <v>2.2599999999999915E-2</v>
      </c>
      <c r="P331" s="38">
        <f>IFERROR(_xll.qlBlackFormula(IF(O331&lt;$C$4,"Put","Call"),O331,$C$4,$C$9*SQRT($C$7)),"")</f>
        <v>1.9509659113462626E-5</v>
      </c>
      <c r="Q331" s="39">
        <f>IFERROR(_xll.qlBlackFormula(IF(O331&lt;$C$4,"Put","Call"),O331,$C$4,$C$10*SQRT($C$7),,$C$11),"")</f>
        <v>8.6678283962623095E-7</v>
      </c>
      <c r="R331" s="40">
        <f>IFERROR(_xll.qlBachelierBlackFormula(IF(O331&lt;$C$4,"Put","Call"),O331,$C$4,$C$12*SQRT($C$7)),"")</f>
        <v>5.1169941046276077E-12</v>
      </c>
      <c r="S331" s="41">
        <f>IFERROR((_xll.qlBlackFormula(IF(O331&lt;$C$4,"Put","Call"),O331+$C$14,$C$4,$C$9*SQRT($C$7))-
2*_xll.qlBlackFormula(IF(O331&lt;$C$4,"Put","Call"),O331,$C$4,$C$9*SQRT($C$7))+
_xll.qlBlackFormula(IF(O331&lt;$C$4,"Put","Call"),O331-$C$14,$C$4,$C$9*SQRT($C$7)))/$C$14^2,"")</f>
        <v>0.75184574278158722</v>
      </c>
      <c r="T331" s="42">
        <f>IFERROR((_xll.qlBlackFormula(IF(O331&lt;$C$4,"Put","Call"),O331+$C$14,$C$4,$C$10*SQRT($C$7),,$C$11)-
2*_xll.qlBlackFormula(IF(O331&lt;$C$4,"Put","Call"),O331,$C$4,$C$10*SQRT($C$7),,$C$11)+
_xll.qlBlackFormula(IF(O331&lt;$C$4,"Put","Call"),O331-$C$14,$C$4,$C$10*SQRT($C$7),,$C$11))/$C$14^2,"")</f>
        <v>0.14974294150298367</v>
      </c>
      <c r="U331" s="43">
        <f>IFERROR((_xll.qlBachelierBlackFormula(IF(O331&lt;$C$4,"Put","Call"),O331+$C$14,$C$4,$C$12*SQRT($C$7))-
2*_xll.qlBachelierBlackFormula(IF(O331&lt;$C$4,"Put","Call"),O331,$C$4,$C$12*SQRT($C$7))+
_xll.qlBachelierBlackFormula(IF(O331&lt;$C$4,"Put","Call"),O331-$C$14,$C$4,$C$12*SQRT($C$7)))/$C$14^2,"")</f>
        <v>1.7926497813909169E-5</v>
      </c>
      <c r="V331" s="61">
        <f>IFERROR(_xll.qlBachelierBlackFormulaImpliedVol(IF(O331&lt;$C$4,"Put","Call"),O331,$C$4,$C$7,P331),"")</f>
        <v>7.3135200980303447E-3</v>
      </c>
      <c r="W331" s="61">
        <f>IFERROR(_xll.qlBachelierBlackFormulaImpliedVol(IF(O331&lt;$C$4,"Put","Call"),O331,$C$4,$C$7,Q331),"")</f>
        <v>5.4320400887462985E-3</v>
      </c>
      <c r="X331" s="61">
        <f>IFERROR(_xll.qlBachelierBlackFormulaImpliedVol(IF(O331&lt;$C$4,"Put","Call"),O331,$C$4,$C$7,R331),"")</f>
        <v>3.1332849514363651E-3</v>
      </c>
      <c r="Y331" s="42"/>
    </row>
    <row r="332" spans="15:25">
      <c r="O332" s="37">
        <f t="shared" si="5"/>
        <v>2.2699999999999915E-2</v>
      </c>
      <c r="P332" s="38">
        <f>IFERROR(_xll.qlBlackFormula(IF(O332&lt;$C$4,"Put","Call"),O332,$C$4,$C$9*SQRT($C$7)),"")</f>
        <v>1.9151558202641167E-5</v>
      </c>
      <c r="Q332" s="39">
        <f>IFERROR(_xll.qlBlackFormula(IF(O332&lt;$C$4,"Put","Call"),O332,$C$4,$C$10*SQRT($C$7),,$C$11),"")</f>
        <v>8.3182075470998379E-7</v>
      </c>
      <c r="R332" s="40">
        <f>IFERROR(_xll.qlBachelierBlackFormula(IF(O332&lt;$C$4,"Put","Call"),O332,$C$4,$C$12*SQRT($C$7)),"")</f>
        <v>4.2305995617031322E-12</v>
      </c>
      <c r="S332" s="41">
        <f>IFERROR((_xll.qlBlackFormula(IF(O332&lt;$C$4,"Put","Call"),O332+$C$14,$C$4,$C$9*SQRT($C$7))-
2*_xll.qlBlackFormula(IF(O332&lt;$C$4,"Put","Call"),O332,$C$4,$C$9*SQRT($C$7))+
_xll.qlBlackFormula(IF(O332&lt;$C$4,"Put","Call"),O332-$C$14,$C$4,$C$9*SQRT($C$7)))/$C$14^2,"")</f>
        <v>0.73471736778286256</v>
      </c>
      <c r="T332" s="42">
        <f>IFERROR((_xll.qlBlackFormula(IF(O332&lt;$C$4,"Put","Call"),O332+$C$14,$C$4,$C$10*SQRT($C$7),,$C$11)-
2*_xll.qlBlackFormula(IF(O332&lt;$C$4,"Put","Call"),O332,$C$4,$C$10*SQRT($C$7),,$C$11)+
_xll.qlBlackFormula(IF(O332&lt;$C$4,"Put","Call"),O332-$C$14,$C$4,$C$10*SQRT($C$7),,$C$11))/$C$14^2,"")</f>
        <v>0.14350107101137199</v>
      </c>
      <c r="U332" s="43">
        <f>IFERROR((_xll.qlBachelierBlackFormula(IF(O332&lt;$C$4,"Put","Call"),O332+$C$14,$C$4,$C$12*SQRT($C$7))-
2*_xll.qlBachelierBlackFormula(IF(O332&lt;$C$4,"Put","Call"),O332,$C$4,$C$12*SQRT($C$7))+
_xll.qlBachelierBlackFormula(IF(O332&lt;$C$4,"Put","Call"),O332-$C$14,$C$4,$C$12*SQRT($C$7)))/$C$14^2,"")</f>
        <v>1.4976794703807071E-5</v>
      </c>
      <c r="V332" s="61">
        <f>IFERROR(_xll.qlBachelierBlackFormulaImpliedVol(IF(O332&lt;$C$4,"Put","Call"),O332,$C$4,$C$7,P332),"")</f>
        <v>7.3336233134947172E-3</v>
      </c>
      <c r="W332" s="61">
        <f>IFERROR(_xll.qlBachelierBlackFormulaImpliedVol(IF(O332&lt;$C$4,"Put","Call"),O332,$C$4,$C$7,Q332),"")</f>
        <v>5.443513405981551E-3</v>
      </c>
      <c r="X332" s="61">
        <f>IFERROR(_xll.qlBachelierBlackFormulaImpliedVol(IF(O332&lt;$C$4,"Put","Call"),O332,$C$4,$C$7,R332),"")</f>
        <v>3.1332850537219366E-3</v>
      </c>
      <c r="Y332" s="42"/>
    </row>
    <row r="333" spans="15:25">
      <c r="O333" s="37">
        <f t="shared" si="5"/>
        <v>2.2799999999999914E-2</v>
      </c>
      <c r="P333" s="38">
        <f>IFERROR(_xll.qlBlackFormula(IF(O333&lt;$C$4,"Put","Call"),O333,$C$4,$C$9*SQRT($C$7)),"")</f>
        <v>1.8800804827108343E-5</v>
      </c>
      <c r="Q333" s="39">
        <f>IFERROR(_xll.qlBlackFormula(IF(O333&lt;$C$4,"Put","Call"),O333,$C$4,$C$10*SQRT($C$7),,$C$11),"")</f>
        <v>7.9829389993704761E-7</v>
      </c>
      <c r="R333" s="40">
        <f>IFERROR(_xll.qlBachelierBlackFormula(IF(O333&lt;$C$4,"Put","Call"),O333,$C$4,$C$12*SQRT($C$7)),"")</f>
        <v>3.4943662304202125E-12</v>
      </c>
      <c r="S333" s="41">
        <f>IFERROR((_xll.qlBlackFormula(IF(O333&lt;$C$4,"Put","Call"),O333+$C$14,$C$4,$C$9*SQRT($C$7))-
2*_xll.qlBlackFormula(IF(O333&lt;$C$4,"Put","Call"),O333,$C$4,$C$9*SQRT($C$7))+
_xll.qlBlackFormula(IF(O333&lt;$C$4,"Put","Call"),O333-$C$14,$C$4,$C$9*SQRT($C$7)))/$C$14^2,"")</f>
        <v>0.71801875697278394</v>
      </c>
      <c r="T333" s="42">
        <f>IFERROR((_xll.qlBlackFormula(IF(O333&lt;$C$4,"Put","Call"),O333+$C$14,$C$4,$C$10*SQRT($C$7),,$C$11)-
2*_xll.qlBlackFormula(IF(O333&lt;$C$4,"Put","Call"),O333,$C$4,$C$10*SQRT($C$7),,$C$11)+
_xll.qlBlackFormula(IF(O333&lt;$C$4,"Put","Call"),O333-$C$14,$C$4,$C$10*SQRT($C$7),,$C$11))/$C$14^2,"")</f>
        <v>0.13752033569520117</v>
      </c>
      <c r="U333" s="43">
        <f>IFERROR((_xll.qlBachelierBlackFormula(IF(O333&lt;$C$4,"Put","Call"),O333+$C$14,$C$4,$C$12*SQRT($C$7))-
2*_xll.qlBachelierBlackFormula(IF(O333&lt;$C$4,"Put","Call"),O333,$C$4,$C$12*SQRT($C$7))+
_xll.qlBachelierBlackFormula(IF(O333&lt;$C$4,"Put","Call"),O333-$C$14,$C$4,$C$12*SQRT($C$7)))/$C$14^2,"")</f>
        <v>1.249970152103048E-5</v>
      </c>
      <c r="V333" s="61">
        <f>IFERROR(_xll.qlBachelierBlackFormulaImpliedVol(IF(O333&lt;$C$4,"Put","Call"),O333,$C$4,$C$7,P333),"")</f>
        <v>7.3537037124345693E-3</v>
      </c>
      <c r="W333" s="61">
        <f>IFERROR(_xll.qlBachelierBlackFormulaImpliedVol(IF(O333&lt;$C$4,"Put","Call"),O333,$C$4,$C$7,Q333),"")</f>
        <v>5.4549751039046626E-3</v>
      </c>
      <c r="X333" s="61">
        <f>IFERROR(_xll.qlBachelierBlackFormulaImpliedVol(IF(O333&lt;$C$4,"Put","Call"),O333,$C$4,$C$7,R333),"")</f>
        <v>3.1332850848812691E-3</v>
      </c>
      <c r="Y333" s="42"/>
    </row>
    <row r="334" spans="15:25">
      <c r="O334" s="37">
        <f t="shared" si="5"/>
        <v>2.2899999999999913E-2</v>
      </c>
      <c r="P334" s="38">
        <f>IFERROR(_xll.qlBlackFormula(IF(O334&lt;$C$4,"Put","Call"),O334,$C$4,$C$9*SQRT($C$7)),"")</f>
        <v>1.8457231977286192E-5</v>
      </c>
      <c r="Q334" s="39">
        <f>IFERROR(_xll.qlBlackFormula(IF(O334&lt;$C$4,"Put","Call"),O334,$C$4,$C$10*SQRT($C$7),,$C$11),"")</f>
        <v>7.6614247038947365E-7</v>
      </c>
      <c r="R334" s="40">
        <f>IFERROR(_xll.qlBachelierBlackFormula(IF(O334&lt;$C$4,"Put","Call"),O334,$C$4,$C$12*SQRT($C$7)),"")</f>
        <v>2.8834619819002307E-12</v>
      </c>
      <c r="S334" s="41">
        <f>IFERROR((_xll.qlBlackFormula(IF(O334&lt;$C$4,"Put","Call"),O334+$C$14,$C$4,$C$9*SQRT($C$7))-
2*_xll.qlBlackFormula(IF(O334&lt;$C$4,"Put","Call"),O334,$C$4,$C$9*SQRT($C$7))+
_xll.qlBlackFormula(IF(O334&lt;$C$4,"Put","Call"),O334-$C$14,$C$4,$C$9*SQRT($C$7)))/$C$14^2,"")</f>
        <v>0.70173593769585352</v>
      </c>
      <c r="T334" s="42">
        <f>IFERROR((_xll.qlBlackFormula(IF(O334&lt;$C$4,"Put","Call"),O334+$C$14,$C$4,$C$10*SQRT($C$7),,$C$11)-
2*_xll.qlBlackFormula(IF(O334&lt;$C$4,"Put","Call"),O334,$C$4,$C$10*SQRT($C$7),,$C$11)+
_xll.qlBlackFormula(IF(O334&lt;$C$4,"Put","Call"),O334-$C$14,$C$4,$C$10*SQRT($C$7),,$C$11))/$C$14^2,"")</f>
        <v>0.13179659695149085</v>
      </c>
      <c r="U334" s="43">
        <f>IFERROR((_xll.qlBachelierBlackFormula(IF(O334&lt;$C$4,"Put","Call"),O334+$C$14,$C$4,$C$12*SQRT($C$7))-
2*_xll.qlBachelierBlackFormula(IF(O334&lt;$C$4,"Put","Call"),O334,$C$4,$C$12*SQRT($C$7))+
_xll.qlBachelierBlackFormula(IF(O334&lt;$C$4,"Put","Call"),O334-$C$14,$C$4,$C$12*SQRT($C$7)))/$C$14^2,"")</f>
        <v>1.0421681715252978E-5</v>
      </c>
      <c r="V334" s="61">
        <f>IFERROR(_xll.qlBachelierBlackFormulaImpliedVol(IF(O334&lt;$C$4,"Put","Call"),O334,$C$4,$C$7,P334),"")</f>
        <v>7.3737614373667942E-3</v>
      </c>
      <c r="W334" s="61">
        <f>IFERROR(_xll.qlBachelierBlackFormulaImpliedVol(IF(O334&lt;$C$4,"Put","Call"),O334,$C$4,$C$7,Q334),"")</f>
        <v>5.4664252430424269E-3</v>
      </c>
      <c r="X334" s="61">
        <f>IFERROR(_xll.qlBachelierBlackFormulaImpliedVol(IF(O334&lt;$C$4,"Put","Call"),O334,$C$4,$C$7,R334),"")</f>
        <v>3.1332851689871094E-3</v>
      </c>
      <c r="Y334" s="42"/>
    </row>
    <row r="335" spans="15:25">
      <c r="O335" s="37">
        <f t="shared" si="5"/>
        <v>2.2999999999999913E-2</v>
      </c>
      <c r="P335" s="38">
        <f>IFERROR(_xll.qlBlackFormula(IF(O335&lt;$C$4,"Put","Call"),O335,$C$4,$C$9*SQRT($C$7)),"")</f>
        <v>1.8120676814185625E-5</v>
      </c>
      <c r="Q335" s="39">
        <f>IFERROR(_xll.qlBlackFormula(IF(O335&lt;$C$4,"Put","Call"),O335,$C$4,$C$10*SQRT($C$7),,$C$11),"")</f>
        <v>7.3530918262712459E-7</v>
      </c>
      <c r="R335" s="40">
        <f>IFERROR(_xll.qlBachelierBlackFormula(IF(O335&lt;$C$4,"Put","Call"),O335,$C$4,$C$12*SQRT($C$7)),"")</f>
        <v>2.3770528543381284E-12</v>
      </c>
      <c r="S335" s="41">
        <f>IFERROR((_xll.qlBlackFormula(IF(O335&lt;$C$4,"Put","Call"),O335+$C$14,$C$4,$C$9*SQRT($C$7))-
2*_xll.qlBlackFormula(IF(O335&lt;$C$4,"Put","Call"),O335,$C$4,$C$9*SQRT($C$7))+
_xll.qlBlackFormula(IF(O335&lt;$C$4,"Put","Call"),O335-$C$14,$C$4,$C$9*SQRT($C$7)))/$C$14^2,"")</f>
        <v>0.6858566584675222</v>
      </c>
      <c r="T335" s="42">
        <f>IFERROR((_xll.qlBlackFormula(IF(O335&lt;$C$4,"Put","Call"),O335+$C$14,$C$4,$C$10*SQRT($C$7),,$C$11)-
2*_xll.qlBlackFormula(IF(O335&lt;$C$4,"Put","Call"),O335,$C$4,$C$10*SQRT($C$7),,$C$11)+
_xll.qlBlackFormula(IF(O335&lt;$C$4,"Put","Call"),O335-$C$14,$C$4,$C$10*SQRT($C$7),,$C$11))/$C$14^2,"")</f>
        <v>0.12630650208188526</v>
      </c>
      <c r="U335" s="43">
        <f>IFERROR((_xll.qlBachelierBlackFormula(IF(O335&lt;$C$4,"Put","Call"),O335+$C$14,$C$4,$C$12*SQRT($C$7))-
2*_xll.qlBachelierBlackFormula(IF(O335&lt;$C$4,"Put","Call"),O335,$C$4,$C$12*SQRT($C$7))+
_xll.qlBachelierBlackFormula(IF(O335&lt;$C$4,"Put","Call"),O335-$C$14,$C$4,$C$12*SQRT($C$7)))/$C$14^2,"")</f>
        <v>8.6802353676217362E-6</v>
      </c>
      <c r="V335" s="61">
        <f>IFERROR(_xll.qlBachelierBlackFormulaImpliedVol(IF(O335&lt;$C$4,"Put","Call"),O335,$C$4,$C$7,P335),"")</f>
        <v>7.3937966292800779E-3</v>
      </c>
      <c r="W335" s="61">
        <f>IFERROR(_xll.qlBachelierBlackFormulaImpliedVol(IF(O335&lt;$C$4,"Put","Call"),O335,$C$4,$C$7,Q335),"")</f>
        <v>5.4778638833884322E-3</v>
      </c>
      <c r="X335" s="61">
        <f>IFERROR(_xll.qlBachelierBlackFormulaImpliedVol(IF(O335&lt;$C$4,"Put","Call"),O335,$C$4,$C$7,R335),"")</f>
        <v>3.1332851411793225E-3</v>
      </c>
      <c r="Y335" s="42"/>
    </row>
    <row r="336" spans="15:25">
      <c r="O336" s="37">
        <f t="shared" si="5"/>
        <v>2.3099999999999912E-2</v>
      </c>
      <c r="P336" s="38">
        <f>IFERROR(_xll.qlBlackFormula(IF(O336&lt;$C$4,"Put","Call"),O336,$C$4,$C$9*SQRT($C$7)),"")</f>
        <v>1.7790980555858587E-5</v>
      </c>
      <c r="Q336" s="39">
        <f>IFERROR(_xll.qlBlackFormula(IF(O336&lt;$C$4,"Put","Call"),O336,$C$4,$C$10*SQRT($C$7),,$C$11),"")</f>
        <v>7.0573916754095099E-7</v>
      </c>
      <c r="R336" s="40">
        <f>IFERROR(_xll.qlBachelierBlackFormula(IF(O336&lt;$C$4,"Put","Call"),O336,$C$4,$C$12*SQRT($C$7)),"")</f>
        <v>1.9576849022557508E-12</v>
      </c>
      <c r="S336" s="41">
        <f>IFERROR((_xll.qlBlackFormula(IF(O336&lt;$C$4,"Put","Call"),O336+$C$14,$C$4,$C$9*SQRT($C$7))-
2*_xll.qlBlackFormula(IF(O336&lt;$C$4,"Put","Call"),O336,$C$4,$C$9*SQRT($C$7))+
_xll.qlBlackFormula(IF(O336&lt;$C$4,"Put","Call"),O336-$C$14,$C$4,$C$9*SQRT($C$7)))/$C$14^2,"")</f>
        <v>0.67037507814858566</v>
      </c>
      <c r="T336" s="42">
        <f>IFERROR((_xll.qlBlackFormula(IF(O336&lt;$C$4,"Put","Call"),O336+$C$14,$C$4,$C$10*SQRT($C$7),,$C$11)-
2*_xll.qlBlackFormula(IF(O336&lt;$C$4,"Put","Call"),O336,$C$4,$C$10*SQRT($C$7),,$C$11)+
_xll.qlBlackFormula(IF(O336&lt;$C$4,"Put","Call"),O336-$C$14,$C$4,$C$10*SQRT($C$7),,$C$11))/$C$14^2,"")</f>
        <v>0.12105381021860433</v>
      </c>
      <c r="U336" s="43">
        <f>IFERROR((_xll.qlBachelierBlackFormula(IF(O336&lt;$C$4,"Put","Call"),O336+$C$14,$C$4,$C$12*SQRT($C$7))-
2*_xll.qlBachelierBlackFormula(IF(O336&lt;$C$4,"Put","Call"),O336,$C$4,$C$12*SQRT($C$7))+
_xll.qlBachelierBlackFormula(IF(O336&lt;$C$4,"Put","Call"),O336-$C$14,$C$4,$C$12*SQRT($C$7)))/$C$14^2,"")</f>
        <v>7.2224582292057628E-6</v>
      </c>
      <c r="V336" s="61">
        <f>IFERROR(_xll.qlBachelierBlackFormulaImpliedVol(IF(O336&lt;$C$4,"Put","Call"),O336,$C$4,$C$7,P336),"")</f>
        <v>7.4138094276569493E-3</v>
      </c>
      <c r="W336" s="61">
        <f>IFERROR(_xll.qlBachelierBlackFormulaImpliedVol(IF(O336&lt;$C$4,"Put","Call"),O336,$C$4,$C$7,Q336),"")</f>
        <v>5.48929108439874E-3</v>
      </c>
      <c r="X336" s="61">
        <f>IFERROR(_xll.qlBachelierBlackFormulaImpliedVol(IF(O336&lt;$C$4,"Put","Call"),O336,$C$4,$C$7,R336),"")</f>
        <v>3.1332851942817838E-3</v>
      </c>
      <c r="Y336" s="42"/>
    </row>
    <row r="337" spans="15:25">
      <c r="O337" s="37">
        <f t="shared" ref="O337:O400" si="6">O336+0.01%</f>
        <v>2.3199999999999912E-2</v>
      </c>
      <c r="P337" s="38">
        <f>IFERROR(_xll.qlBlackFormula(IF(O337&lt;$C$4,"Put","Call"),O337,$C$4,$C$9*SQRT($C$7)),"")</f>
        <v>1.7467988367213621E-5</v>
      </c>
      <c r="Q337" s="39">
        <f>IFERROR(_xll.qlBlackFormula(IF(O337&lt;$C$4,"Put","Call"),O337,$C$4,$C$10*SQRT($C$7),,$C$11),"")</f>
        <v>6.7737986779493829E-7</v>
      </c>
      <c r="R337" s="40">
        <f>IFERROR(_xll.qlBachelierBlackFormula(IF(O337&lt;$C$4,"Put","Call"),O337,$C$4,$C$12*SQRT($C$7)),"")</f>
        <v>1.6107401437022707E-12</v>
      </c>
      <c r="S337" s="41">
        <f>IFERROR((_xll.qlBlackFormula(IF(O337&lt;$C$4,"Put","Call"),O337+$C$14,$C$4,$C$9*SQRT($C$7))-
2*_xll.qlBlackFormula(IF(O337&lt;$C$4,"Put","Call"),O337,$C$4,$C$9*SQRT($C$7))+
_xll.qlBlackFormula(IF(O337&lt;$C$4,"Put","Call"),O337-$C$14,$C$4,$C$9*SQRT($C$7)))/$C$14^2,"")</f>
        <v>0.65527554357017881</v>
      </c>
      <c r="T337" s="42">
        <f>IFERROR((_xll.qlBlackFormula(IF(O337&lt;$C$4,"Put","Call"),O337+$C$14,$C$4,$C$10*SQRT($C$7),,$C$11)-
2*_xll.qlBlackFormula(IF(O337&lt;$C$4,"Put","Call"),O337,$C$4,$C$10*SQRT($C$7),,$C$11)+
_xll.qlBlackFormula(IF(O337&lt;$C$4,"Put","Call"),O337-$C$14,$C$4,$C$10*SQRT($C$7),,$C$11))/$C$14^2,"")</f>
        <v>0.11601816546585962</v>
      </c>
      <c r="U337" s="43">
        <f>IFERROR((_xll.qlBachelierBlackFormula(IF(O337&lt;$C$4,"Put","Call"),O337+$C$14,$C$4,$C$12*SQRT($C$7))-
2*_xll.qlBachelierBlackFormula(IF(O337&lt;$C$4,"Put","Call"),O337,$C$4,$C$12*SQRT($C$7))+
_xll.qlBachelierBlackFormula(IF(O337&lt;$C$4,"Put","Call"),O337-$C$14,$C$4,$C$12*SQRT($C$7)))/$C$14^2,"")</f>
        <v>6.0033820477202878E-6</v>
      </c>
      <c r="V337" s="61">
        <f>IFERROR(_xll.qlBachelierBlackFormulaImpliedVol(IF(O337&lt;$C$4,"Put","Call"),O337,$C$4,$C$7,P337),"")</f>
        <v>7.4337999704973444E-3</v>
      </c>
      <c r="W337" s="61">
        <f>IFERROR(_xll.qlBachelierBlackFormulaImpliedVol(IF(O337&lt;$C$4,"Put","Call"),O337,$C$4,$C$7,Q337),"")</f>
        <v>5.5007069050073991E-3</v>
      </c>
      <c r="X337" s="61">
        <f>IFERROR(_xll.qlBachelierBlackFormulaImpliedVol(IF(O337&lt;$C$4,"Put","Call"),O337,$C$4,$C$7,R337),"")</f>
        <v>3.133285147059755E-3</v>
      </c>
      <c r="Y337" s="42"/>
    </row>
    <row r="338" spans="15:25">
      <c r="O338" s="37">
        <f t="shared" si="6"/>
        <v>2.3299999999999911E-2</v>
      </c>
      <c r="P338" s="38">
        <f>IFERROR(_xll.qlBlackFormula(IF(O338&lt;$C$4,"Put","Call"),O338,$C$4,$C$9*SQRT($C$7)),"")</f>
        <v>1.7151549253043775E-5</v>
      </c>
      <c r="Q338" s="39">
        <f>IFERROR(_xll.qlBlackFormula(IF(O338&lt;$C$4,"Put","Call"),O338,$C$4,$C$10*SQRT($C$7),,$C$11),"")</f>
        <v>6.5018093961775101E-7</v>
      </c>
      <c r="R338" s="40">
        <f>IFERROR(_xll.qlBachelierBlackFormula(IF(O338&lt;$C$4,"Put","Call"),O338,$C$4,$C$12*SQRT($C$7)),"")</f>
        <v>1.3239961825329713E-12</v>
      </c>
      <c r="S338" s="41">
        <f>IFERROR((_xll.qlBlackFormula(IF(O338&lt;$C$4,"Put","Call"),O338+$C$14,$C$4,$C$9*SQRT($C$7))-
2*_xll.qlBlackFormula(IF(O338&lt;$C$4,"Put","Call"),O338,$C$4,$C$9*SQRT($C$7))+
_xll.qlBlackFormula(IF(O338&lt;$C$4,"Put","Call"),O338-$C$14,$C$4,$C$9*SQRT($C$7)))/$C$14^2,"")</f>
        <v>0.64055199675266272</v>
      </c>
      <c r="T338" s="42">
        <f>IFERROR((_xll.qlBlackFormula(IF(O338&lt;$C$4,"Put","Call"),O338+$C$14,$C$4,$C$10*SQRT($C$7),,$C$11)-
2*_xll.qlBlackFormula(IF(O338&lt;$C$4,"Put","Call"),O338,$C$4,$C$10*SQRT($C$7),,$C$11)+
_xll.qlBlackFormula(IF(O338&lt;$C$4,"Put","Call"),O338-$C$14,$C$4,$C$10*SQRT($C$7),,$C$11))/$C$14^2,"")</f>
        <v>0.11119850479730234</v>
      </c>
      <c r="U338" s="43">
        <f>IFERROR((_xll.qlBachelierBlackFormula(IF(O338&lt;$C$4,"Put","Call"),O338+$C$14,$C$4,$C$12*SQRT($C$7))-
2*_xll.qlBachelierBlackFormula(IF(O338&lt;$C$4,"Put","Call"),O338,$C$4,$C$12*SQRT($C$7))+
_xll.qlBachelierBlackFormula(IF(O338&lt;$C$4,"Put","Call"),O338-$C$14,$C$4,$C$12*SQRT($C$7)))/$C$14^2,"")</f>
        <v>4.9849909722302646E-6</v>
      </c>
      <c r="V338" s="61">
        <f>IFERROR(_xll.qlBachelierBlackFormulaImpliedVol(IF(O338&lt;$C$4,"Put","Call"),O338,$C$4,$C$7,P338),"")</f>
        <v>7.4537683943403923E-3</v>
      </c>
      <c r="W338" s="61">
        <f>IFERROR(_xll.qlBachelierBlackFormulaImpliedVol(IF(O338&lt;$C$4,"Put","Call"),O338,$C$4,$C$7,Q338),"")</f>
        <v>5.512111403631002E-3</v>
      </c>
      <c r="X338" s="61">
        <f>IFERROR(_xll.qlBachelierBlackFormulaImpliedVol(IF(O338&lt;$C$4,"Put","Call"),O338,$C$4,$C$7,R338),"")</f>
        <v>3.1332852275252625E-3</v>
      </c>
      <c r="Y338" s="42"/>
    </row>
    <row r="339" spans="15:25">
      <c r="O339" s="37">
        <f t="shared" si="6"/>
        <v>2.339999999999991E-2</v>
      </c>
      <c r="P339" s="38">
        <f>IFERROR(_xll.qlBlackFormula(IF(O339&lt;$C$4,"Put","Call"),O339,$C$4,$C$9*SQRT($C$7)),"")</f>
        <v>1.6841515954222757E-5</v>
      </c>
      <c r="Q339" s="39">
        <f>IFERROR(_xll.qlBlackFormula(IF(O339&lt;$C$4,"Put","Call"),O339,$C$4,$C$10*SQRT($C$7),,$C$11),"")</f>
        <v>6.2409415879187741E-7</v>
      </c>
      <c r="R339" s="40">
        <f>IFERROR(_xll.qlBachelierBlackFormula(IF(O339&lt;$C$4,"Put","Call"),O339,$C$4,$C$12*SQRT($C$7)),"")</f>
        <v>1.0872423600392769E-12</v>
      </c>
      <c r="S339" s="41">
        <f>IFERROR((_xll.qlBlackFormula(IF(O339&lt;$C$4,"Put","Call"),O339+$C$14,$C$4,$C$9*SQRT($C$7))-
2*_xll.qlBlackFormula(IF(O339&lt;$C$4,"Put","Call"),O339,$C$4,$C$9*SQRT($C$7))+
_xll.qlBlackFormula(IF(O339&lt;$C$4,"Put","Call"),O339-$C$14,$C$4,$C$9*SQRT($C$7)))/$C$14^2,"")</f>
        <v>0.62619024820010505</v>
      </c>
      <c r="T339" s="42">
        <f>IFERROR((_xll.qlBlackFormula(IF(O339&lt;$C$4,"Put","Call"),O339+$C$14,$C$4,$C$10*SQRT($C$7),,$C$11)-
2*_xll.qlBlackFormula(IF(O339&lt;$C$4,"Put","Call"),O339,$C$4,$C$10*SQRT($C$7),,$C$11)+
_xll.qlBlackFormula(IF(O339&lt;$C$4,"Put","Call"),O339-$C$14,$C$4,$C$10*SQRT($C$7),,$C$11))/$C$14^2,"")</f>
        <v>0.10657930209900932</v>
      </c>
      <c r="U339" s="43">
        <f>IFERROR((_xll.qlBachelierBlackFormula(IF(O339&lt;$C$4,"Put","Call"),O339+$C$14,$C$4,$C$12*SQRT($C$7))-
2*_xll.qlBachelierBlackFormula(IF(O339&lt;$C$4,"Put","Call"),O339,$C$4,$C$12*SQRT($C$7))+
_xll.qlBachelierBlackFormula(IF(O339&lt;$C$4,"Put","Call"),O339-$C$14,$C$4,$C$12*SQRT($C$7)))/$C$14^2,"")</f>
        <v>4.1351404216274104E-6</v>
      </c>
      <c r="V339" s="61">
        <f>IFERROR(_xll.qlBachelierBlackFormulaImpliedVol(IF(O339&lt;$C$4,"Put","Call"),O339,$C$4,$C$7,P339),"")</f>
        <v>7.4737148342861265E-3</v>
      </c>
      <c r="W339" s="61">
        <f>IFERROR(_xll.qlBachelierBlackFormulaImpliedVol(IF(O339&lt;$C$4,"Put","Call"),O339,$C$4,$C$7,Q339),"")</f>
        <v>5.5235046381734536E-3</v>
      </c>
      <c r="X339" s="61">
        <f>IFERROR(_xll.qlBachelierBlackFormulaImpliedVol(IF(O339&lt;$C$4,"Put","Call"),O339,$C$4,$C$7,R339),"")</f>
        <v>3.1332852978485227E-3</v>
      </c>
      <c r="Y339" s="42"/>
    </row>
    <row r="340" spans="15:25">
      <c r="O340" s="37">
        <f t="shared" si="6"/>
        <v>2.349999999999991E-2</v>
      </c>
      <c r="P340" s="38">
        <f>IFERROR(_xll.qlBlackFormula(IF(O340&lt;$C$4,"Put","Call"),O340,$C$4,$C$9*SQRT($C$7)),"")</f>
        <v>1.6537744846909893E-5</v>
      </c>
      <c r="Q340" s="39">
        <f>IFERROR(_xll.qlBlackFormula(IF(O340&lt;$C$4,"Put","Call"),O340,$C$4,$C$10*SQRT($C$7),,$C$11),"")</f>
        <v>5.990733306363796E-7</v>
      </c>
      <c r="R340" s="40">
        <f>IFERROR(_xll.qlBachelierBlackFormula(IF(O340&lt;$C$4,"Put","Call"),O340,$C$4,$C$12*SQRT($C$7)),"")</f>
        <v>8.9195757956439512E-13</v>
      </c>
      <c r="S340" s="41">
        <f>IFERROR((_xll.qlBlackFormula(IF(O340&lt;$C$4,"Put","Call"),O340+$C$14,$C$4,$C$9*SQRT($C$7))-
2*_xll.qlBlackFormula(IF(O340&lt;$C$4,"Put","Call"),O340,$C$4,$C$9*SQRT($C$7))+
_xll.qlBlackFormula(IF(O340&lt;$C$4,"Put","Call"),O340-$C$14,$C$4,$C$9*SQRT($C$7)))/$C$14^2,"")</f>
        <v>0.61218222060632077</v>
      </c>
      <c r="T340" s="42">
        <f>IFERROR((_xll.qlBlackFormula(IF(O340&lt;$C$4,"Put","Call"),O340+$C$14,$C$4,$C$10*SQRT($C$7),,$C$11)-
2*_xll.qlBlackFormula(IF(O340&lt;$C$4,"Put","Call"),O340,$C$4,$C$10*SQRT($C$7),,$C$11)+
_xll.qlBlackFormula(IF(O340&lt;$C$4,"Put","Call"),O340-$C$14,$C$4,$C$10*SQRT($C$7),,$C$11))/$C$14^2,"")</f>
        <v>0.10215556919395416</v>
      </c>
      <c r="U340" s="43">
        <f>IFERROR((_xll.qlBachelierBlackFormula(IF(O340&lt;$C$4,"Put","Call"),O340+$C$14,$C$4,$C$12*SQRT($C$7))-
2*_xll.qlBachelierBlackFormula(IF(O340&lt;$C$4,"Put","Call"),O340,$C$4,$C$12*SQRT($C$7))+
_xll.qlBachelierBlackFormula(IF(O340&lt;$C$4,"Put","Call"),O340-$C$14,$C$4,$C$12*SQRT($C$7)))/$C$14^2,"")</f>
        <v>3.4266809323404501E-6</v>
      </c>
      <c r="V340" s="61">
        <f>IFERROR(_xll.qlBachelierBlackFormulaImpliedVol(IF(O340&lt;$C$4,"Put","Call"),O340,$C$4,$C$7,P340),"")</f>
        <v>7.4936394240171893E-3</v>
      </c>
      <c r="W340" s="61">
        <f>IFERROR(_xll.qlBachelierBlackFormulaImpliedVol(IF(O340&lt;$C$4,"Put","Call"),O340,$C$4,$C$7,Q340),"")</f>
        <v>5.5348866660330032E-3</v>
      </c>
      <c r="X340" s="61">
        <f>IFERROR(_xll.qlBachelierBlackFormulaImpliedVol(IF(O340&lt;$C$4,"Put","Call"),O340,$C$4,$C$7,R340),"")</f>
        <v>3.1332853859960307E-3</v>
      </c>
      <c r="Y340" s="42"/>
    </row>
    <row r="341" spans="15:25">
      <c r="O341" s="37">
        <f t="shared" si="6"/>
        <v>2.3599999999999909E-2</v>
      </c>
      <c r="P341" s="38">
        <f>IFERROR(_xll.qlBlackFormula(IF(O341&lt;$C$4,"Put","Call"),O341,$C$4,$C$9*SQRT($C$7)),"")</f>
        <v>1.6240095844719389E-5</v>
      </c>
      <c r="Q341" s="39">
        <f>IFERROR(_xll.qlBlackFormula(IF(O341&lt;$C$4,"Put","Call"),O341,$C$4,$C$10*SQRT($C$7),,$C$11),"")</f>
        <v>5.7507420384295059E-7</v>
      </c>
      <c r="R341" s="40">
        <f>IFERROR(_xll.qlBachelierBlackFormula(IF(O341&lt;$C$4,"Put","Call"),O341,$C$4,$C$12*SQRT($C$7)),"")</f>
        <v>7.3103818754914358E-13</v>
      </c>
      <c r="S341" s="41">
        <f>IFERROR((_xll.qlBlackFormula(IF(O341&lt;$C$4,"Put","Call"),O341+$C$14,$C$4,$C$9*SQRT($C$7))-
2*_xll.qlBlackFormula(IF(O341&lt;$C$4,"Put","Call"),O341,$C$4,$C$9*SQRT($C$7))+
_xll.qlBlackFormula(IF(O341&lt;$C$4,"Put","Call"),O341-$C$14,$C$4,$C$9*SQRT($C$7)))/$C$14^2,"")</f>
        <v>0.59851887443569673</v>
      </c>
      <c r="T341" s="42">
        <f>IFERROR((_xll.qlBlackFormula(IF(O341&lt;$C$4,"Put","Call"),O341+$C$14,$C$4,$C$10*SQRT($C$7),,$C$11)-
2*_xll.qlBlackFormula(IF(O341&lt;$C$4,"Put","Call"),O341,$C$4,$C$10*SQRT($C$7),,$C$11)+
_xll.qlBlackFormula(IF(O341&lt;$C$4,"Put","Call"),O341-$C$14,$C$4,$C$10*SQRT($C$7),,$C$11))/$C$14^2,"")</f>
        <v>9.7916234514483336E-2</v>
      </c>
      <c r="U341" s="43">
        <f>IFERROR((_xll.qlBachelierBlackFormula(IF(O341&lt;$C$4,"Put","Call"),O341+$C$14,$C$4,$C$12*SQRT($C$7))-
2*_xll.qlBachelierBlackFormula(IF(O341&lt;$C$4,"Put","Call"),O341,$C$4,$C$12*SQRT($C$7))+
_xll.qlBachelierBlackFormula(IF(O341&lt;$C$4,"Put","Call"),O341-$C$14,$C$4,$C$12*SQRT($C$7)))/$C$14^2,"")</f>
        <v>2.8367078893636622E-6</v>
      </c>
      <c r="V341" s="61">
        <f>IFERROR(_xll.qlBachelierBlackFormulaImpliedVol(IF(O341&lt;$C$4,"Put","Call"),O341,$C$4,$C$7,P341),"")</f>
        <v>7.5135422958192959E-3</v>
      </c>
      <c r="W341" s="61">
        <f>IFERROR(_xll.qlBachelierBlackFormulaImpliedVol(IF(O341&lt;$C$4,"Put","Call"),O341,$C$4,$C$7,Q341),"")</f>
        <v>5.5462575441064784E-3</v>
      </c>
      <c r="X341" s="61">
        <f>IFERROR(_xll.qlBachelierBlackFormulaImpliedVol(IF(O341&lt;$C$4,"Put","Call"),O341,$C$4,$C$7,R341),"")</f>
        <v>3.1332853797955804E-3</v>
      </c>
      <c r="Y341" s="42"/>
    </row>
    <row r="342" spans="15:25">
      <c r="O342" s="37">
        <f t="shared" si="6"/>
        <v>2.3699999999999909E-2</v>
      </c>
      <c r="P342" s="38">
        <f>IFERROR(_xll.qlBlackFormula(IF(O342&lt;$C$4,"Put","Call"),O342,$C$4,$C$9*SQRT($C$7)),"")</f>
        <v>1.5948432303730293E-5</v>
      </c>
      <c r="Q342" s="39">
        <f>IFERROR(_xll.qlBlackFormula(IF(O342&lt;$C$4,"Put","Call"),O342,$C$4,$C$10*SQRT($C$7),,$C$11),"")</f>
        <v>5.520543879653931E-7</v>
      </c>
      <c r="R342" s="40">
        <f>IFERROR(_xll.qlBachelierBlackFormula(IF(O342&lt;$C$4,"Put","Call"),O342,$C$4,$C$12*SQRT($C$7)),"")</f>
        <v>5.9856839320224652E-13</v>
      </c>
      <c r="S342" s="41">
        <f>IFERROR((_xll.qlBlackFormula(IF(O342&lt;$C$4,"Put","Call"),O342+$C$14,$C$4,$C$9*SQRT($C$7))-
2*_xll.qlBlackFormula(IF(O342&lt;$C$4,"Put","Call"),O342,$C$4,$C$9*SQRT($C$7))+
_xll.qlBlackFormula(IF(O342&lt;$C$4,"Put","Call"),O342-$C$14,$C$4,$C$9*SQRT($C$7)))/$C$14^2,"")</f>
        <v>0.58518928635134526</v>
      </c>
      <c r="T342" s="42">
        <f>IFERROR((_xll.qlBlackFormula(IF(O342&lt;$C$4,"Put","Call"),O342+$C$14,$C$4,$C$10*SQRT($C$7),,$C$11)-
2*_xll.qlBlackFormula(IF(O342&lt;$C$4,"Put","Call"),O342,$C$4,$C$10*SQRT($C$7),,$C$11)+
_xll.qlBlackFormula(IF(O342&lt;$C$4,"Put","Call"),O342-$C$14,$C$4,$C$10*SQRT($C$7),,$C$11))/$C$14^2,"")</f>
        <v>9.3857499964861327E-2</v>
      </c>
      <c r="U342" s="43">
        <f>IFERROR((_xll.qlBachelierBlackFormula(IF(O342&lt;$C$4,"Put","Call"),O342+$C$14,$C$4,$C$12*SQRT($C$7))-
2*_xll.qlBachelierBlackFormula(IF(O342&lt;$C$4,"Put","Call"),O342,$C$4,$C$12*SQRT($C$7))+
_xll.qlBachelierBlackFormula(IF(O342&lt;$C$4,"Put","Call"),O342-$C$14,$C$4,$C$12*SQRT($C$7)))/$C$14^2,"")</f>
        <v>2.3459196082521416E-6</v>
      </c>
      <c r="V342" s="61">
        <f>IFERROR(_xll.qlBachelierBlackFormulaImpliedVol(IF(O342&lt;$C$4,"Put","Call"),O342,$C$4,$C$7,P342),"")</f>
        <v>7.5334235806022807E-3</v>
      </c>
      <c r="W342" s="61">
        <f>IFERROR(_xll.qlBachelierBlackFormulaImpliedVol(IF(O342&lt;$C$4,"Put","Call"),O342,$C$4,$C$7,Q342),"")</f>
        <v>5.5576173287992742E-3</v>
      </c>
      <c r="X342" s="61">
        <f>IFERROR(_xll.qlBachelierBlackFormulaImpliedVol(IF(O342&lt;$C$4,"Put","Call"),O342,$C$4,$C$7,R342),"")</f>
        <v>3.1332853048110076E-3</v>
      </c>
      <c r="Y342" s="42"/>
    </row>
    <row r="343" spans="15:25">
      <c r="O343" s="37">
        <f t="shared" si="6"/>
        <v>2.3799999999999908E-2</v>
      </c>
      <c r="P343" s="38">
        <f>IFERROR(_xll.qlBlackFormula(IF(O343&lt;$C$4,"Put","Call"),O343,$C$4,$C$9*SQRT($C$7)),"")</f>
        <v>1.5662620930256837E-5</v>
      </c>
      <c r="Q343" s="39">
        <f>IFERROR(_xll.qlBlackFormula(IF(O343&lt;$C$4,"Put","Call"),O343,$C$4,$C$10*SQRT($C$7),,$C$11),"")</f>
        <v>5.2997327444912254E-7</v>
      </c>
      <c r="R343" s="40">
        <f>IFERROR(_xll.qlBachelierBlackFormula(IF(O343&lt;$C$4,"Put","Call"),O343,$C$4,$C$12*SQRT($C$7)),"")</f>
        <v>4.896267952158143E-13</v>
      </c>
      <c r="S343" s="41">
        <f>IFERROR((_xll.qlBlackFormula(IF(O343&lt;$C$4,"Put","Call"),O343+$C$14,$C$4,$C$9*SQRT($C$7))-
2*_xll.qlBlackFormula(IF(O343&lt;$C$4,"Put","Call"),O343,$C$4,$C$9*SQRT($C$7))+
_xll.qlBlackFormula(IF(O343&lt;$C$4,"Put","Call"),O343-$C$14,$C$4,$C$9*SQRT($C$7)))/$C$14^2,"")</f>
        <v>0.57218422708227301</v>
      </c>
      <c r="T343" s="42">
        <f>IFERROR((_xll.qlBlackFormula(IF(O343&lt;$C$4,"Put","Call"),O343+$C$14,$C$4,$C$10*SQRT($C$7),,$C$11)-
2*_xll.qlBlackFormula(IF(O343&lt;$C$4,"Put","Call"),O343,$C$4,$C$10*SQRT($C$7),,$C$11)+
_xll.qlBlackFormula(IF(O343&lt;$C$4,"Put","Call"),O343-$C$14,$C$4,$C$10*SQRT($C$7),,$C$11))/$C$14^2,"")</f>
        <v>8.9966383918138521E-2</v>
      </c>
      <c r="U343" s="43">
        <f>IFERROR((_xll.qlBachelierBlackFormula(IF(O343&lt;$C$4,"Put","Call"),O343+$C$14,$C$4,$C$12*SQRT($C$7))-
2*_xll.qlBachelierBlackFormula(IF(O343&lt;$C$4,"Put","Call"),O343,$C$4,$C$12*SQRT($C$7))+
_xll.qlBachelierBlackFormula(IF(O343&lt;$C$4,"Put","Call"),O343-$C$14,$C$4,$C$12*SQRT($C$7)))/$C$14^2,"")</f>
        <v>1.9380688917574571E-6</v>
      </c>
      <c r="V343" s="61">
        <f>IFERROR(_xll.qlBachelierBlackFormulaImpliedVol(IF(O343&lt;$C$4,"Put","Call"),O343,$C$4,$C$7,P343),"")</f>
        <v>7.5532834079199244E-3</v>
      </c>
      <c r="W343" s="61">
        <f>IFERROR(_xll.qlBachelierBlackFormulaImpliedVol(IF(O343&lt;$C$4,"Put","Call"),O343,$C$4,$C$7,Q343),"")</f>
        <v>5.5689660760321075E-3</v>
      </c>
      <c r="X343" s="61">
        <f>IFERROR(_xll.qlBachelierBlackFormulaImpliedVol(IF(O343&lt;$C$4,"Put","Call"),O343,$C$4,$C$7,R343),"")</f>
        <v>3.1332853778599E-3</v>
      </c>
      <c r="Y343" s="42"/>
    </row>
    <row r="344" spans="15:25">
      <c r="O344" s="37">
        <f t="shared" si="6"/>
        <v>2.3899999999999907E-2</v>
      </c>
      <c r="P344" s="38">
        <f>IFERROR(_xll.qlBlackFormula(IF(O344&lt;$C$4,"Put","Call"),O344,$C$4,$C$9*SQRT($C$7)),"")</f>
        <v>1.5382531691297377E-5</v>
      </c>
      <c r="Q344" s="39">
        <f>IFERROR(_xll.qlBlackFormula(IF(O344&lt;$C$4,"Put","Call"),O344,$C$4,$C$10*SQRT($C$7),,$C$11),"")</f>
        <v>5.0879196100392606E-7</v>
      </c>
      <c r="R344" s="40">
        <f>IFERROR(_xll.qlBachelierBlackFormula(IF(O344&lt;$C$4,"Put","Call"),O344,$C$4,$C$12*SQRT($C$7)),"")</f>
        <v>4.0012352017177517E-13</v>
      </c>
      <c r="S344" s="41">
        <f>IFERROR((_xll.qlBlackFormula(IF(O344&lt;$C$4,"Put","Call"),O344+$C$14,$C$4,$C$9*SQRT($C$7))-
2*_xll.qlBlackFormula(IF(O344&lt;$C$4,"Put","Call"),O344,$C$4,$C$9*SQRT($C$7))+
_xll.qlBlackFormula(IF(O344&lt;$C$4,"Put","Call"),O344-$C$14,$C$4,$C$9*SQRT($C$7)))/$C$14^2,"")</f>
        <v>0.55950078283514149</v>
      </c>
      <c r="T344" s="42">
        <f>IFERROR((_xll.qlBlackFormula(IF(O344&lt;$C$4,"Put","Call"),O344+$C$14,$C$4,$C$10*SQRT($C$7),,$C$11)-
2*_xll.qlBlackFormula(IF(O344&lt;$C$4,"Put","Call"),O344,$C$4,$C$10*SQRT($C$7),,$C$11)+
_xll.qlBlackFormula(IF(O344&lt;$C$4,"Put","Call"),O344-$C$14,$C$4,$C$10*SQRT($C$7),,$C$11))/$C$14^2,"")</f>
        <v>8.6238039651790735E-2</v>
      </c>
      <c r="U344" s="43">
        <f>IFERROR((_xll.qlBachelierBlackFormula(IF(O344&lt;$C$4,"Put","Call"),O344+$C$14,$C$4,$C$12*SQRT($C$7))-
2*_xll.qlBachelierBlackFormula(IF(O344&lt;$C$4,"Put","Call"),O344,$C$4,$C$12*SQRT($C$7))+
_xll.qlBachelierBlackFormula(IF(O344&lt;$C$4,"Put","Call"),O344-$C$14,$C$4,$C$12*SQRT($C$7)))/$C$14^2,"")</f>
        <v>1.5994949877726152E-6</v>
      </c>
      <c r="V344" s="61">
        <f>IFERROR(_xll.qlBachelierBlackFormulaImpliedVol(IF(O344&lt;$C$4,"Put","Call"),O344,$C$4,$C$7,P344),"")</f>
        <v>7.5731219059900576E-3</v>
      </c>
      <c r="W344" s="61">
        <f>IFERROR(_xll.qlBachelierBlackFormulaImpliedVol(IF(O344&lt;$C$4,"Put","Call"),O344,$C$4,$C$7,Q344),"")</f>
        <v>5.5803038412371806E-3</v>
      </c>
      <c r="X344" s="61">
        <f>IFERROR(_xll.qlBachelierBlackFormulaImpliedVol(IF(O344&lt;$C$4,"Put","Call"),O344,$C$4,$C$7,R344),"")</f>
        <v>3.1332855598826901E-3</v>
      </c>
      <c r="Y344" s="42"/>
    </row>
    <row r="345" spans="15:25">
      <c r="O345" s="37">
        <f t="shared" si="6"/>
        <v>2.3999999999999907E-2</v>
      </c>
      <c r="P345" s="38">
        <f>IFERROR(_xll.qlBlackFormula(IF(O345&lt;$C$4,"Put","Call"),O345,$C$4,$C$9*SQRT($C$7)),"")</f>
        <v>1.5108037727575883E-5</v>
      </c>
      <c r="Q345" s="39">
        <f>IFERROR(_xll.qlBlackFormula(IF(O345&lt;$C$4,"Put","Call"),O345,$C$4,$C$10*SQRT($C$7),,$C$11),"")</f>
        <v>4.8847317922214442E-7</v>
      </c>
      <c r="R345" s="40">
        <f>IFERROR(_xll.qlBachelierBlackFormula(IF(O345&lt;$C$4,"Put","Call"),O345,$C$4,$C$12*SQRT($C$7)),"")</f>
        <v>3.2666328311120143E-13</v>
      </c>
      <c r="S345" s="41">
        <f>IFERROR((_xll.qlBlackFormula(IF(O345&lt;$C$4,"Put","Call"),O345+$C$14,$C$4,$C$9*SQRT($C$7))-
2*_xll.qlBlackFormula(IF(O345&lt;$C$4,"Put","Call"),O345,$C$4,$C$9*SQRT($C$7))+
_xll.qlBlackFormula(IF(O345&lt;$C$4,"Put","Call"),O345-$C$14,$C$4,$C$9*SQRT($C$7)))/$C$14^2,"")</f>
        <v>0.54712453372105652</v>
      </c>
      <c r="T345" s="42">
        <f>IFERROR((_xll.qlBlackFormula(IF(O345&lt;$C$4,"Put","Call"),O345+$C$14,$C$4,$C$10*SQRT($C$7),,$C$11)-
2*_xll.qlBlackFormula(IF(O345&lt;$C$4,"Put","Call"),O345,$C$4,$C$10*SQRT($C$7),,$C$11)+
_xll.qlBlackFormula(IF(O345&lt;$C$4,"Put","Call"),O345-$C$14,$C$4,$C$10*SQRT($C$7),,$C$11))/$C$14^2,"")</f>
        <v>8.266823962437822E-2</v>
      </c>
      <c r="U345" s="43">
        <f>IFERROR((_xll.qlBachelierBlackFormula(IF(O345&lt;$C$4,"Put","Call"),O345+$C$14,$C$4,$C$12*SQRT($C$7))-
2*_xll.qlBachelierBlackFormula(IF(O345&lt;$C$4,"Put","Call"),O345,$C$4,$C$12*SQRT($C$7))+
_xll.qlBachelierBlackFormula(IF(O345&lt;$C$4,"Put","Call"),O345-$C$14,$C$4,$C$12*SQRT($C$7)))/$C$14^2,"")</f>
        <v>1.3187247267180943E-6</v>
      </c>
      <c r="V345" s="61">
        <f>IFERROR(_xll.qlBachelierBlackFormulaImpliedVol(IF(O345&lt;$C$4,"Put","Call"),O345,$C$4,$C$7,P345),"")</f>
        <v>7.5929392017135156E-3</v>
      </c>
      <c r="W345" s="61">
        <f>IFERROR(_xll.qlBachelierBlackFormulaImpliedVol(IF(O345&lt;$C$4,"Put","Call"),O345,$C$4,$C$7,Q345),"")</f>
        <v>5.59163067937774E-3</v>
      </c>
      <c r="X345" s="61">
        <f>IFERROR(_xll.qlBachelierBlackFormulaImpliedVol(IF(O345&lt;$C$4,"Put","Call"),O345,$C$4,$C$7,R345),"")</f>
        <v>3.1332855714584062E-3</v>
      </c>
      <c r="Y345" s="42"/>
    </row>
    <row r="346" spans="15:25">
      <c r="O346" s="37">
        <f t="shared" si="6"/>
        <v>2.4099999999999906E-2</v>
      </c>
      <c r="P346" s="38">
        <f>IFERROR(_xll.qlBlackFormula(IF(O346&lt;$C$4,"Put","Call"),O346,$C$4,$C$9*SQRT($C$7)),"")</f>
        <v>1.4839015269084552E-5</v>
      </c>
      <c r="Q346" s="39">
        <f>IFERROR(_xll.qlBlackFormula(IF(O346&lt;$C$4,"Put","Call"),O346,$C$4,$C$10*SQRT($C$7),,$C$11),"")</f>
        <v>4.6898122527380261E-7</v>
      </c>
      <c r="R346" s="40">
        <f>IFERROR(_xll.qlBachelierBlackFormula(IF(O346&lt;$C$4,"Put","Call"),O346,$C$4,$C$12*SQRT($C$7)),"")</f>
        <v>2.6643034991145159E-13</v>
      </c>
      <c r="S346" s="41">
        <f>IFERROR((_xll.qlBlackFormula(IF(O346&lt;$C$4,"Put","Call"),O346+$C$14,$C$4,$C$9*SQRT($C$7))-
2*_xll.qlBlackFormula(IF(O346&lt;$C$4,"Put","Call"),O346,$C$4,$C$9*SQRT($C$7))+
_xll.qlBlackFormula(IF(O346&lt;$C$4,"Put","Call"),O346-$C$14,$C$4,$C$9*SQRT($C$7)))/$C$14^2,"")</f>
        <v>0.53505023491200876</v>
      </c>
      <c r="T346" s="42">
        <f>IFERROR((_xll.qlBlackFormula(IF(O346&lt;$C$4,"Put","Call"),O346+$C$14,$C$4,$C$10*SQRT($C$7),,$C$11)-
2*_xll.qlBlackFormula(IF(O346&lt;$C$4,"Put","Call"),O346,$C$4,$C$10*SQRT($C$7),,$C$11)+
_xll.qlBlackFormula(IF(O346&lt;$C$4,"Put","Call"),O346-$C$14,$C$4,$C$10*SQRT($C$7),,$C$11))/$C$14^2,"")</f>
        <v>7.9248540611482746E-2</v>
      </c>
      <c r="U346" s="43">
        <f>IFERROR((_xll.qlBachelierBlackFormula(IF(O346&lt;$C$4,"Put","Call"),O346+$C$14,$C$4,$C$12*SQRT($C$7))-
2*_xll.qlBachelierBlackFormula(IF(O346&lt;$C$4,"Put","Call"),O346,$C$4,$C$12*SQRT($C$7))+
_xll.qlBachelierBlackFormula(IF(O346&lt;$C$4,"Put","Call"),O346-$C$14,$C$4,$C$12*SQRT($C$7)))/$C$14^2,"")</f>
        <v>1.0861324743774922E-6</v>
      </c>
      <c r="V346" s="61">
        <f>IFERROR(_xll.qlBachelierBlackFormulaImpliedVol(IF(O346&lt;$C$4,"Put","Call"),O346,$C$4,$C$7,P346),"")</f>
        <v>7.6127354206936473E-3</v>
      </c>
      <c r="W346" s="61">
        <f>IFERROR(_xll.qlBachelierBlackFormulaImpliedVol(IF(O346&lt;$C$4,"Put","Call"),O346,$C$4,$C$7,Q346),"")</f>
        <v>5.6029466449472659E-3</v>
      </c>
      <c r="X346" s="61">
        <f>IFERROR(_xll.qlBachelierBlackFormulaImpliedVol(IF(O346&lt;$C$4,"Put","Call"),O346,$C$4,$C$7,R346),"")</f>
        <v>3.1332856199950462E-3</v>
      </c>
      <c r="Y346" s="42"/>
    </row>
    <row r="347" spans="15:25">
      <c r="O347" s="37">
        <f t="shared" si="6"/>
        <v>2.4199999999999906E-2</v>
      </c>
      <c r="P347" s="38">
        <f>IFERROR(_xll.qlBlackFormula(IF(O347&lt;$C$4,"Put","Call"),O347,$C$4,$C$9*SQRT($C$7)),"")</f>
        <v>1.457534355307408E-5</v>
      </c>
      <c r="Q347" s="39">
        <f>IFERROR(_xll.qlBlackFormula(IF(O347&lt;$C$4,"Put","Call"),O347,$C$4,$C$10*SQRT($C$7),,$C$11),"")</f>
        <v>4.5028189355533345E-7</v>
      </c>
      <c r="R347" s="40">
        <f>IFERROR(_xll.qlBachelierBlackFormula(IF(O347&lt;$C$4,"Put","Call"),O347,$C$4,$C$12*SQRT($C$7)),"")</f>
        <v>2.1709214914837259E-13</v>
      </c>
      <c r="S347" s="41">
        <f>IFERROR((_xll.qlBlackFormula(IF(O347&lt;$C$4,"Put","Call"),O347+$C$14,$C$4,$C$9*SQRT($C$7))-
2*_xll.qlBlackFormula(IF(O347&lt;$C$4,"Put","Call"),O347,$C$4,$C$9*SQRT($C$7))+
_xll.qlBlackFormula(IF(O347&lt;$C$4,"Put","Call"),O347-$C$14,$C$4,$C$9*SQRT($C$7)))/$C$14^2,"")</f>
        <v>0.52326784398537551</v>
      </c>
      <c r="T347" s="42">
        <f>IFERROR((_xll.qlBlackFormula(IF(O347&lt;$C$4,"Put","Call"),O347+$C$14,$C$4,$C$10*SQRT($C$7),,$C$11)-
2*_xll.qlBlackFormula(IF(O347&lt;$C$4,"Put","Call"),O347,$C$4,$C$10*SQRT($C$7),,$C$11)+
_xll.qlBlackFormula(IF(O347&lt;$C$4,"Put","Call"),O347-$C$14,$C$4,$C$10*SQRT($C$7),,$C$11))/$C$14^2,"")</f>
        <v>7.5973928178056566E-2</v>
      </c>
      <c r="U347" s="43">
        <f>IFERROR((_xll.qlBachelierBlackFormula(IF(O347&lt;$C$4,"Put","Call"),O347+$C$14,$C$4,$C$12*SQRT($C$7))-
2*_xll.qlBachelierBlackFormula(IF(O347&lt;$C$4,"Put","Call"),O347,$C$4,$C$12*SQRT($C$7))+
_xll.qlBachelierBlackFormula(IF(O347&lt;$C$4,"Put","Call"),O347-$C$14,$C$4,$C$12*SQRT($C$7)))/$C$14^2,"")</f>
        <v>8.9365386116650904E-7</v>
      </c>
      <c r="V347" s="61">
        <f>IFERROR(_xll.qlBachelierBlackFormulaImpliedVol(IF(O347&lt;$C$4,"Put","Call"),O347,$C$4,$C$7,P347),"")</f>
        <v>7.6325106872550128E-3</v>
      </c>
      <c r="W347" s="61">
        <f>IFERROR(_xll.qlBachelierBlackFormulaImpliedVol(IF(O347&lt;$C$4,"Put","Call"),O347,$C$4,$C$7,Q347),"")</f>
        <v>5.6142517919676397E-3</v>
      </c>
      <c r="X347" s="61">
        <f>IFERROR(_xll.qlBachelierBlackFormulaImpliedVol(IF(O347&lt;$C$4,"Put","Call"),O347,$C$4,$C$7,R347),"")</f>
        <v>3.1332854440521921E-3</v>
      </c>
      <c r="Y347" s="42"/>
    </row>
    <row r="348" spans="15:25">
      <c r="O348" s="37">
        <f t="shared" si="6"/>
        <v>2.4299999999999905E-2</v>
      </c>
      <c r="P348" s="38">
        <f>IFERROR(_xll.qlBlackFormula(IF(O348&lt;$C$4,"Put","Call"),O348,$C$4,$C$9*SQRT($C$7)),"")</f>
        <v>1.4316904744387593E-5</v>
      </c>
      <c r="Q348" s="39">
        <f>IFERROR(_xll.qlBlackFormula(IF(O348&lt;$C$4,"Put","Call"),O348,$C$4,$C$10*SQRT($C$7),,$C$11),"")</f>
        <v>4.3234241317450201E-7</v>
      </c>
      <c r="R348" s="40">
        <f>IFERROR(_xll.qlBachelierBlackFormula(IF(O348&lt;$C$4,"Put","Call"),O348,$C$4,$C$12*SQRT($C$7)),"")</f>
        <v>1.7671823943978687E-13</v>
      </c>
      <c r="S348" s="41">
        <f>IFERROR((_xll.qlBlackFormula(IF(O348&lt;$C$4,"Put","Call"),O348+$C$14,$C$4,$C$9*SQRT($C$7))-
2*_xll.qlBlackFormula(IF(O348&lt;$C$4,"Put","Call"),O348,$C$4,$C$9*SQRT($C$7))+
_xll.qlBlackFormula(IF(O348&lt;$C$4,"Put","Call"),O348-$C$14,$C$4,$C$9*SQRT($C$7)))/$C$14^2,"")</f>
        <v>0.51176948692287927</v>
      </c>
      <c r="T348" s="42">
        <f>IFERROR((_xll.qlBlackFormula(IF(O348&lt;$C$4,"Put","Call"),O348+$C$14,$C$4,$C$10*SQRT($C$7),,$C$11)-
2*_xll.qlBlackFormula(IF(O348&lt;$C$4,"Put","Call"),O348,$C$4,$C$10*SQRT($C$7),,$C$11)+
_xll.qlBlackFormula(IF(O348&lt;$C$4,"Put","Call"),O348-$C$14,$C$4,$C$10*SQRT($C$7),,$C$11))/$C$14^2,"")</f>
        <v>7.2835711766060851E-2</v>
      </c>
      <c r="U348" s="43">
        <f>IFERROR((_xll.qlBachelierBlackFormula(IF(O348&lt;$C$4,"Put","Call"),O348+$C$14,$C$4,$C$12*SQRT($C$7))-
2*_xll.qlBachelierBlackFormula(IF(O348&lt;$C$4,"Put","Call"),O348,$C$4,$C$12*SQRT($C$7))+
_xll.qlBachelierBlackFormula(IF(O348&lt;$C$4,"Put","Call"),O348-$C$14,$C$4,$C$12*SQRT($C$7)))/$C$14^2,"")</f>
        <v>7.3453664890337851E-7</v>
      </c>
      <c r="V348" s="61">
        <f>IFERROR(_xll.qlBachelierBlackFormulaImpliedVol(IF(O348&lt;$C$4,"Put","Call"),O348,$C$4,$C$7,P348),"")</f>
        <v>7.6522651244611967E-3</v>
      </c>
      <c r="W348" s="61">
        <f>IFERROR(_xll.qlBachelierBlackFormulaImpliedVol(IF(O348&lt;$C$4,"Put","Call"),O348,$C$4,$C$7,Q348),"")</f>
        <v>5.6255461740077591E-3</v>
      </c>
      <c r="X348" s="61">
        <f>IFERROR(_xll.qlBachelierBlackFormulaImpliedVol(IF(O348&lt;$C$4,"Put","Call"),O348,$C$4,$C$7,R348),"")</f>
        <v>3.1332854349265392E-3</v>
      </c>
      <c r="Y348" s="42"/>
    </row>
    <row r="349" spans="15:25">
      <c r="O349" s="37">
        <f t="shared" si="6"/>
        <v>2.4399999999999904E-2</v>
      </c>
      <c r="P349" s="38">
        <f>IFERROR(_xll.qlBlackFormula(IF(O349&lt;$C$4,"Put","Call"),O349,$C$4,$C$9*SQRT($C$7)),"")</f>
        <v>1.4063583858085987E-5</v>
      </c>
      <c r="Q349" s="39">
        <f>IFERROR(_xll.qlBlackFormula(IF(O349&lt;$C$4,"Put","Call"),O349,$C$4,$C$10*SQRT($C$7),,$C$11),"")</f>
        <v>4.1513138714250322E-7</v>
      </c>
      <c r="R349" s="40">
        <f>IFERROR(_xll.qlBachelierBlackFormula(IF(O349&lt;$C$4,"Put","Call"),O349,$C$4,$C$12*SQRT($C$7)),"")</f>
        <v>1.4371275240176412E-13</v>
      </c>
      <c r="S349" s="41">
        <f>IFERROR((_xll.qlBlackFormula(IF(O349&lt;$C$4,"Put","Call"),O349+$C$14,$C$4,$C$9*SQRT($C$7))-
2*_xll.qlBlackFormula(IF(O349&lt;$C$4,"Put","Call"),O349,$C$4,$C$9*SQRT($C$7))+
_xll.qlBlackFormula(IF(O349&lt;$C$4,"Put","Call"),O349-$C$14,$C$4,$C$9*SQRT($C$7)))/$C$14^2,"")</f>
        <v>0.50054784535985553</v>
      </c>
      <c r="T349" s="42">
        <f>IFERROR((_xll.qlBlackFormula(IF(O349&lt;$C$4,"Put","Call"),O349+$C$14,$C$4,$C$10*SQRT($C$7),,$C$11)-
2*_xll.qlBlackFormula(IF(O349&lt;$C$4,"Put","Call"),O349,$C$4,$C$10*SQRT($C$7),,$C$11)+
_xll.qlBlackFormula(IF(O349&lt;$C$4,"Put","Call"),O349-$C$14,$C$4,$C$10*SQRT($C$7),,$C$11))/$C$14^2,"")</f>
        <v>6.9826240126883057E-2</v>
      </c>
      <c r="U349" s="43">
        <f>IFERROR((_xll.qlBachelierBlackFormula(IF(O349&lt;$C$4,"Put","Call"),O349+$C$14,$C$4,$C$12*SQRT($C$7))-
2*_xll.qlBachelierBlackFormula(IF(O349&lt;$C$4,"Put","Call"),O349,$C$4,$C$12*SQRT($C$7))+
_xll.qlBachelierBlackFormula(IF(O349&lt;$C$4,"Put","Call"),O349-$C$14,$C$4,$C$12*SQRT($C$7)))/$C$14^2,"")</f>
        <v>6.0313594625391776E-7</v>
      </c>
      <c r="V349" s="61">
        <f>IFERROR(_xll.qlBachelierBlackFormulaImpliedVol(IF(O349&lt;$C$4,"Put","Call"),O349,$C$4,$C$7,P349),"")</f>
        <v>7.6719988541334829E-3</v>
      </c>
      <c r="W349" s="61">
        <f>IFERROR(_xll.qlBachelierBlackFormulaImpliedVol(IF(O349&lt;$C$4,"Put","Call"),O349,$C$4,$C$7,Q349),"")</f>
        <v>5.6368298441876177E-3</v>
      </c>
      <c r="X349" s="61">
        <f>IFERROR(_xll.qlBachelierBlackFormulaImpliedVol(IF(O349&lt;$C$4,"Put","Call"),O349,$C$4,$C$7,R349),"")</f>
        <v>3.1332856808728988E-3</v>
      </c>
      <c r="Y349" s="42"/>
    </row>
    <row r="350" spans="15:25">
      <c r="O350" s="37">
        <f t="shared" si="6"/>
        <v>2.4499999999999904E-2</v>
      </c>
      <c r="P350" s="38">
        <f>IFERROR(_xll.qlBlackFormula(IF(O350&lt;$C$4,"Put","Call"),O350,$C$4,$C$9*SQRT($C$7)),"")</f>
        <v>1.3815268684286356E-5</v>
      </c>
      <c r="Q350" s="39">
        <f>IFERROR(_xll.qlBlackFormula(IF(O350&lt;$C$4,"Put","Call"),O350,$C$4,$C$10*SQRT($C$7),,$C$11),"")</f>
        <v>3.9861873415141081E-7</v>
      </c>
      <c r="R350" s="40">
        <f>IFERROR(_xll.qlBachelierBlackFormula(IF(O350&lt;$C$4,"Put","Call"),O350,$C$4,$C$12*SQRT($C$7)),"")</f>
        <v>1.1675775878373673E-13</v>
      </c>
      <c r="S350" s="41">
        <f>IFERROR((_xll.qlBlackFormula(IF(O350&lt;$C$4,"Put","Call"),O350+$C$14,$C$4,$C$9*SQRT($C$7))-
2*_xll.qlBlackFormula(IF(O350&lt;$C$4,"Put","Call"),O350,$C$4,$C$9*SQRT($C$7))+
_xll.qlBlackFormula(IF(O350&lt;$C$4,"Put","Call"),O350-$C$14,$C$4,$C$9*SQRT($C$7)))/$C$14^2,"")</f>
        <v>0.48959775578345799</v>
      </c>
      <c r="T350" s="42">
        <f>IFERROR((_xll.qlBlackFormula(IF(O350&lt;$C$4,"Put","Call"),O350+$C$14,$C$4,$C$10*SQRT($C$7),,$C$11)-
2*_xll.qlBlackFormula(IF(O350&lt;$C$4,"Put","Call"),O350,$C$4,$C$10*SQRT($C$7),,$C$11)+
_xll.qlBlackFormula(IF(O350&lt;$C$4,"Put","Call"),O350-$C$14,$C$4,$C$10*SQRT($C$7),,$C$11))/$C$14^2,"")</f>
        <v>6.6945898660514175E-2</v>
      </c>
      <c r="U350" s="43">
        <f>IFERROR((_xll.qlBachelierBlackFormula(IF(O350&lt;$C$4,"Put","Call"),O350+$C$14,$C$4,$C$12*SQRT($C$7))-
2*_xll.qlBachelierBlackFormula(IF(O350&lt;$C$4,"Put","Call"),O350,$C$4,$C$12*SQRT($C$7))+
_xll.qlBachelierBlackFormula(IF(O350&lt;$C$4,"Put","Call"),O350-$C$14,$C$4,$C$12*SQRT($C$7)))/$C$14^2,"")</f>
        <v>4.9473720177396392E-7</v>
      </c>
      <c r="V350" s="61">
        <f>IFERROR(_xll.qlBachelierBlackFormulaImpliedVol(IF(O350&lt;$C$4,"Put","Call"),O350,$C$4,$C$7,P350),"")</f>
        <v>7.6917119968678456E-3</v>
      </c>
      <c r="W350" s="61">
        <f>IFERROR(_xll.qlBachelierBlackFormulaImpliedVol(IF(O350&lt;$C$4,"Put","Call"),O350,$C$4,$C$7,Q350),"")</f>
        <v>5.6481028551691832E-3</v>
      </c>
      <c r="X350" s="61">
        <f>IFERROR(_xll.qlBachelierBlackFormulaImpliedVol(IF(O350&lt;$C$4,"Put","Call"),O350,$C$4,$C$7,R350),"")</f>
        <v>3.1332849139227995E-3</v>
      </c>
      <c r="Y350" s="42"/>
    </row>
    <row r="351" spans="15:25">
      <c r="O351" s="37">
        <f t="shared" si="6"/>
        <v>2.4599999999999903E-2</v>
      </c>
      <c r="P351" s="38">
        <f>IFERROR(_xll.qlBlackFormula(IF(O351&lt;$C$4,"Put","Call"),O351,$C$4,$C$9*SQRT($C$7)),"")</f>
        <v>1.3571849715146995E-5</v>
      </c>
      <c r="Q351" s="39">
        <f>IFERROR(_xll.qlBlackFormula(IF(O351&lt;$C$4,"Put","Call"),O351,$C$4,$C$10*SQRT($C$7),,$C$11),"")</f>
        <v>3.8277563284853524E-7</v>
      </c>
      <c r="R351" s="40">
        <f>IFERROR(_xll.qlBachelierBlackFormula(IF(O351&lt;$C$4,"Put","Call"),O351,$C$4,$C$12*SQRT($C$7)),"")</f>
        <v>9.4765999069772113E-14</v>
      </c>
      <c r="S351" s="41">
        <f>IFERROR((_xll.qlBlackFormula(IF(O351&lt;$C$4,"Put","Call"),O351+$C$14,$C$4,$C$9*SQRT($C$7))-
2*_xll.qlBlackFormula(IF(O351&lt;$C$4,"Put","Call"),O351,$C$4,$C$9*SQRT($C$7))+
_xll.qlBlackFormula(IF(O351&lt;$C$4,"Put","Call"),O351-$C$14,$C$4,$C$9*SQRT($C$7)))/$C$14^2,"")</f>
        <v>0.47891040905103516</v>
      </c>
      <c r="T351" s="42">
        <f>IFERROR((_xll.qlBlackFormula(IF(O351&lt;$C$4,"Put","Call"),O351+$C$14,$C$4,$C$10*SQRT($C$7),,$C$11)-
2*_xll.qlBlackFormula(IF(O351&lt;$C$4,"Put","Call"),O351,$C$4,$C$10*SQRT($C$7),,$C$11)+
_xll.qlBlackFormula(IF(O351&lt;$C$4,"Put","Call"),O351-$C$14,$C$4,$C$10*SQRT($C$7),,$C$11))/$C$14^2,"")</f>
        <v>6.4182944949206427E-2</v>
      </c>
      <c r="U351" s="43">
        <f>IFERROR((_xll.qlBachelierBlackFormula(IF(O351&lt;$C$4,"Put","Call"),O351+$C$14,$C$4,$C$12*SQRT($C$7))-
2*_xll.qlBachelierBlackFormula(IF(O351&lt;$C$4,"Put","Call"),O351,$C$4,$C$12*SQRT($C$7))+
_xll.qlBachelierBlackFormula(IF(O351&lt;$C$4,"Put","Call"),O351-$C$14,$C$4,$C$12*SQRT($C$7)))/$C$14^2,"")</f>
        <v>4.0540727989516523E-7</v>
      </c>
      <c r="V351" s="61">
        <f>IFERROR(_xll.qlBachelierBlackFormulaImpliedVol(IF(O351&lt;$C$4,"Put","Call"),O351,$C$4,$C$7,P351),"")</f>
        <v>7.7114046720530918E-3</v>
      </c>
      <c r="W351" s="61">
        <f>IFERROR(_xll.qlBachelierBlackFormulaImpliedVol(IF(O351&lt;$C$4,"Put","Call"),O351,$C$4,$C$7,Q351),"")</f>
        <v>5.6593652591805342E-3</v>
      </c>
      <c r="X351" s="61">
        <f>IFERROR(_xll.qlBachelierBlackFormulaImpliedVol(IF(O351&lt;$C$4,"Put","Call"),O351,$C$4,$C$7,R351),"")</f>
        <v>3.1332856669472236E-3</v>
      </c>
      <c r="Y351" s="42"/>
    </row>
    <row r="352" spans="15:25">
      <c r="O352" s="37">
        <f t="shared" si="6"/>
        <v>2.4699999999999903E-2</v>
      </c>
      <c r="P352" s="38">
        <f>IFERROR(_xll.qlBlackFormula(IF(O352&lt;$C$4,"Put","Call"),O352,$C$4,$C$9*SQRT($C$7)),"")</f>
        <v>1.3333220073931473E-5</v>
      </c>
      <c r="Q352" s="39">
        <f>IFERROR(_xll.qlBlackFormula(IF(O352&lt;$C$4,"Put","Call"),O352,$C$4,$C$10*SQRT($C$7),,$C$11),"")</f>
        <v>3.6757446847557153E-7</v>
      </c>
      <c r="R352" s="40">
        <f>IFERROR(_xll.qlBachelierBlackFormula(IF(O352&lt;$C$4,"Put","Call"),O352,$C$4,$C$12*SQRT($C$7)),"")</f>
        <v>7.684144736216256E-14</v>
      </c>
      <c r="S352" s="41">
        <f>IFERROR((_xll.qlBlackFormula(IF(O352&lt;$C$4,"Put","Call"),O352+$C$14,$C$4,$C$9*SQRT($C$7))-
2*_xll.qlBlackFormula(IF(O352&lt;$C$4,"Put","Call"),O352,$C$4,$C$9*SQRT($C$7))+
_xll.qlBlackFormula(IF(O352&lt;$C$4,"Put","Call"),O352-$C$14,$C$4,$C$9*SQRT($C$7)))/$C$14^2,"")</f>
        <v>0.46848154289279648</v>
      </c>
      <c r="T352" s="42">
        <f>IFERROR((_xll.qlBlackFormula(IF(O352&lt;$C$4,"Put","Call"),O352+$C$14,$C$4,$C$10*SQRT($C$7),,$C$11)-
2*_xll.qlBlackFormula(IF(O352&lt;$C$4,"Put","Call"),O352,$C$4,$C$10*SQRT($C$7),,$C$11)+
_xll.qlBlackFormula(IF(O352&lt;$C$4,"Put","Call"),O352-$C$14,$C$4,$C$10*SQRT($C$7),,$C$11))/$C$14^2,"")</f>
        <v>6.1537966833825203E-2</v>
      </c>
      <c r="U352" s="43">
        <f>IFERROR((_xll.qlBachelierBlackFormula(IF(O352&lt;$C$4,"Put","Call"),O352+$C$14,$C$4,$C$12*SQRT($C$7))-
2*_xll.qlBachelierBlackFormula(IF(O352&lt;$C$4,"Put","Call"),O352,$C$4,$C$12*SQRT($C$7))+
_xll.qlBachelierBlackFormula(IF(O352&lt;$C$4,"Put","Call"),O352-$C$14,$C$4,$C$12*SQRT($C$7)))/$C$14^2,"")</f>
        <v>3.3186857397161162E-7</v>
      </c>
      <c r="V352" s="61">
        <f>IFERROR(_xll.qlBachelierBlackFormulaImpliedVol(IF(O352&lt;$C$4,"Put","Call"),O352,$C$4,$C$7,P352),"")</f>
        <v>7.7310769978874341E-3</v>
      </c>
      <c r="W352" s="61">
        <f>IFERROR(_xll.qlBachelierBlackFormulaImpliedVol(IF(O352&lt;$C$4,"Put","Call"),O352,$C$4,$C$7,Q352),"")</f>
        <v>5.6706171080073463E-3</v>
      </c>
      <c r="X352" s="61">
        <f>IFERROR(_xll.qlBachelierBlackFormulaImpliedVol(IF(O352&lt;$C$4,"Put","Call"),O352,$C$4,$C$7,R352),"")</f>
        <v>3.1332846849138631E-3</v>
      </c>
      <c r="Y352" s="42"/>
    </row>
    <row r="353" spans="15:25">
      <c r="O353" s="37">
        <f t="shared" si="6"/>
        <v>2.4799999999999902E-2</v>
      </c>
      <c r="P353" s="38">
        <f>IFERROR(_xll.qlBlackFormula(IF(O353&lt;$C$4,"Put","Call"),O353,$C$4,$C$9*SQRT($C$7)),"")</f>
        <v>1.3099275446089519E-5</v>
      </c>
      <c r="Q353" s="39">
        <f>IFERROR(_xll.qlBlackFormula(IF(O353&lt;$C$4,"Put","Call"),O353,$C$4,$C$10*SQRT($C$7),,$C$11),"")</f>
        <v>3.5298878178962329E-7</v>
      </c>
      <c r="R353" s="40">
        <f>IFERROR(_xll.qlBachelierBlackFormula(IF(O353&lt;$C$4,"Put","Call"),O353,$C$4,$C$12*SQRT($C$7)),"")</f>
        <v>6.2246447019163819E-14</v>
      </c>
      <c r="S353" s="41">
        <f>IFERROR((_xll.qlBlackFormula(IF(O353&lt;$C$4,"Put","Call"),O353+$C$14,$C$4,$C$9*SQRT($C$7))-
2*_xll.qlBlackFormula(IF(O353&lt;$C$4,"Put","Call"),O353,$C$4,$C$9*SQRT($C$7))+
_xll.qlBlackFormula(IF(O353&lt;$C$4,"Put","Call"),O353-$C$14,$C$4,$C$9*SQRT($C$7)))/$C$14^2,"")</f>
        <v>0.45829950891165122</v>
      </c>
      <c r="T353" s="42">
        <f>IFERROR((_xll.qlBlackFormula(IF(O353&lt;$C$4,"Put","Call"),O353+$C$14,$C$4,$C$10*SQRT($C$7),,$C$11)-
2*_xll.qlBlackFormula(IF(O353&lt;$C$4,"Put","Call"),O353,$C$4,$C$10*SQRT($C$7),,$C$11)+
_xll.qlBlackFormula(IF(O353&lt;$C$4,"Put","Call"),O353-$C$14,$C$4,$C$10*SQRT($C$7),,$C$11))/$C$14^2,"")</f>
        <v>5.9005763532074366E-2</v>
      </c>
      <c r="U353" s="43">
        <f>IFERROR((_xll.qlBachelierBlackFormula(IF(O353&lt;$C$4,"Put","Call"),O353+$C$14,$C$4,$C$12*SQRT($C$7))-
2*_xll.qlBachelierBlackFormula(IF(O353&lt;$C$4,"Put","Call"),O353,$C$4,$C$12*SQRT($C$7))+
_xll.qlBachelierBlackFormula(IF(O353&lt;$C$4,"Put","Call"),O353-$C$14,$C$4,$C$12*SQRT($C$7)))/$C$14^2,"")</f>
        <v>2.713928141414205E-7</v>
      </c>
      <c r="V353" s="61">
        <f>IFERROR(_xll.qlBachelierBlackFormulaImpliedVol(IF(O353&lt;$C$4,"Put","Call"),O353,$C$4,$C$7,P353),"")</f>
        <v>7.7507290913952226E-3</v>
      </c>
      <c r="W353" s="61">
        <f>IFERROR(_xll.qlBachelierBlackFormulaImpliedVol(IF(O353&lt;$C$4,"Put","Call"),O353,$C$4,$C$7,Q353),"")</f>
        <v>5.6818584530054011E-3</v>
      </c>
      <c r="X353" s="61">
        <f>IFERROR(_xll.qlBachelierBlackFormulaImpliedVol(IF(O353&lt;$C$4,"Put","Call"),O353,$C$4,$C$7,R353),"")</f>
        <v>3.1332867040668373E-3</v>
      </c>
      <c r="Y353" s="42"/>
    </row>
    <row r="354" spans="15:25">
      <c r="O354" s="37">
        <f t="shared" si="6"/>
        <v>2.4899999999999901E-2</v>
      </c>
      <c r="P354" s="38">
        <f>IFERROR(_xll.qlBlackFormula(IF(O354&lt;$C$4,"Put","Call"),O354,$C$4,$C$9*SQRT($C$7)),"")</f>
        <v>1.2869914012290565E-5</v>
      </c>
      <c r="Q354" s="39">
        <f>IFERROR(_xll.qlBlackFormula(IF(O354&lt;$C$4,"Put","Call"),O354,$C$4,$C$10*SQRT($C$7),,$C$11),"")</f>
        <v>3.3899322016100744E-7</v>
      </c>
      <c r="R354" s="40">
        <f>IFERROR(_xll.qlBachelierBlackFormula(IF(O354&lt;$C$4,"Put","Call"),O354,$C$4,$C$12*SQRT($C$7)),"")</f>
        <v>5.0374353317918376E-14</v>
      </c>
      <c r="S354" s="41">
        <f>IFERROR((_xll.qlBlackFormula(IF(O354&lt;$C$4,"Put","Call"),O354+$C$14,$C$4,$C$9*SQRT($C$7))-
2*_xll.qlBlackFormula(IF(O354&lt;$C$4,"Put","Call"),O354,$C$4,$C$9*SQRT($C$7))+
_xll.qlBlackFormula(IF(O354&lt;$C$4,"Put","Call"),O354-$C$14,$C$4,$C$9*SQRT($C$7)))/$C$14^2,"")</f>
        <v>0.44836123068393507</v>
      </c>
      <c r="T354" s="42">
        <f>IFERROR((_xll.qlBlackFormula(IF(O354&lt;$C$4,"Put","Call"),O354+$C$14,$C$4,$C$10*SQRT($C$7),,$C$11)-
2*_xll.qlBlackFormula(IF(O354&lt;$C$4,"Put","Call"),O354,$C$4,$C$10*SQRT($C$7),,$C$11)+
_xll.qlBlackFormula(IF(O354&lt;$C$4,"Put","Call"),O354-$C$14,$C$4,$C$10*SQRT($C$7),,$C$11))/$C$14^2,"")</f>
        <v>5.6573578727768269E-2</v>
      </c>
      <c r="U354" s="43">
        <f>IFERROR((_xll.qlBachelierBlackFormula(IF(O354&lt;$C$4,"Put","Call"),O354+$C$14,$C$4,$C$12*SQRT($C$7))-
2*_xll.qlBachelierBlackFormula(IF(O354&lt;$C$4,"Put","Call"),O354,$C$4,$C$12*SQRT($C$7))+
_xll.qlBachelierBlackFormula(IF(O354&lt;$C$4,"Put","Call"),O354-$C$14,$C$4,$C$12*SQRT($C$7)))/$C$14^2,"")</f>
        <v>2.2171147898119477E-7</v>
      </c>
      <c r="V354" s="61">
        <f>IFERROR(_xll.qlBachelierBlackFormulaImpliedVol(IF(O354&lt;$C$4,"Put","Call"),O354,$C$4,$C$7,P354),"")</f>
        <v>7.7703610684433698E-3</v>
      </c>
      <c r="W354" s="61">
        <f>IFERROR(_xll.qlBachelierBlackFormulaImpliedVol(IF(O354&lt;$C$4,"Put","Call"),O354,$C$4,$C$7,Q354),"")</f>
        <v>5.69308934510612E-3</v>
      </c>
      <c r="X354" s="61">
        <f>IFERROR(_xll.qlBachelierBlackFormulaImpliedVol(IF(O354&lt;$C$4,"Put","Call"),O354,$C$4,$C$7,R354),"")</f>
        <v>3.1332850386225817E-3</v>
      </c>
      <c r="Y354" s="42"/>
    </row>
    <row r="355" spans="15:25">
      <c r="O355" s="37">
        <f t="shared" si="6"/>
        <v>2.4999999999999901E-2</v>
      </c>
      <c r="P355" s="38">
        <f>IFERROR(_xll.qlBlackFormula(IF(O355&lt;$C$4,"Put","Call"),O355,$C$4,$C$9*SQRT($C$7)),"")</f>
        <v>1.2645036383353787E-5</v>
      </c>
      <c r="Q355" s="39">
        <f>IFERROR(_xll.qlBlackFormula(IF(O355&lt;$C$4,"Put","Call"),O355,$C$4,$C$10*SQRT($C$7),,$C$11),"")</f>
        <v>3.2556349074731792E-7</v>
      </c>
      <c r="R355" s="40">
        <f>IFERROR(_xll.qlBachelierBlackFormula(IF(O355&lt;$C$4,"Put","Call"),O355,$C$4,$C$12*SQRT($C$7)),"")</f>
        <v>4.0726785597196747E-14</v>
      </c>
      <c r="S355" s="41">
        <f>IFERROR((_xll.qlBlackFormula(IF(O355&lt;$C$4,"Put","Call"),O355+$C$14,$C$4,$C$9*SQRT($C$7))-
2*_xll.qlBlackFormula(IF(O355&lt;$C$4,"Put","Call"),O355,$C$4,$C$9*SQRT($C$7))+
_xll.qlBlackFormula(IF(O355&lt;$C$4,"Put","Call"),O355-$C$14,$C$4,$C$9*SQRT($C$7)))/$C$14^2,"")</f>
        <v>0.43865762124018981</v>
      </c>
      <c r="T355" s="42">
        <f>IFERROR((_xll.qlBlackFormula(IF(O355&lt;$C$4,"Put","Call"),O355+$C$14,$C$4,$C$10*SQRT($C$7),,$C$11)-
2*_xll.qlBlackFormula(IF(O355&lt;$C$4,"Put","Call"),O355,$C$4,$C$10*SQRT($C$7),,$C$11)+
_xll.qlBlackFormula(IF(O355&lt;$C$4,"Put","Call"),O355-$C$14,$C$4,$C$10*SQRT($C$7),,$C$11))/$C$14^2,"")</f>
        <v>5.4247514446258922E-2</v>
      </c>
      <c r="U355" s="43">
        <f>IFERROR((_xll.qlBachelierBlackFormula(IF(O355&lt;$C$4,"Put","Call"),O355+$C$14,$C$4,$C$12*SQRT($C$7))-
2*_xll.qlBachelierBlackFormula(IF(O355&lt;$C$4,"Put","Call"),O355,$C$4,$C$12*SQRT($C$7))+
_xll.qlBachelierBlackFormula(IF(O355&lt;$C$4,"Put","Call"),O355-$C$14,$C$4,$C$12*SQRT($C$7)))/$C$14^2,"")</f>
        <v>1.8094044108897522E-7</v>
      </c>
      <c r="V355" s="61">
        <f>IFERROR(_xll.qlBachelierBlackFormulaImpliedVol(IF(O355&lt;$C$4,"Put","Call"),O355,$C$4,$C$7,P355),"")</f>
        <v>7.7899730437579195E-3</v>
      </c>
      <c r="W355" s="61">
        <f>IFERROR(_xll.qlBachelierBlackFormulaImpliedVol(IF(O355&lt;$C$4,"Put","Call"),O355,$C$4,$C$7,Q355),"")</f>
        <v>5.7043098348107954E-3</v>
      </c>
      <c r="X355" s="61">
        <f>IFERROR(_xll.qlBachelierBlackFormulaImpliedVol(IF(O355&lt;$C$4,"Put","Call"),O355,$C$4,$C$7,R355),"")</f>
        <v>3.1332845037224119E-3</v>
      </c>
      <c r="Y355" s="42"/>
    </row>
    <row r="356" spans="15:25">
      <c r="O356" s="37">
        <f t="shared" si="6"/>
        <v>2.50999999999999E-2</v>
      </c>
      <c r="P356" s="38">
        <f>IFERROR(_xll.qlBlackFormula(IF(O356&lt;$C$4,"Put","Call"),O356,$C$4,$C$9*SQRT($C$7)),"")</f>
        <v>1.2424545537016191E-5</v>
      </c>
      <c r="Q356" s="39">
        <f>IFERROR(_xll.qlBlackFormula(IF(O356&lt;$C$4,"Put","Call"),O356,$C$4,$C$10*SQRT($C$7),,$C$11),"")</f>
        <v>3.1267631568635137E-7</v>
      </c>
      <c r="R356" s="40">
        <f>IFERROR(_xll.qlBachelierBlackFormula(IF(O356&lt;$C$4,"Put","Call"),O356,$C$4,$C$12*SQRT($C$7)),"")</f>
        <v>3.2894732792401016E-14</v>
      </c>
      <c r="S356" s="41">
        <f>IFERROR((_xll.qlBlackFormula(IF(O356&lt;$C$4,"Put","Call"),O356+$C$14,$C$4,$C$9*SQRT($C$7))-
2*_xll.qlBlackFormula(IF(O356&lt;$C$4,"Put","Call"),O356,$C$4,$C$9*SQRT($C$7))+
_xll.qlBlackFormula(IF(O356&lt;$C$4,"Put","Call"),O356-$C$14,$C$4,$C$9*SQRT($C$7)))/$C$14^2,"")</f>
        <v>0.42918780644241389</v>
      </c>
      <c r="T356" s="42">
        <f>IFERROR((_xll.qlBlackFormula(IF(O356&lt;$C$4,"Put","Call"),O356+$C$14,$C$4,$C$10*SQRT($C$7),,$C$11)-
2*_xll.qlBlackFormula(IF(O356&lt;$C$4,"Put","Call"),O356,$C$4,$C$10*SQRT($C$7),,$C$11)+
_xll.qlBlackFormula(IF(O356&lt;$C$4,"Put","Call"),O356-$C$14,$C$4,$C$10*SQRT($C$7),,$C$11))/$C$14^2,"")</f>
        <v>5.2018819566651768E-2</v>
      </c>
      <c r="U356" s="43">
        <f>IFERROR((_xll.qlBachelierBlackFormula(IF(O356&lt;$C$4,"Put","Call"),O356+$C$14,$C$4,$C$12*SQRT($C$7))-
2*_xll.qlBachelierBlackFormula(IF(O356&lt;$C$4,"Put","Call"),O356,$C$4,$C$12*SQRT($C$7))+
_xll.qlBachelierBlackFormula(IF(O356&lt;$C$4,"Put","Call"),O356-$C$14,$C$4,$C$12*SQRT($C$7)))/$C$14^2,"")</f>
        <v>1.475165348924478E-7</v>
      </c>
      <c r="V356" s="61">
        <f>IFERROR(_xll.qlBachelierBlackFormulaImpliedVol(IF(O356&lt;$C$4,"Put","Call"),O356,$C$4,$C$7,P356),"")</f>
        <v>7.8095651309390973E-3</v>
      </c>
      <c r="W356" s="61">
        <f>IFERROR(_xll.qlBachelierBlackFormulaImpliedVol(IF(O356&lt;$C$4,"Put","Call"),O356,$C$4,$C$7,Q356),"")</f>
        <v>5.715519972210867E-3</v>
      </c>
      <c r="X356" s="61">
        <f>IFERROR(_xll.qlBachelierBlackFormulaImpliedVol(IF(O356&lt;$C$4,"Put","Call"),O356,$C$4,$C$7,R356),"")</f>
        <v>3.1332864654891983E-3</v>
      </c>
      <c r="Y356" s="42"/>
    </row>
    <row r="357" spans="15:25">
      <c r="O357" s="37">
        <f t="shared" si="6"/>
        <v>2.51999999999999E-2</v>
      </c>
      <c r="P357" s="38">
        <f>IFERROR(_xll.qlBlackFormula(IF(O357&lt;$C$4,"Put","Call"),O357,$C$4,$C$9*SQRT($C$7)),"")</f>
        <v>1.2208346756485561E-5</v>
      </c>
      <c r="Q357" s="39">
        <f>IFERROR(_xll.qlBlackFormula(IF(O357&lt;$C$4,"Put","Call"),O357,$C$4,$C$10*SQRT($C$7),,$C$11),"")</f>
        <v>3.0030938917216112E-7</v>
      </c>
      <c r="R357" s="40">
        <f>IFERROR(_xll.qlBachelierBlackFormula(IF(O357&lt;$C$4,"Put","Call"),O357,$C$4,$C$12*SQRT($C$7)),"")</f>
        <v>2.6542879326110629E-14</v>
      </c>
      <c r="S357" s="41">
        <f>IFERROR((_xll.qlBlackFormula(IF(O357&lt;$C$4,"Put","Call"),O357+$C$14,$C$4,$C$9*SQRT($C$7))-
2*_xll.qlBlackFormula(IF(O357&lt;$C$4,"Put","Call"),O357,$C$4,$C$9*SQRT($C$7))+
_xll.qlBlackFormula(IF(O357&lt;$C$4,"Put","Call"),O357-$C$14,$C$4,$C$9*SQRT($C$7)))/$C$14^2,"")</f>
        <v>0.4199420623523728</v>
      </c>
      <c r="T357" s="42">
        <f>IFERROR((_xll.qlBlackFormula(IF(O357&lt;$C$4,"Put","Call"),O357+$C$14,$C$4,$C$10*SQRT($C$7),,$C$11)-
2*_xll.qlBlackFormula(IF(O357&lt;$C$4,"Put","Call"),O357,$C$4,$C$10*SQRT($C$7),,$C$11)+
_xll.qlBlackFormula(IF(O357&lt;$C$4,"Put","Call"),O357-$C$14,$C$4,$C$10*SQRT($C$7),,$C$11))/$C$14^2,"")</f>
        <v>4.9879222388700406E-2</v>
      </c>
      <c r="U357" s="43">
        <f>IFERROR((_xll.qlBachelierBlackFormula(IF(O357&lt;$C$4,"Put","Call"),O357+$C$14,$C$4,$C$12*SQRT($C$7))-
2*_xll.qlBachelierBlackFormula(IF(O357&lt;$C$4,"Put","Call"),O357,$C$4,$C$12*SQRT($C$7))+
_xll.qlBachelierBlackFormula(IF(O357&lt;$C$4,"Put","Call"),O357-$C$14,$C$4,$C$12*SQRT($C$7)))/$C$14^2,"")</f>
        <v>1.201443709146507E-7</v>
      </c>
      <c r="V357" s="61">
        <f>IFERROR(_xll.qlBachelierBlackFormulaImpliedVol(IF(O357&lt;$C$4,"Put","Call"),O357,$C$4,$C$7,P357),"")</f>
        <v>7.8291374424776933E-3</v>
      </c>
      <c r="W357" s="61">
        <f>IFERROR(_xll.qlBachelierBlackFormulaImpliedVol(IF(O357&lt;$C$4,"Put","Call"),O357,$C$4,$C$7,Q357),"")</f>
        <v>5.7267198069863873E-3</v>
      </c>
      <c r="X357" s="61">
        <f>IFERROR(_xll.qlBachelierBlackFormulaImpliedVol(IF(O357&lt;$C$4,"Put","Call"),O357,$C$4,$C$7,R357),"")</f>
        <v>3.1332853682992166E-3</v>
      </c>
      <c r="Y357" s="42"/>
    </row>
    <row r="358" spans="15:25">
      <c r="O358" s="37">
        <f t="shared" si="6"/>
        <v>2.5299999999999899E-2</v>
      </c>
      <c r="P358" s="38">
        <f>IFERROR(_xll.qlBlackFormula(IF(O358&lt;$C$4,"Put","Call"),O358,$C$4,$C$9*SQRT($C$7)),"")</f>
        <v>1.1996347570710824E-5</v>
      </c>
      <c r="Q358" s="39">
        <f>IFERROR(_xll.qlBlackFormula(IF(O358&lt;$C$4,"Put","Call"),O358,$C$4,$C$10*SQRT($C$7),,$C$11),"")</f>
        <v>2.884413363732693E-7</v>
      </c>
      <c r="R358" s="40">
        <f>IFERROR(_xll.qlBachelierBlackFormula(IF(O358&lt;$C$4,"Put","Call"),O358,$C$4,$C$12*SQRT($C$7)),"")</f>
        <v>2.1396610927250314E-14</v>
      </c>
      <c r="S358" s="41">
        <f>IFERROR((_xll.qlBlackFormula(IF(O358&lt;$C$4,"Put","Call"),O358+$C$14,$C$4,$C$9*SQRT($C$7))-
2*_xll.qlBlackFormula(IF(O358&lt;$C$4,"Put","Call"),O358,$C$4,$C$9*SQRT($C$7))+
_xll.qlBlackFormula(IF(O358&lt;$C$4,"Put","Call"),O358-$C$14,$C$4,$C$9*SQRT($C$7)))/$C$14^2,"")</f>
        <v>0.41091459526470742</v>
      </c>
      <c r="T358" s="42">
        <f>IFERROR((_xll.qlBlackFormula(IF(O358&lt;$C$4,"Put","Call"),O358+$C$14,$C$4,$C$10*SQRT($C$7),,$C$11)-
2*_xll.qlBlackFormula(IF(O358&lt;$C$4,"Put","Call"),O358,$C$4,$C$10*SQRT($C$7),,$C$11)+
_xll.qlBlackFormula(IF(O358&lt;$C$4,"Put","Call"),O358-$C$14,$C$4,$C$10*SQRT($C$7),,$C$11))/$C$14^2,"")</f>
        <v>4.7832685756048557E-2</v>
      </c>
      <c r="U358" s="43">
        <f>IFERROR((_xll.qlBachelierBlackFormula(IF(O358&lt;$C$4,"Put","Call"),O358+$C$14,$C$4,$C$12*SQRT($C$7))-
2*_xll.qlBachelierBlackFormula(IF(O358&lt;$C$4,"Put","Call"),O358,$C$4,$C$12*SQRT($C$7))+
_xll.qlBachelierBlackFormula(IF(O358&lt;$C$4,"Put","Call"),O358-$C$14,$C$4,$C$12*SQRT($C$7)))/$C$14^2,"")</f>
        <v>9.7751578355810515E-8</v>
      </c>
      <c r="V358" s="61">
        <f>IFERROR(_xll.qlBachelierBlackFormulaImpliedVol(IF(O358&lt;$C$4,"Put","Call"),O358,$C$4,$C$7,P358),"")</f>
        <v>7.8486900897695305E-3</v>
      </c>
      <c r="W358" s="61">
        <f>IFERROR(_xll.qlBachelierBlackFormulaImpliedVol(IF(O358&lt;$C$4,"Put","Call"),O358,$C$4,$C$7,Q358),"")</f>
        <v>5.7379093884024233E-3</v>
      </c>
      <c r="X358" s="61">
        <f>IFERROR(_xll.qlBachelierBlackFormulaImpliedVol(IF(O358&lt;$C$4,"Put","Call"),O358,$C$4,$C$7,R358),"")</f>
        <v>3.133283350197049E-3</v>
      </c>
      <c r="Y358" s="42"/>
    </row>
    <row r="359" spans="15:25">
      <c r="O359" s="37">
        <f t="shared" si="6"/>
        <v>2.5399999999999898E-2</v>
      </c>
      <c r="P359" s="38">
        <f>IFERROR(_xll.qlBlackFormula(IF(O359&lt;$C$4,"Put","Call"),O359,$C$4,$C$9*SQRT($C$7)),"")</f>
        <v>1.17884576963384E-5</v>
      </c>
      <c r="Q359" s="39">
        <f>IFERROR(_xll.qlBlackFormula(IF(O359&lt;$C$4,"Put","Call"),O359,$C$4,$C$10*SQRT($C$7),,$C$11),"")</f>
        <v>2.7705167411157255E-7</v>
      </c>
      <c r="R359" s="40">
        <f>IFERROR(_xll.qlBachelierBlackFormula(IF(O359&lt;$C$4,"Put","Call"),O359,$C$4,$C$12*SQRT($C$7)),"")</f>
        <v>1.7231262111229595E-14</v>
      </c>
      <c r="S359" s="41">
        <f>IFERROR((_xll.qlBlackFormula(IF(O359&lt;$C$4,"Put","Call"),O359+$C$14,$C$4,$C$9*SQRT($C$7))-
2*_xll.qlBlackFormula(IF(O359&lt;$C$4,"Put","Call"),O359,$C$4,$C$9*SQRT($C$7))+
_xll.qlBlackFormula(IF(O359&lt;$C$4,"Put","Call"),O359-$C$14,$C$4,$C$9*SQRT($C$7)))/$C$14^2,"")</f>
        <v>0.40209782254047383</v>
      </c>
      <c r="T359" s="42">
        <f>IFERROR((_xll.qlBlackFormula(IF(O359&lt;$C$4,"Put","Call"),O359+$C$14,$C$4,$C$10*SQRT($C$7),,$C$11)-
2*_xll.qlBlackFormula(IF(O359&lt;$C$4,"Put","Call"),O359,$C$4,$C$10*SQRT($C$7),,$C$11)+
_xll.qlBlackFormula(IF(O359&lt;$C$4,"Put","Call"),O359-$C$14,$C$4,$C$10*SQRT($C$7),,$C$11))/$C$14^2,"")</f>
        <v>4.5869623373315675E-2</v>
      </c>
      <c r="U359" s="43">
        <f>IFERROR((_xll.qlBachelierBlackFormula(IF(O359&lt;$C$4,"Put","Call"),O359+$C$14,$C$4,$C$12*SQRT($C$7))-
2*_xll.qlBachelierBlackFormula(IF(O359&lt;$C$4,"Put","Call"),O359,$C$4,$C$12*SQRT($C$7))+
_xll.qlBachelierBlackFormula(IF(O359&lt;$C$4,"Put","Call"),O359-$C$14,$C$4,$C$12*SQRT($C$7)))/$C$14^2,"")</f>
        <v>7.9451436865857865E-8</v>
      </c>
      <c r="V359" s="61">
        <f>IFERROR(_xll.qlBachelierBlackFormulaImpliedVol(IF(O359&lt;$C$4,"Put","Call"),O359,$C$4,$C$7,P359),"")</f>
        <v>7.8682231831316216E-3</v>
      </c>
      <c r="W359" s="61">
        <f>IFERROR(_xll.qlBachelierBlackFormulaImpliedVol(IF(O359&lt;$C$4,"Put","Call"),O359,$C$4,$C$7,Q359),"")</f>
        <v>5.7490887653274076E-3</v>
      </c>
      <c r="X359" s="61">
        <f>IFERROR(_xll.qlBachelierBlackFormulaImpliedVol(IF(O359&lt;$C$4,"Put","Call"),O359,$C$4,$C$7,R359),"")</f>
        <v>3.1332843530976241E-3</v>
      </c>
      <c r="Y359" s="42"/>
    </row>
    <row r="360" spans="15:25">
      <c r="O360" s="37">
        <f t="shared" si="6"/>
        <v>2.5499999999999898E-2</v>
      </c>
      <c r="P360" s="38">
        <f>IFERROR(_xll.qlBlackFormula(IF(O360&lt;$C$4,"Put","Call"),O360,$C$4,$C$9*SQRT($C$7)),"")</f>
        <v>1.1584588981282877E-5</v>
      </c>
      <c r="Q360" s="39">
        <f>IFERROR(_xll.qlBlackFormula(IF(O360&lt;$C$4,"Put","Call"),O360,$C$4,$C$10*SQRT($C$7),,$C$11),"")</f>
        <v>2.6612077319366747E-7</v>
      </c>
      <c r="R360" s="40">
        <f>IFERROR(_xll.qlBachelierBlackFormula(IF(O360&lt;$C$4,"Put","Call"),O360,$C$4,$C$12*SQRT($C$7)),"")</f>
        <v>1.3863222268634519E-14</v>
      </c>
      <c r="S360" s="41">
        <f>IFERROR((_xll.qlBlackFormula(IF(O360&lt;$C$4,"Put","Call"),O360+$C$14,$C$4,$C$9*SQRT($C$7))-
2*_xll.qlBlackFormula(IF(O360&lt;$C$4,"Put","Call"),O360,$C$4,$C$9*SQRT($C$7))+
_xll.qlBlackFormula(IF(O360&lt;$C$4,"Put","Call"),O360-$C$14,$C$4,$C$9*SQRT($C$7)))/$C$14^2,"")</f>
        <v>0.3934902127441034</v>
      </c>
      <c r="T360" s="42">
        <f>IFERROR((_xll.qlBlackFormula(IF(O360&lt;$C$4,"Put","Call"),O360+$C$14,$C$4,$C$10*SQRT($C$7),,$C$11)-
2*_xll.qlBlackFormula(IF(O360&lt;$C$4,"Put","Call"),O360,$C$4,$C$10*SQRT($C$7),,$C$11)+
_xll.qlBlackFormula(IF(O360&lt;$C$4,"Put","Call"),O360-$C$14,$C$4,$C$10*SQRT($C$7),,$C$11))/$C$14^2,"")</f>
        <v>4.3989820517649623E-2</v>
      </c>
      <c r="U360" s="43">
        <f>IFERROR((_xll.qlBachelierBlackFormula(IF(O360&lt;$C$4,"Put","Call"),O360+$C$14,$C$4,$C$12*SQRT($C$7))-
2*_xll.qlBachelierBlackFormula(IF(O360&lt;$C$4,"Put","Call"),O360,$C$4,$C$12*SQRT($C$7))+
_xll.qlBachelierBlackFormula(IF(O360&lt;$C$4,"Put","Call"),O360-$C$14,$C$4,$C$12*SQRT($C$7)))/$C$14^2,"")</f>
        <v>6.4511533144288002E-8</v>
      </c>
      <c r="V360" s="61">
        <f>IFERROR(_xll.qlBachelierBlackFormulaImpliedVol(IF(O360&lt;$C$4,"Put","Call"),O360,$C$4,$C$7,P360),"")</f>
        <v>7.8877368318154093E-3</v>
      </c>
      <c r="W360" s="61">
        <f>IFERROR(_xll.qlBachelierBlackFormulaImpliedVol(IF(O360&lt;$C$4,"Put","Call"),O360,$C$4,$C$7,Q360),"")</f>
        <v>5.7602579862323618E-3</v>
      </c>
      <c r="X360" s="61">
        <f>IFERROR(_xll.qlBachelierBlackFormulaImpliedVol(IF(O360&lt;$C$4,"Put","Call"),O360,$C$4,$C$7,R360),"")</f>
        <v>3.133289153212415E-3</v>
      </c>
      <c r="Y360" s="42"/>
    </row>
    <row r="361" spans="15:25">
      <c r="O361" s="37">
        <f t="shared" si="6"/>
        <v>2.5599999999999897E-2</v>
      </c>
      <c r="P361" s="38">
        <f>IFERROR(_xll.qlBlackFormula(IF(O361&lt;$C$4,"Put","Call"),O361,$C$4,$C$9*SQRT($C$7)),"")</f>
        <v>1.1384655349888002E-5</v>
      </c>
      <c r="Q361" s="39">
        <f>IFERROR(_xll.qlBlackFormula(IF(O361&lt;$C$4,"Put","Call"),O361,$C$4,$C$10*SQRT($C$7),,$C$11),"")</f>
        <v>2.5562982236837432E-7</v>
      </c>
      <c r="R361" s="40">
        <f>IFERROR(_xll.qlBachelierBlackFormula(IF(O361&lt;$C$4,"Put","Call"),O361,$C$4,$C$12*SQRT($C$7)),"")</f>
        <v>1.1142589741494337E-14</v>
      </c>
      <c r="S361" s="41">
        <f>IFERROR((_xll.qlBlackFormula(IF(O361&lt;$C$4,"Put","Call"),O361+$C$14,$C$4,$C$9*SQRT($C$7))-
2*_xll.qlBlackFormula(IF(O361&lt;$C$4,"Put","Call"),O361,$C$4,$C$9*SQRT($C$7))+
_xll.qlBlackFormula(IF(O361&lt;$C$4,"Put","Call"),O361-$C$14,$C$4,$C$9*SQRT($C$7)))/$C$14^2,"")</f>
        <v>0.38508598572276415</v>
      </c>
      <c r="T361" s="42">
        <f>IFERROR((_xll.qlBlackFormula(IF(O361&lt;$C$4,"Put","Call"),O361+$C$14,$C$4,$C$10*SQRT($C$7),,$C$11)-
2*_xll.qlBlackFormula(IF(O361&lt;$C$4,"Put","Call"),O361,$C$4,$C$10*SQRT($C$7),,$C$11)+
_xll.qlBlackFormula(IF(O361&lt;$C$4,"Put","Call"),O361-$C$14,$C$4,$C$10*SQRT($C$7),,$C$11))/$C$14^2,"")</f>
        <v>4.2186608498656672E-2</v>
      </c>
      <c r="U361" s="43">
        <f>IFERROR((_xll.qlBachelierBlackFormula(IF(O361&lt;$C$4,"Put","Call"),O361+$C$14,$C$4,$C$12*SQRT($C$7))-
2*_xll.qlBachelierBlackFormula(IF(O361&lt;$C$4,"Put","Call"),O361,$C$4,$C$12*SQRT($C$7))+
_xll.qlBachelierBlackFormula(IF(O361&lt;$C$4,"Put","Call"),O361-$C$14,$C$4,$C$12*SQRT($C$7)))/$C$14^2,"")</f>
        <v>5.2327573888307483E-8</v>
      </c>
      <c r="V361" s="61">
        <f>IFERROR(_xll.qlBachelierBlackFormulaImpliedVol(IF(O361&lt;$C$4,"Put","Call"),O361,$C$4,$C$7,P361),"")</f>
        <v>7.9072311440228117E-3</v>
      </c>
      <c r="W361" s="61">
        <f>IFERROR(_xll.qlBachelierBlackFormulaImpliedVol(IF(O361&lt;$C$4,"Put","Call"),O361,$C$4,$C$7,Q361),"")</f>
        <v>5.7714170991879947E-3</v>
      </c>
      <c r="X361" s="61">
        <f>IFERROR(_xll.qlBachelierBlackFormulaImpliedVol(IF(O361&lt;$C$4,"Put","Call"),O361,$C$4,$C$7,R361),"")</f>
        <v>3.1332851177179552E-3</v>
      </c>
      <c r="Y361" s="42"/>
    </row>
    <row r="362" spans="15:25">
      <c r="O362" s="37">
        <f t="shared" si="6"/>
        <v>2.5699999999999897E-2</v>
      </c>
      <c r="P362" s="38">
        <f>IFERROR(_xll.qlBlackFormula(IF(O362&lt;$C$4,"Put","Call"),O362,$C$4,$C$9*SQRT($C$7)),"")</f>
        <v>1.1188572749601349E-5</v>
      </c>
      <c r="Q362" s="39">
        <f>IFERROR(_xll.qlBlackFormula(IF(O362&lt;$C$4,"Put","Call"),O362,$C$4,$C$10*SQRT($C$7),,$C$11),"")</f>
        <v>2.4556079380757455E-7</v>
      </c>
      <c r="R362" s="40">
        <f>IFERROR(_xll.qlBachelierBlackFormula(IF(O362&lt;$C$4,"Put","Call"),O362,$C$4,$C$12*SQRT($C$7)),"")</f>
        <v>8.947110705458143E-15</v>
      </c>
      <c r="S362" s="41">
        <f>IFERROR((_xll.qlBlackFormula(IF(O362&lt;$C$4,"Put","Call"),O362+$C$14,$C$4,$C$9*SQRT($C$7))-
2*_xll.qlBlackFormula(IF(O362&lt;$C$4,"Put","Call"),O362,$C$4,$C$9*SQRT($C$7))+
_xll.qlBlackFormula(IF(O362&lt;$C$4,"Put","Call"),O362-$C$14,$C$4,$C$9*SQRT($C$7)))/$C$14^2,"")</f>
        <v>0.37687838554166869</v>
      </c>
      <c r="T362" s="42">
        <f>IFERROR((_xll.qlBlackFormula(IF(O362&lt;$C$4,"Put","Call"),O362+$C$14,$C$4,$C$10*SQRT($C$7),,$C$11)-
2*_xll.qlBlackFormula(IF(O362&lt;$C$4,"Put","Call"),O362,$C$4,$C$10*SQRT($C$7),,$C$11)+
_xll.qlBlackFormula(IF(O362&lt;$C$4,"Put","Call"),O362-$C$14,$C$4,$C$10*SQRT($C$7),,$C$11))/$C$14^2,"")</f>
        <v>4.0459890331064369E-2</v>
      </c>
      <c r="U362" s="43">
        <f>IFERROR((_xll.qlBachelierBlackFormula(IF(O362&lt;$C$4,"Put","Call"),O362+$C$14,$C$4,$C$12*SQRT($C$7))-
2*_xll.qlBachelierBlackFormula(IF(O362&lt;$C$4,"Put","Call"),O362,$C$4,$C$12*SQRT($C$7))+
_xll.qlBachelierBlackFormula(IF(O362&lt;$C$4,"Put","Call"),O362-$C$14,$C$4,$C$12*SQRT($C$7)))/$C$14^2,"")</f>
        <v>4.2401524021148042E-8</v>
      </c>
      <c r="V362" s="61">
        <f>IFERROR(_xll.qlBachelierBlackFormulaImpliedVol(IF(O362&lt;$C$4,"Put","Call"),O362,$C$4,$C$7,P362),"")</f>
        <v>7.926706226918984E-3</v>
      </c>
      <c r="W362" s="61">
        <f>IFERROR(_xll.qlBachelierBlackFormulaImpliedVol(IF(O362&lt;$C$4,"Put","Call"),O362,$C$4,$C$7,Q362),"")</f>
        <v>5.7825661518858765E-3</v>
      </c>
      <c r="X362" s="61">
        <f>IFERROR(_xll.qlBachelierBlackFormulaImpliedVol(IF(O362&lt;$C$4,"Put","Call"),O362,$C$4,$C$7,R362),"")</f>
        <v>3.1332912217460541E-3</v>
      </c>
      <c r="Y362" s="42"/>
    </row>
    <row r="363" spans="15:25">
      <c r="O363" s="37">
        <f t="shared" si="6"/>
        <v>2.5799999999999896E-2</v>
      </c>
      <c r="P363" s="38">
        <f>IFERROR(_xll.qlBlackFormula(IF(O363&lt;$C$4,"Put","Call"),O363,$C$4,$C$9*SQRT($C$7)),"")</f>
        <v>1.0996259099137871E-5</v>
      </c>
      <c r="Q363" s="39">
        <f>IFERROR(_xll.qlBlackFormula(IF(O363&lt;$C$4,"Put","Call"),O363,$C$4,$C$10*SQRT($C$7),,$C$11),"")</f>
        <v>2.3589641005888789E-7</v>
      </c>
      <c r="R363" s="40">
        <f>IFERROR(_xll.qlBachelierBlackFormula(IF(O363&lt;$C$4,"Put","Call"),O363,$C$4,$C$12*SQRT($C$7)),"")</f>
        <v>7.1771836497279642E-15</v>
      </c>
      <c r="S363" s="41">
        <f>IFERROR((_xll.qlBlackFormula(IF(O363&lt;$C$4,"Put","Call"),O363+$C$14,$C$4,$C$9*SQRT($C$7))-
2*_xll.qlBlackFormula(IF(O363&lt;$C$4,"Put","Call"),O363,$C$4,$C$9*SQRT($C$7))+
_xll.qlBlackFormula(IF(O363&lt;$C$4,"Put","Call"),O363-$C$14,$C$4,$C$9*SQRT($C$7)))/$C$14^2,"")</f>
        <v>0.36886280434158397</v>
      </c>
      <c r="T363" s="42">
        <f>IFERROR((_xll.qlBlackFormula(IF(O363&lt;$C$4,"Put","Call"),O363+$C$14,$C$4,$C$10*SQRT($C$7),,$C$11)-
2*_xll.qlBlackFormula(IF(O363&lt;$C$4,"Put","Call"),O363,$C$4,$C$10*SQRT($C$7),,$C$11)+
_xll.qlBlackFormula(IF(O363&lt;$C$4,"Put","Call"),O363-$C$14,$C$4,$C$10*SQRT($C$7),,$C$11))/$C$14^2,"")</f>
        <v>3.8803566954135997E-2</v>
      </c>
      <c r="U363" s="43">
        <f>IFERROR((_xll.qlBachelierBlackFormula(IF(O363&lt;$C$4,"Put","Call"),O363+$C$14,$C$4,$C$12*SQRT($C$7))-
2*_xll.qlBachelierBlackFormula(IF(O363&lt;$C$4,"Put","Call"),O363,$C$4,$C$12*SQRT($C$7))+
_xll.qlBachelierBlackFormula(IF(O363&lt;$C$4,"Put","Call"),O363-$C$14,$C$4,$C$12*SQRT($C$7)))/$C$14^2,"")</f>
        <v>3.4323373276647683E-8</v>
      </c>
      <c r="V363" s="61">
        <f>IFERROR(_xll.qlBachelierBlackFormulaImpliedVol(IF(O363&lt;$C$4,"Put","Call"),O363,$C$4,$C$7,P363),"")</f>
        <v>7.9461621866474732E-3</v>
      </c>
      <c r="W363" s="61">
        <f>IFERROR(_xll.qlBachelierBlackFormulaImpliedVol(IF(O363&lt;$C$4,"Put","Call"),O363,$C$4,$C$7,Q363),"")</f>
        <v>5.7937051916187744E-3</v>
      </c>
      <c r="X363" s="61">
        <f>IFERROR(_xll.qlBachelierBlackFormulaImpliedVol(IF(O363&lt;$C$4,"Put","Call"),O363,$C$4,$C$7,R363),"")</f>
        <v>3.1332746797101481E-3</v>
      </c>
      <c r="Y363" s="42"/>
    </row>
    <row r="364" spans="15:25">
      <c r="O364" s="37">
        <f t="shared" si="6"/>
        <v>2.5899999999999895E-2</v>
      </c>
      <c r="P364" s="38">
        <f>IFERROR(_xll.qlBlackFormula(IF(O364&lt;$C$4,"Put","Call"),O364,$C$4,$C$9*SQRT($C$7)),"")</f>
        <v>1.080763423808411E-5</v>
      </c>
      <c r="Q364" s="39">
        <f>IFERROR(_xll.qlBlackFormula(IF(O364&lt;$C$4,"Put","Call"),O364,$C$4,$C$10*SQRT($C$7),,$C$11),"")</f>
        <v>2.2662011240846405E-7</v>
      </c>
      <c r="R364" s="40">
        <f>IFERROR(_xll.qlBachelierBlackFormula(IF(O364&lt;$C$4,"Put","Call"),O364,$C$4,$C$12*SQRT($C$7)),"")</f>
        <v>5.7517466416346983E-15</v>
      </c>
      <c r="S364" s="41">
        <f>IFERROR((_xll.qlBlackFormula(IF(O364&lt;$C$4,"Put","Call"),O364+$C$14,$C$4,$C$9*SQRT($C$7))-
2*_xll.qlBlackFormula(IF(O364&lt;$C$4,"Put","Call"),O364,$C$4,$C$9*SQRT($C$7))+
_xll.qlBlackFormula(IF(O364&lt;$C$4,"Put","Call"),O364-$C$14,$C$4,$C$9*SQRT($C$7)))/$C$14^2,"")</f>
        <v>0.36103378045406614</v>
      </c>
      <c r="T364" s="42">
        <f>IFERROR((_xll.qlBlackFormula(IF(O364&lt;$C$4,"Put","Call"),O364+$C$14,$C$4,$C$10*SQRT($C$7),,$C$11)-
2*_xll.qlBlackFormula(IF(O364&lt;$C$4,"Put","Call"),O364,$C$4,$C$10*SQRT($C$7),,$C$11)+
_xll.qlBlackFormula(IF(O364&lt;$C$4,"Put","Call"),O364-$C$14,$C$4,$C$10*SQRT($C$7),,$C$11))/$C$14^2,"")</f>
        <v>3.721620518812481E-2</v>
      </c>
      <c r="U364" s="43">
        <f>IFERROR((_xll.qlBachelierBlackFormula(IF(O364&lt;$C$4,"Put","Call"),O364+$C$14,$C$4,$C$12*SQRT($C$7))-
2*_xll.qlBachelierBlackFormula(IF(O364&lt;$C$4,"Put","Call"),O364,$C$4,$C$12*SQRT($C$7))+
_xll.qlBachelierBlackFormula(IF(O364&lt;$C$4,"Put","Call"),O364-$C$14,$C$4,$C$12*SQRT($C$7)))/$C$14^2,"")</f>
        <v>2.7755949427756572E-8</v>
      </c>
      <c r="V364" s="61">
        <f>IFERROR(_xll.qlBachelierBlackFormulaImpliedVol(IF(O364&lt;$C$4,"Put","Call"),O364,$C$4,$C$7,P364),"")</f>
        <v>7.9655991283436346E-3</v>
      </c>
      <c r="W364" s="61">
        <f>IFERROR(_xll.qlBachelierBlackFormulaImpliedVol(IF(O364&lt;$C$4,"Put","Call"),O364,$C$4,$C$7,Q364),"")</f>
        <v>5.8048342653183871E-3</v>
      </c>
      <c r="X364" s="61">
        <f>IFERROR(_xll.qlBachelierBlackFormulaImpliedVol(IF(O364&lt;$C$4,"Put","Call"),O364,$C$4,$C$7,R364),"")</f>
        <v>3.1332904074249405E-3</v>
      </c>
      <c r="Y364" s="42"/>
    </row>
    <row r="365" spans="15:25">
      <c r="O365" s="37">
        <f t="shared" si="6"/>
        <v>2.5999999999999895E-2</v>
      </c>
      <c r="P365" s="38">
        <f>IFERROR(_xll.qlBlackFormula(IF(O365&lt;$C$4,"Put","Call"),O365,$C$4,$C$9*SQRT($C$7)),"")</f>
        <v>1.0622619877893394E-5</v>
      </c>
      <c r="Q365" s="39">
        <f>IFERROR(_xll.qlBlackFormula(IF(O365&lt;$C$4,"Put","Call"),O365,$C$4,$C$10*SQRT($C$7),,$C$11),"")</f>
        <v>2.1771603058918592E-7</v>
      </c>
      <c r="R365" s="40">
        <f>IFERROR(_xll.qlBachelierBlackFormula(IF(O365&lt;$C$4,"Put","Call"),O365,$C$4,$C$12*SQRT($C$7)),"")</f>
        <v>4.6048950952146874E-15</v>
      </c>
      <c r="S365" s="41">
        <f>IFERROR((_xll.qlBlackFormula(IF(O365&lt;$C$4,"Put","Call"),O365+$C$14,$C$4,$C$9*SQRT($C$7))-
2*_xll.qlBlackFormula(IF(O365&lt;$C$4,"Put","Call"),O365,$C$4,$C$9*SQRT($C$7))+
_xll.qlBlackFormula(IF(O365&lt;$C$4,"Put","Call"),O365-$C$14,$C$4,$C$9*SQRT($C$7)))/$C$14^2,"")</f>
        <v>0.35338958593190278</v>
      </c>
      <c r="T365" s="42">
        <f>IFERROR((_xll.qlBlackFormula(IF(O365&lt;$C$4,"Put","Call"),O365+$C$14,$C$4,$C$10*SQRT($C$7),,$C$11)-
2*_xll.qlBlackFormula(IF(O365&lt;$C$4,"Put","Call"),O365,$C$4,$C$10*SQRT($C$7),,$C$11)+
_xll.qlBlackFormula(IF(O365&lt;$C$4,"Put","Call"),O365-$C$14,$C$4,$C$10*SQRT($C$7),,$C$11))/$C$14^2,"")</f>
        <v>3.5694475770031625E-2</v>
      </c>
      <c r="U365" s="43">
        <f>IFERROR((_xll.qlBachelierBlackFormula(IF(O365&lt;$C$4,"Put","Call"),O365+$C$14,$C$4,$C$12*SQRT($C$7))-
2*_xll.qlBachelierBlackFormula(IF(O365&lt;$C$4,"Put","Call"),O365,$C$4,$C$12*SQRT($C$7))+
_xll.qlBachelierBlackFormula(IF(O365&lt;$C$4,"Put","Call"),O365-$C$14,$C$4,$C$12*SQRT($C$7)))/$C$14^2,"")</f>
        <v>2.2422283814548408E-8</v>
      </c>
      <c r="V365" s="61">
        <f>IFERROR(_xll.qlBachelierBlackFormulaImpliedVol(IF(O365&lt;$C$4,"Put","Call"),O365,$C$4,$C$7,P365),"")</f>
        <v>7.9850171561477688E-3</v>
      </c>
      <c r="W365" s="61">
        <f>IFERROR(_xll.qlBachelierBlackFormulaImpliedVol(IF(O365&lt;$C$4,"Put","Call"),O365,$C$4,$C$7,Q365),"")</f>
        <v>5.8159534195230764E-3</v>
      </c>
      <c r="X365" s="61">
        <f>IFERROR(_xll.qlBachelierBlackFormulaImpliedVol(IF(O365&lt;$C$4,"Put","Call"),O365,$C$4,$C$7,R365),"")</f>
        <v>3.1332984394336735E-3</v>
      </c>
      <c r="Y365" s="42"/>
    </row>
    <row r="366" spans="15:25">
      <c r="O366" s="37">
        <f t="shared" si="6"/>
        <v>2.6099999999999894E-2</v>
      </c>
      <c r="P366" s="38">
        <f>IFERROR(_xll.qlBlackFormula(IF(O366&lt;$C$4,"Put","Call"),O366,$C$4,$C$9*SQRT($C$7)),"")</f>
        <v>1.0441139554238564E-5</v>
      </c>
      <c r="Q366" s="39">
        <f>IFERROR(_xll.qlBlackFormula(IF(O366&lt;$C$4,"Put","Call"),O366,$C$4,$C$10*SQRT($C$7),,$C$11),"")</f>
        <v>2.0916895377461076E-7</v>
      </c>
      <c r="R366" s="40">
        <f>IFERROR(_xll.qlBachelierBlackFormula(IF(O366&lt;$C$4,"Put","Call"),O366,$C$4,$C$12*SQRT($C$7)),"")</f>
        <v>3.6831033407683659E-15</v>
      </c>
      <c r="S366" s="41">
        <f>IFERROR((_xll.qlBlackFormula(IF(O366&lt;$C$4,"Put","Call"),O366+$C$14,$C$4,$C$9*SQRT($C$7))-
2*_xll.qlBlackFormula(IF(O366&lt;$C$4,"Put","Call"),O366,$C$4,$C$9*SQRT($C$7))+
_xll.qlBlackFormula(IF(O366&lt;$C$4,"Put","Call"),O366-$C$14,$C$4,$C$9*SQRT($C$7)))/$C$14^2,"")</f>
        <v>0.34592000894588182</v>
      </c>
      <c r="T366" s="42">
        <f>IFERROR((_xll.qlBlackFormula(IF(O366&lt;$C$4,"Put","Call"),O366+$C$14,$C$4,$C$10*SQRT($C$7),,$C$11)-
2*_xll.qlBlackFormula(IF(O366&lt;$C$4,"Put","Call"),O366,$C$4,$C$10*SQRT($C$7),,$C$11)+
_xll.qlBlackFormula(IF(O366&lt;$C$4,"Put","Call"),O366-$C$14,$C$4,$C$10*SQRT($C$7),,$C$11))/$C$14^2,"")</f>
        <v>3.4236656681874665E-2</v>
      </c>
      <c r="U366" s="43">
        <f>IFERROR((_xll.qlBachelierBlackFormula(IF(O366&lt;$C$4,"Put","Call"),O366+$C$14,$C$4,$C$12*SQRT($C$7))-
2*_xll.qlBachelierBlackFormula(IF(O366&lt;$C$4,"Put","Call"),O366,$C$4,$C$12*SQRT($C$7))+
_xll.qlBachelierBlackFormula(IF(O366&lt;$C$4,"Put","Call"),O366-$C$14,$C$4,$C$12*SQRT($C$7)))/$C$14^2,"")</f>
        <v>1.8095110002606525E-8</v>
      </c>
      <c r="V366" s="61">
        <f>IFERROR(_xll.qlBachelierBlackFormulaImpliedVol(IF(O366&lt;$C$4,"Put","Call"),O366,$C$4,$C$7,P366),"")</f>
        <v>8.0044163732186924E-3</v>
      </c>
      <c r="W366" s="61">
        <f>IFERROR(_xll.qlBachelierBlackFormulaImpliedVol(IF(O366&lt;$C$4,"Put","Call"),O366,$C$4,$C$7,Q366),"")</f>
        <v>5.8270627004055253E-3</v>
      </c>
      <c r="X366" s="61">
        <f>IFERROR(_xll.qlBachelierBlackFormulaImpliedVol(IF(O366&lt;$C$4,"Put","Call"),O366,$C$4,$C$7,R366),"")</f>
        <v>3.1332750633849583E-3</v>
      </c>
      <c r="Y366" s="42"/>
    </row>
    <row r="367" spans="15:25">
      <c r="O367" s="37">
        <f t="shared" si="6"/>
        <v>2.6199999999999894E-2</v>
      </c>
      <c r="P367" s="38">
        <f>IFERROR(_xll.qlBlackFormula(IF(O367&lt;$C$4,"Put","Call"),O367,$C$4,$C$9*SQRT($C$7)),"")</f>
        <v>1.026311858067026E-5</v>
      </c>
      <c r="Q367" s="39">
        <f>IFERROR(_xll.qlBlackFormula(IF(O367&lt;$C$4,"Put","Call"),O367,$C$4,$C$10*SQRT($C$7),,$C$11),"")</f>
        <v>2.0096430281414113E-7</v>
      </c>
      <c r="R367" s="40">
        <f>IFERROR(_xll.qlBachelierBlackFormula(IF(O367&lt;$C$4,"Put","Call"),O367,$C$4,$C$12*SQRT($C$7)),"")</f>
        <v>2.9429447382398001E-15</v>
      </c>
      <c r="S367" s="41">
        <f>IFERROR((_xll.qlBlackFormula(IF(O367&lt;$C$4,"Put","Call"),O367+$C$14,$C$4,$C$9*SQRT($C$7))-
2*_xll.qlBlackFormula(IF(O367&lt;$C$4,"Put","Call"),O367,$C$4,$C$9*SQRT($C$7))+
_xll.qlBlackFormula(IF(O367&lt;$C$4,"Put","Call"),O367-$C$14,$C$4,$C$9*SQRT($C$7)))/$C$14^2,"")</f>
        <v>0.33862655382651752</v>
      </c>
      <c r="T367" s="42">
        <f>IFERROR((_xll.qlBlackFormula(IF(O367&lt;$C$4,"Put","Call"),O367+$C$14,$C$4,$C$10*SQRT($C$7),,$C$11)-
2*_xll.qlBlackFormula(IF(O367&lt;$C$4,"Put","Call"),O367,$C$4,$C$10*SQRT($C$7),,$C$11)+
_xll.qlBlackFormula(IF(O367&lt;$C$4,"Put","Call"),O367-$C$14,$C$4,$C$10*SQRT($C$7),,$C$11))/$C$14^2,"")</f>
        <v>3.2839616866364413E-2</v>
      </c>
      <c r="U367" s="43">
        <f>IFERROR((_xll.qlBachelierBlackFormula(IF(O367&lt;$C$4,"Put","Call"),O367+$C$14,$C$4,$C$12*SQRT($C$7))-
2*_xll.qlBachelierBlackFormula(IF(O367&lt;$C$4,"Put","Call"),O367,$C$4,$C$12*SQRT($C$7))+
_xll.qlBachelierBlackFormula(IF(O367&lt;$C$4,"Put","Call"),O367-$C$14,$C$4,$C$12*SQRT($C$7)))/$C$14^2,"")</f>
        <v>1.4588150896367307E-8</v>
      </c>
      <c r="V367" s="61">
        <f>IFERROR(_xll.qlBachelierBlackFormulaImpliedVol(IF(O367&lt;$C$4,"Put","Call"),O367,$C$4,$C$7,P367),"")</f>
        <v>8.0237968817468506E-3</v>
      </c>
      <c r="W367" s="61">
        <f>IFERROR(_xll.qlBachelierBlackFormulaImpliedVol(IF(O367&lt;$C$4,"Put","Call"),O367,$C$4,$C$7,Q367),"")</f>
        <v>5.838162153773075E-3</v>
      </c>
      <c r="X367" s="61">
        <f>IFERROR(_xll.qlBachelierBlackFormulaImpliedVol(IF(O367&lt;$C$4,"Put","Call"),O367,$C$4,$C$7,R367),"")</f>
        <v>3.1332666556664534E-3</v>
      </c>
      <c r="Y367" s="42"/>
    </row>
    <row r="368" spans="15:25">
      <c r="O368" s="37">
        <f t="shared" si="6"/>
        <v>2.6299999999999893E-2</v>
      </c>
      <c r="P368" s="38">
        <f>IFERROR(_xll.qlBlackFormula(IF(O368&lt;$C$4,"Put","Call"),O368,$C$4,$C$9*SQRT($C$7)),"")</f>
        <v>1.0088484003564213E-5</v>
      </c>
      <c r="Q368" s="39">
        <f>IFERROR(_xll.qlBlackFormula(IF(O368&lt;$C$4,"Put","Call"),O368,$C$4,$C$10*SQRT($C$7),,$C$11),"")</f>
        <v>1.930881036438768E-7</v>
      </c>
      <c r="R368" s="40">
        <f>IFERROR(_xll.qlBachelierBlackFormula(IF(O368&lt;$C$4,"Put","Call"),O368,$C$4,$C$12*SQRT($C$7)),"")</f>
        <v>2.3492228532724193E-15</v>
      </c>
      <c r="S368" s="41">
        <f>IFERROR((_xll.qlBlackFormula(IF(O368&lt;$C$4,"Put","Call"),O368+$C$14,$C$4,$C$9*SQRT($C$7))-
2*_xll.qlBlackFormula(IF(O368&lt;$C$4,"Put","Call"),O368,$C$4,$C$9*SQRT($C$7))+
_xll.qlBlackFormula(IF(O368&lt;$C$4,"Put","Call"),O368-$C$14,$C$4,$C$9*SQRT($C$7)))/$C$14^2,"")</f>
        <v>0.33149980156743641</v>
      </c>
      <c r="T368" s="42">
        <f>IFERROR((_xll.qlBlackFormula(IF(O368&lt;$C$4,"Put","Call"),O368+$C$14,$C$4,$C$10*SQRT($C$7),,$C$11)-
2*_xll.qlBlackFormula(IF(O368&lt;$C$4,"Put","Call"),O368,$C$4,$C$10*SQRT($C$7),,$C$11)+
_xll.qlBlackFormula(IF(O368&lt;$C$4,"Put","Call"),O368-$C$14,$C$4,$C$10*SQRT($C$7),,$C$11))/$C$14^2,"")</f>
        <v>3.14990584783265E-2</v>
      </c>
      <c r="U368" s="43">
        <f>IFERROR((_xll.qlBachelierBlackFormula(IF(O368&lt;$C$4,"Put","Call"),O368+$C$14,$C$4,$C$12*SQRT($C$7))-
2*_xll.qlBachelierBlackFormula(IF(O368&lt;$C$4,"Put","Call"),O368,$C$4,$C$12*SQRT($C$7))+
_xll.qlBachelierBlackFormula(IF(O368&lt;$C$4,"Put","Call"),O368-$C$14,$C$4,$C$12*SQRT($C$7)))/$C$14^2,"")</f>
        <v>1.1748891561537981E-8</v>
      </c>
      <c r="V368" s="61">
        <f>IFERROR(_xll.qlBachelierBlackFormulaImpliedVol(IF(O368&lt;$C$4,"Put","Call"),O368,$C$4,$C$7,P368),"")</f>
        <v>8.0431587829671494E-3</v>
      </c>
      <c r="W368" s="61">
        <f>IFERROR(_xll.qlBachelierBlackFormulaImpliedVol(IF(O368&lt;$C$4,"Put","Call"),O368,$C$4,$C$7,Q368),"")</f>
        <v>5.8492518250689868E-3</v>
      </c>
      <c r="X368" s="61">
        <f>IFERROR(_xll.qlBachelierBlackFormulaImpliedVol(IF(O368&lt;$C$4,"Put","Call"),O368,$C$4,$C$7,R368),"")</f>
        <v>3.1332902560161774E-3</v>
      </c>
      <c r="Y368" s="42"/>
    </row>
    <row r="369" spans="15:25">
      <c r="O369" s="37">
        <f t="shared" si="6"/>
        <v>2.6399999999999892E-2</v>
      </c>
      <c r="P369" s="38">
        <f>IFERROR(_xll.qlBlackFormula(IF(O369&lt;$C$4,"Put","Call"),O369,$C$4,$C$9*SQRT($C$7)),"")</f>
        <v>9.9171645582882945E-6</v>
      </c>
      <c r="Q369" s="39">
        <f>IFERROR(_xll.qlBlackFormula(IF(O369&lt;$C$4,"Put","Call"),O369,$C$4,$C$10*SQRT($C$7),,$C$11),"")</f>
        <v>1.8552696182526339E-7</v>
      </c>
      <c r="R369" s="40">
        <f>IFERROR(_xll.qlBachelierBlackFormula(IF(O369&lt;$C$4,"Put","Call"),O369,$C$4,$C$12*SQRT($C$7)),"")</f>
        <v>1.8734413631387021E-15</v>
      </c>
      <c r="S369" s="41">
        <f>IFERROR((_xll.qlBlackFormula(IF(O369&lt;$C$4,"Put","Call"),O369+$C$14,$C$4,$C$9*SQRT($C$7))-
2*_xll.qlBlackFormula(IF(O369&lt;$C$4,"Put","Call"),O369,$C$4,$C$9*SQRT($C$7))+
_xll.qlBlackFormula(IF(O369&lt;$C$4,"Put","Call"),O369-$C$14,$C$4,$C$9*SQRT($C$7)))/$C$14^2,"")</f>
        <v>0.32453676383640068</v>
      </c>
      <c r="T369" s="42">
        <f>IFERROR((_xll.qlBlackFormula(IF(O369&lt;$C$4,"Put","Call"),O369+$C$14,$C$4,$C$10*SQRT($C$7),,$C$11)-
2*_xll.qlBlackFormula(IF(O369&lt;$C$4,"Put","Call"),O369,$C$4,$C$10*SQRT($C$7),,$C$11)+
_xll.qlBlackFormula(IF(O369&lt;$C$4,"Put","Call"),O369-$C$14,$C$4,$C$10*SQRT($C$7),,$C$11))/$C$14^2,"")</f>
        <v>3.0214657951175075E-2</v>
      </c>
      <c r="U369" s="43">
        <f>IFERROR((_xll.qlBachelierBlackFormula(IF(O369&lt;$C$4,"Put","Call"),O369+$C$14,$C$4,$C$12*SQRT($C$7))-
2*_xll.qlBachelierBlackFormula(IF(O369&lt;$C$4,"Put","Call"),O369,$C$4,$C$12*SQRT($C$7))+
_xll.qlBachelierBlackFormula(IF(O369&lt;$C$4,"Put","Call"),O369-$C$14,$C$4,$C$12*SQRT($C$7)))/$C$14^2,"")</f>
        <v>9.4525977787906535E-9</v>
      </c>
      <c r="V369" s="61">
        <f>IFERROR(_xll.qlBachelierBlackFormulaImpliedVol(IF(O369&lt;$C$4,"Put","Call"),O369,$C$4,$C$7,P369),"")</f>
        <v>8.0625021771708397E-3</v>
      </c>
      <c r="W369" s="61">
        <f>IFERROR(_xll.qlBachelierBlackFormulaImpliedVol(IF(O369&lt;$C$4,"Put","Call"),O369,$C$4,$C$7,Q369),"")</f>
        <v>5.8603317593751295E-3</v>
      </c>
      <c r="X369" s="61">
        <f>IFERROR(_xll.qlBachelierBlackFormulaImpliedVol(IF(O369&lt;$C$4,"Put","Call"),O369,$C$4,$C$7,R369),"")</f>
        <v>3.1332832371014125E-3</v>
      </c>
      <c r="Y369" s="42"/>
    </row>
    <row r="370" spans="15:25">
      <c r="O370" s="37">
        <f t="shared" si="6"/>
        <v>2.6499999999999892E-2</v>
      </c>
      <c r="P370" s="38">
        <f>IFERROR(_xll.qlBlackFormula(IF(O370&lt;$C$4,"Put","Call"),O370,$C$4,$C$9*SQRT($C$7)),"")</f>
        <v>9.74909062658459E-6</v>
      </c>
      <c r="Q370" s="39">
        <f>IFERROR(_xll.qlBlackFormula(IF(O370&lt;$C$4,"Put","Call"),O370,$C$4,$C$10*SQRT($C$7),,$C$11),"")</f>
        <v>1.7826803817625691E-7</v>
      </c>
      <c r="R370" s="40">
        <f>IFERROR(_xll.qlBachelierBlackFormula(IF(O370&lt;$C$4,"Put","Call"),O370,$C$4,$C$12*SQRT($C$7)),"")</f>
        <v>1.4925525885380811E-15</v>
      </c>
      <c r="S370" s="41">
        <f>IFERROR((_xll.qlBlackFormula(IF(O370&lt;$C$4,"Put","Call"),O370+$C$14,$C$4,$C$9*SQRT($C$7))-
2*_xll.qlBlackFormula(IF(O370&lt;$C$4,"Put","Call"),O370,$C$4,$C$9*SQRT($C$7))+
_xll.qlBlackFormula(IF(O370&lt;$C$4,"Put","Call"),O370-$C$14,$C$4,$C$9*SQRT($C$7)))/$C$14^2,"")</f>
        <v>0.31773664781057159</v>
      </c>
      <c r="T370" s="42">
        <f>IFERROR((_xll.qlBlackFormula(IF(O370&lt;$C$4,"Put","Call"),O370+$C$14,$C$4,$C$10*SQRT($C$7),,$C$11)-
2*_xll.qlBlackFormula(IF(O370&lt;$C$4,"Put","Call"),O370,$C$4,$C$10*SQRT($C$7),,$C$11)+
_xll.qlBlackFormula(IF(O370&lt;$C$4,"Put","Call"),O370-$C$14,$C$4,$C$10*SQRT($C$7),,$C$11))/$C$14^2,"")</f>
        <v>2.8988072928387912E-2</v>
      </c>
      <c r="U370" s="43">
        <f>IFERROR((_xll.qlBachelierBlackFormula(IF(O370&lt;$C$4,"Put","Call"),O370+$C$14,$C$4,$C$12*SQRT($C$7))-
2*_xll.qlBachelierBlackFormula(IF(O370&lt;$C$4,"Put","Call"),O370,$C$4,$C$12*SQRT($C$7))+
_xll.qlBachelierBlackFormula(IF(O370&lt;$C$4,"Put","Call"),O370-$C$14,$C$4,$C$12*SQRT($C$7)))/$C$14^2,"")</f>
        <v>7.5973666673340879E-9</v>
      </c>
      <c r="V370" s="61">
        <f>IFERROR(_xll.qlBachelierBlackFormulaImpliedVol(IF(O370&lt;$C$4,"Put","Call"),O370,$C$4,$C$7,P370),"")</f>
        <v>8.0818271637191127E-3</v>
      </c>
      <c r="W370" s="61">
        <f>IFERROR(_xll.qlBachelierBlackFormulaImpliedVol(IF(O370&lt;$C$4,"Put","Call"),O370,$C$4,$C$7,Q370),"")</f>
        <v>5.8714020014165973E-3</v>
      </c>
      <c r="X370" s="61">
        <f>IFERROR(_xll.qlBachelierBlackFormulaImpliedVol(IF(O370&lt;$C$4,"Put","Call"),O370,$C$4,$C$7,R370),"")</f>
        <v>3.1332563257955937E-3</v>
      </c>
      <c r="Y370" s="42"/>
    </row>
    <row r="371" spans="15:25">
      <c r="O371" s="37">
        <f t="shared" si="6"/>
        <v>2.6599999999999891E-2</v>
      </c>
      <c r="P371" s="38">
        <f>IFERROR(_xll.qlBlackFormula(IF(O371&lt;$C$4,"Put","Call"),O371,$C$4,$C$9*SQRT($C$7)),"")</f>
        <v>9.5841941951063813E-6</v>
      </c>
      <c r="Q371" s="39">
        <f>IFERROR(_xll.qlBlackFormula(IF(O371&lt;$C$4,"Put","Call"),O371,$C$4,$C$10*SQRT($C$7),,$C$11),"")</f>
        <v>1.7129902543316557E-7</v>
      </c>
      <c r="R371" s="40">
        <f>IFERROR(_xll.qlBachelierBlackFormula(IF(O371&lt;$C$4,"Put","Call"),O371,$C$4,$C$12*SQRT($C$7)),"")</f>
        <v>1.1879350664561846E-15</v>
      </c>
      <c r="S371" s="41">
        <f>IFERROR((_xll.qlBlackFormula(IF(O371&lt;$C$4,"Put","Call"),O371+$C$14,$C$4,$C$9*SQRT($C$7))-
2*_xll.qlBlackFormula(IF(O371&lt;$C$4,"Put","Call"),O371,$C$4,$C$9*SQRT($C$7))+
_xll.qlBlackFormula(IF(O371&lt;$C$4,"Put","Call"),O371-$C$14,$C$4,$C$9*SQRT($C$7)))/$C$14^2,"")</f>
        <v>0.31109239939956446</v>
      </c>
      <c r="T371" s="42">
        <f>IFERROR((_xll.qlBlackFormula(IF(O371&lt;$C$4,"Put","Call"),O371+$C$14,$C$4,$C$10*SQRT($C$7),,$C$11)-
2*_xll.qlBlackFormula(IF(O371&lt;$C$4,"Put","Call"),O371,$C$4,$C$10*SQRT($C$7),,$C$11)+
_xll.qlBlackFormula(IF(O371&lt;$C$4,"Put","Call"),O371-$C$14,$C$4,$C$10*SQRT($C$7),,$C$11))/$C$14^2,"")</f>
        <v>2.7806152376425943E-2</v>
      </c>
      <c r="U371" s="43">
        <f>IFERROR((_xll.qlBachelierBlackFormula(IF(O371&lt;$C$4,"Put","Call"),O371+$C$14,$C$4,$C$12*SQRT($C$7))-
2*_xll.qlBachelierBlackFormula(IF(O371&lt;$C$4,"Put","Call"),O371,$C$4,$C$12*SQRT($C$7))+
_xll.qlBachelierBlackFormula(IF(O371&lt;$C$4,"Put","Call"),O371-$C$14,$C$4,$C$12*SQRT($C$7)))/$C$14^2,"")</f>
        <v>6.100039274708498E-9</v>
      </c>
      <c r="V371" s="61">
        <f>IFERROR(_xll.qlBachelierBlackFormulaImpliedVol(IF(O371&lt;$C$4,"Put","Call"),O371,$C$4,$C$7,P371),"")</f>
        <v>8.1011338410547536E-3</v>
      </c>
      <c r="W371" s="61">
        <f>IFERROR(_xll.qlBachelierBlackFormulaImpliedVol(IF(O371&lt;$C$4,"Put","Call"),O371,$C$4,$C$7,Q371),"")</f>
        <v>5.8824625955766832E-3</v>
      </c>
      <c r="X371" s="61">
        <f>IFERROR(_xll.qlBachelierBlackFormulaImpliedVol(IF(O371&lt;$C$4,"Put","Call"),O371,$C$4,$C$7,R371),"")</f>
        <v>3.133301783618034E-3</v>
      </c>
      <c r="Y371" s="42"/>
    </row>
    <row r="372" spans="15:25">
      <c r="O372" s="37">
        <f t="shared" si="6"/>
        <v>2.669999999999989E-2</v>
      </c>
      <c r="P372" s="38">
        <f>IFERROR(_xll.qlBlackFormula(IF(O372&lt;$C$4,"Put","Call"),O372,$C$4,$C$9*SQRT($C$7)),"")</f>
        <v>9.4224088150902252E-6</v>
      </c>
      <c r="Q372" s="39">
        <f>IFERROR(_xll.qlBlackFormula(IF(O372&lt;$C$4,"Put","Call"),O372,$C$4,$C$10*SQRT($C$7),,$C$11),"")</f>
        <v>1.6460812589386859E-7</v>
      </c>
      <c r="R372" s="40">
        <f>IFERROR(_xll.qlBachelierBlackFormula(IF(O372&lt;$C$4,"Put","Call"),O372,$C$4,$C$12*SQRT($C$7)),"")</f>
        <v>9.4455915271320964E-16</v>
      </c>
      <c r="S372" s="41">
        <f>IFERROR((_xll.qlBlackFormula(IF(O372&lt;$C$4,"Put","Call"),O372+$C$14,$C$4,$C$9*SQRT($C$7))-
2*_xll.qlBlackFormula(IF(O372&lt;$C$4,"Put","Call"),O372,$C$4,$C$9*SQRT($C$7))+
_xll.qlBlackFormula(IF(O372&lt;$C$4,"Put","Call"),O372-$C$14,$C$4,$C$9*SQRT($C$7)))/$C$14^2,"")</f>
        <v>0.30460088796960622</v>
      </c>
      <c r="T372" s="42">
        <f>IFERROR((_xll.qlBlackFormula(IF(O372&lt;$C$4,"Put","Call"),O372+$C$14,$C$4,$C$10*SQRT($C$7),,$C$11)-
2*_xll.qlBlackFormula(IF(O372&lt;$C$4,"Put","Call"),O372,$C$4,$C$10*SQRT($C$7),,$C$11)+
_xll.qlBlackFormula(IF(O372&lt;$C$4,"Put","Call"),O372-$C$14,$C$4,$C$10*SQRT($C$7),,$C$11))/$C$14^2,"")</f>
        <v>2.6674501112301147E-2</v>
      </c>
      <c r="U372" s="43">
        <f>IFERROR((_xll.qlBachelierBlackFormula(IF(O372&lt;$C$4,"Put","Call"),O372+$C$14,$C$4,$C$12*SQRT($C$7))-
2*_xll.qlBachelierBlackFormula(IF(O372&lt;$C$4,"Put","Call"),O372,$C$4,$C$12*SQRT($C$7))+
_xll.qlBachelierBlackFormula(IF(O372&lt;$C$4,"Put","Call"),O372-$C$14,$C$4,$C$12*SQRT($C$7)))/$C$14^2,"")</f>
        <v>4.8928263220822155E-9</v>
      </c>
      <c r="V372" s="61">
        <f>IFERROR(_xll.qlBachelierBlackFormulaImpliedVol(IF(O372&lt;$C$4,"Put","Call"),O372,$C$4,$C$7,P372),"")</f>
        <v>8.1204223067135265E-3</v>
      </c>
      <c r="W372" s="61">
        <f>IFERROR(_xll.qlBachelierBlackFormulaImpliedVol(IF(O372&lt;$C$4,"Put","Call"),O372,$C$4,$C$7,Q372),"")</f>
        <v>5.8935135858765092E-3</v>
      </c>
      <c r="X372" s="61">
        <f>IFERROR(_xll.qlBachelierBlackFormulaImpliedVol(IF(O372&lt;$C$4,"Put","Call"),O372,$C$4,$C$7,R372),"")</f>
        <v>3.1333534992230702E-3</v>
      </c>
      <c r="Y372" s="42"/>
    </row>
    <row r="373" spans="15:25">
      <c r="O373" s="37">
        <f t="shared" si="6"/>
        <v>2.679999999999989E-2</v>
      </c>
      <c r="P373" s="38">
        <f>IFERROR(_xll.qlBlackFormula(IF(O373&lt;$C$4,"Put","Call"),O373,$C$4,$C$9*SQRT($C$7)),"")</f>
        <v>9.2636695631258392E-6</v>
      </c>
      <c r="Q373" s="39">
        <f>IFERROR(_xll.qlBlackFormula(IF(O373&lt;$C$4,"Put","Call"),O373,$C$4,$C$10*SQRT($C$7),,$C$11),"")</f>
        <v>1.5818403002902518E-7</v>
      </c>
      <c r="R373" s="40">
        <f>IFERROR(_xll.qlBachelierBlackFormula(IF(O373&lt;$C$4,"Put","Call"),O373,$C$4,$C$12*SQRT($C$7)),"")</f>
        <v>7.5030681822594169E-16</v>
      </c>
      <c r="S373" s="41">
        <f>IFERROR((_xll.qlBlackFormula(IF(O373&lt;$C$4,"Put","Call"),O373+$C$14,$C$4,$C$9*SQRT($C$7))-
2*_xll.qlBlackFormula(IF(O373&lt;$C$4,"Put","Call"),O373,$C$4,$C$9*SQRT($C$7))+
_xll.qlBlackFormula(IF(O373&lt;$C$4,"Put","Call"),O373-$C$14,$C$4,$C$9*SQRT($C$7)))/$C$14^2,"")</f>
        <v>0.29825656376082643</v>
      </c>
      <c r="T373" s="42">
        <f>IFERROR((_xll.qlBlackFormula(IF(O373&lt;$C$4,"Put","Call"),O373+$C$14,$C$4,$C$10*SQRT($C$7),,$C$11)-
2*_xll.qlBlackFormula(IF(O373&lt;$C$4,"Put","Call"),O373,$C$4,$C$10*SQRT($C$7),,$C$11)+
_xll.qlBlackFormula(IF(O373&lt;$C$4,"Put","Call"),O373-$C$14,$C$4,$C$10*SQRT($C$7),,$C$11))/$C$14^2,"")</f>
        <v>2.5591018494304334E-2</v>
      </c>
      <c r="U373" s="43">
        <f>IFERROR((_xll.qlBachelierBlackFormula(IF(O373&lt;$C$4,"Put","Call"),O373+$C$14,$C$4,$C$12*SQRT($C$7))-
2*_xll.qlBachelierBlackFormula(IF(O373&lt;$C$4,"Put","Call"),O373,$C$4,$C$12*SQRT($C$7))+
_xll.qlBachelierBlackFormula(IF(O373&lt;$C$4,"Put","Call"),O373-$C$14,$C$4,$C$12*SQRT($C$7)))/$C$14^2,"")</f>
        <v>3.9205284035721044E-9</v>
      </c>
      <c r="V373" s="61">
        <f>IFERROR(_xll.qlBachelierBlackFormulaImpliedVol(IF(O373&lt;$C$4,"Put","Call"),O373,$C$4,$C$7,P373),"")</f>
        <v>8.1396926573370377E-3</v>
      </c>
      <c r="W373" s="61">
        <f>IFERROR(_xll.qlBachelierBlackFormulaImpliedVol(IF(O373&lt;$C$4,"Put","Call"),O373,$C$4,$C$7,Q373),"")</f>
        <v>5.9045550160006753E-3</v>
      </c>
      <c r="X373" s="61">
        <f>IFERROR(_xll.qlBachelierBlackFormulaImpliedVol(IF(O373&lt;$C$4,"Put","Call"),O373,$C$4,$C$7,R373),"")</f>
        <v>3.1333823012111373E-3</v>
      </c>
      <c r="Y373" s="42"/>
    </row>
    <row r="374" spans="15:25">
      <c r="O374" s="37">
        <f t="shared" si="6"/>
        <v>2.6899999999999889E-2</v>
      </c>
      <c r="P374" s="38">
        <f>IFERROR(_xll.qlBlackFormula(IF(O374&lt;$C$4,"Put","Call"),O374,$C$4,$C$9*SQRT($C$7)),"")</f>
        <v>9.1079130029858964E-6</v>
      </c>
      <c r="Q374" s="39">
        <f>IFERROR(_xll.qlBlackFormula(IF(O374&lt;$C$4,"Put","Call"),O374,$C$4,$C$10*SQRT($C$7),,$C$11),"")</f>
        <v>1.5201589598895093E-7</v>
      </c>
      <c r="R374" s="40">
        <f>IFERROR(_xll.qlBachelierBlackFormula(IF(O374&lt;$C$4,"Put","Call"),O374,$C$4,$C$12*SQRT($C$7)),"")</f>
        <v>5.9541774967044402E-16</v>
      </c>
      <c r="S374" s="41">
        <f>IFERROR((_xll.qlBlackFormula(IF(O374&lt;$C$4,"Put","Call"),O374+$C$14,$C$4,$C$9*SQRT($C$7))-
2*_xll.qlBlackFormula(IF(O374&lt;$C$4,"Put","Call"),O374,$C$4,$C$9*SQRT($C$7))+
_xll.qlBlackFormula(IF(O374&lt;$C$4,"Put","Call"),O374-$C$14,$C$4,$C$9*SQRT($C$7)))/$C$14^2,"")</f>
        <v>0.29206011795211012</v>
      </c>
      <c r="T374" s="42">
        <f>IFERROR((_xll.qlBlackFormula(IF(O374&lt;$C$4,"Put","Call"),O374+$C$14,$C$4,$C$10*SQRT($C$7),,$C$11)-
2*_xll.qlBlackFormula(IF(O374&lt;$C$4,"Put","Call"),O374,$C$4,$C$10*SQRT($C$7),,$C$11)+
_xll.qlBlackFormula(IF(O374&lt;$C$4,"Put","Call"),O374-$C$14,$C$4,$C$10*SQRT($C$7),,$C$11))/$C$14^2,"")</f>
        <v>2.4554029091265837E-2</v>
      </c>
      <c r="U374" s="43">
        <f>IFERROR((_xll.qlBachelierBlackFormula(IF(O374&lt;$C$4,"Put","Call"),O374+$C$14,$C$4,$C$12*SQRT($C$7))-
2*_xll.qlBachelierBlackFormula(IF(O374&lt;$C$4,"Put","Call"),O374,$C$4,$C$12*SQRT($C$7))+
_xll.qlBachelierBlackFormula(IF(O374&lt;$C$4,"Put","Call"),O374-$C$14,$C$4,$C$12*SQRT($C$7)))/$C$14^2,"")</f>
        <v>3.1382464279066801E-9</v>
      </c>
      <c r="V374" s="61">
        <f>IFERROR(_xll.qlBachelierBlackFormulaImpliedVol(IF(O374&lt;$C$4,"Put","Call"),O374,$C$4,$C$7,P374),"")</f>
        <v>8.1589449886829927E-3</v>
      </c>
      <c r="W374" s="61">
        <f>IFERROR(_xll.qlBachelierBlackFormulaImpliedVol(IF(O374&lt;$C$4,"Put","Call"),O374,$C$4,$C$7,Q374),"")</f>
        <v>5.9155869292954223E-3</v>
      </c>
      <c r="X374" s="61">
        <f>IFERROR(_xll.qlBachelierBlackFormulaImpliedVol(IF(O374&lt;$C$4,"Put","Call"),O374,$C$4,$C$7,R374),"")</f>
        <v>3.1331893328265105E-3</v>
      </c>
      <c r="Y374" s="42"/>
    </row>
    <row r="375" spans="15:25">
      <c r="O375" s="37">
        <f t="shared" si="6"/>
        <v>2.6999999999999889E-2</v>
      </c>
      <c r="P375" s="38">
        <f>IFERROR(_xll.qlBlackFormula(IF(O375&lt;$C$4,"Put","Call"),O375,$C$4,$C$9*SQRT($C$7)),"")</f>
        <v>8.9550771485023064E-6</v>
      </c>
      <c r="Q375" s="39">
        <f>IFERROR(_xll.qlBlackFormula(IF(O375&lt;$C$4,"Put","Call"),O375,$C$4,$C$10*SQRT($C$7),,$C$11),"")</f>
        <v>1.4609332998772407E-7</v>
      </c>
      <c r="R375" s="40">
        <f>IFERROR(_xll.qlBachelierBlackFormula(IF(O375&lt;$C$4,"Put","Call"),O375,$C$4,$C$12*SQRT($C$7)),"")</f>
        <v>4.7203879336905522E-16</v>
      </c>
      <c r="S375" s="41">
        <f>IFERROR((_xll.qlBlackFormula(IF(O375&lt;$C$4,"Put","Call"),O375+$C$14,$C$4,$C$9*SQRT($C$7))-
2*_xll.qlBlackFormula(IF(O375&lt;$C$4,"Put","Call"),O375,$C$4,$C$9*SQRT($C$7))+
_xll.qlBlackFormula(IF(O375&lt;$C$4,"Put","Call"),O375-$C$14,$C$4,$C$9*SQRT($C$7)))/$C$14^2,"")</f>
        <v>0.2859995362281334</v>
      </c>
      <c r="T375" s="42">
        <f>IFERROR((_xll.qlBlackFormula(IF(O375&lt;$C$4,"Put","Call"),O375+$C$14,$C$4,$C$10*SQRT($C$7),,$C$11)-
2*_xll.qlBlackFormula(IF(O375&lt;$C$4,"Put","Call"),O375,$C$4,$C$10*SQRT($C$7),,$C$11)+
_xll.qlBlackFormula(IF(O375&lt;$C$4,"Put","Call"),O375-$C$14,$C$4,$C$10*SQRT($C$7),,$C$11))/$C$14^2,"")</f>
        <v>2.3558806459339977E-2</v>
      </c>
      <c r="U375" s="43">
        <f>IFERROR((_xll.qlBachelierBlackFormula(IF(O375&lt;$C$4,"Put","Call"),O375+$C$14,$C$4,$C$12*SQRT($C$7))-
2*_xll.qlBachelierBlackFormula(IF(O375&lt;$C$4,"Put","Call"),O375,$C$4,$C$12*SQRT($C$7))+
_xll.qlBachelierBlackFormula(IF(O375&lt;$C$4,"Put","Call"),O375-$C$14,$C$4,$C$12*SQRT($C$7)))/$C$14^2,"")</f>
        <v>2.5094994531042375E-9</v>
      </c>
      <c r="V375" s="61">
        <f>IFERROR(_xll.qlBachelierBlackFormulaImpliedVol(IF(O375&lt;$C$4,"Put","Call"),O375,$C$4,$C$7,P375),"")</f>
        <v>8.1781793956384602E-3</v>
      </c>
      <c r="W375" s="61">
        <f>IFERROR(_xll.qlBachelierBlackFormulaImpliedVol(IF(O375&lt;$C$4,"Put","Call"),O375,$C$4,$C$7,Q375),"")</f>
        <v>5.926609368768731E-3</v>
      </c>
      <c r="X375" s="61">
        <f>IFERROR(_xll.qlBachelierBlackFormulaImpliedVol(IF(O375&lt;$C$4,"Put","Call"),O375,$C$4,$C$7,R375),"")</f>
        <v>3.1332041306502082E-3</v>
      </c>
      <c r="Y375" s="42"/>
    </row>
    <row r="376" spans="15:25">
      <c r="O376" s="37">
        <f t="shared" si="6"/>
        <v>2.7099999999999888E-2</v>
      </c>
      <c r="P376" s="38">
        <f>IFERROR(_xll.qlBlackFormula(IF(O376&lt;$C$4,"Put","Call"),O376,$C$4,$C$9*SQRT($C$7)),"")</f>
        <v>8.8051014274250267E-6</v>
      </c>
      <c r="Q376" s="39">
        <f>IFERROR(_xll.qlBlackFormula(IF(O376&lt;$C$4,"Put","Call"),O376,$C$4,$C$10*SQRT($C$7),,$C$11),"")</f>
        <v>1.4040636751134307E-7</v>
      </c>
      <c r="R376" s="40">
        <f>IFERROR(_xll.qlBachelierBlackFormula(IF(O376&lt;$C$4,"Put","Call"),O376,$C$4,$C$12*SQRT($C$7)),"")</f>
        <v>3.7385786117667648E-16</v>
      </c>
      <c r="S376" s="41">
        <f>IFERROR((_xll.qlBlackFormula(IF(O376&lt;$C$4,"Put","Call"),O376+$C$14,$C$4,$C$9*SQRT($C$7))-
2*_xll.qlBlackFormula(IF(O376&lt;$C$4,"Put","Call"),O376,$C$4,$C$9*SQRT($C$7))+
_xll.qlBlackFormula(IF(O376&lt;$C$4,"Put","Call"),O376-$C$14,$C$4,$C$9*SQRT($C$7)))/$C$14^2,"")</f>
        <v>0.28008288234255413</v>
      </c>
      <c r="T376" s="42">
        <f>IFERROR((_xll.qlBlackFormula(IF(O376&lt;$C$4,"Put","Call"),O376+$C$14,$C$4,$C$10*SQRT($C$7),,$C$11)-
2*_xll.qlBlackFormula(IF(O376&lt;$C$4,"Put","Call"),O376,$C$4,$C$10*SQRT($C$7),,$C$11)+
_xll.qlBlackFormula(IF(O376&lt;$C$4,"Put","Call"),O376-$C$14,$C$4,$C$10*SQRT($C$7),,$C$11))/$C$14^2,"")</f>
        <v>2.2601067788187195E-2</v>
      </c>
      <c r="U376" s="43">
        <f>IFERROR((_xll.qlBachelierBlackFormula(IF(O376&lt;$C$4,"Put","Call"),O376+$C$14,$C$4,$C$12*SQRT($C$7))-
2*_xll.qlBachelierBlackFormula(IF(O376&lt;$C$4,"Put","Call"),O376,$C$4,$C$12*SQRT($C$7))+
_xll.qlBachelierBlackFormula(IF(O376&lt;$C$4,"Put","Call"),O376-$C$14,$C$4,$C$12*SQRT($C$7)))/$C$14^2,"")</f>
        <v>2.0046788251766483E-9</v>
      </c>
      <c r="V376" s="61">
        <f>IFERROR(_xll.qlBachelierBlackFormulaImpliedVol(IF(O376&lt;$C$4,"Put","Call"),O376,$C$4,$C$7,P376),"")</f>
        <v>8.1973959722286445E-3</v>
      </c>
      <c r="W376" s="61">
        <f>IFERROR(_xll.qlBachelierBlackFormulaImpliedVol(IF(O376&lt;$C$4,"Put","Call"),O376,$C$4,$C$7,Q376),"")</f>
        <v>5.9376223771067903E-3</v>
      </c>
      <c r="X376" s="61">
        <f>IFERROR(_xll.qlBachelierBlackFormulaImpliedVol(IF(O376&lt;$C$4,"Put","Call"),O376,$C$4,$C$7,R376),"")</f>
        <v>3.1333354728725273E-3</v>
      </c>
      <c r="Y376" s="42"/>
    </row>
    <row r="377" spans="15:25">
      <c r="O377" s="37">
        <f t="shared" si="6"/>
        <v>2.7199999999999887E-2</v>
      </c>
      <c r="P377" s="38">
        <f>IFERROR(_xll.qlBlackFormula(IF(O377&lt;$C$4,"Put","Call"),O377,$C$4,$C$9*SQRT($C$7)),"")</f>
        <v>8.6579266462848462E-6</v>
      </c>
      <c r="Q377" s="39">
        <f>IFERROR(_xll.qlBlackFormula(IF(O377&lt;$C$4,"Put","Call"),O377,$C$4,$C$10*SQRT($C$7),,$C$11),"")</f>
        <v>1.3494545532525875E-7</v>
      </c>
      <c r="R377" s="40">
        <f>IFERROR(_xll.qlBachelierBlackFormula(IF(O377&lt;$C$4,"Put","Call"),O377,$C$4,$C$12*SQRT($C$7)),"")</f>
        <v>2.9580678757659579E-16</v>
      </c>
      <c r="S377" s="41">
        <f>IFERROR((_xll.qlBlackFormula(IF(O377&lt;$C$4,"Put","Call"),O377+$C$14,$C$4,$C$9*SQRT($C$7))-
2*_xll.qlBlackFormula(IF(O377&lt;$C$4,"Put","Call"),O377,$C$4,$C$9*SQRT($C$7))+
_xll.qlBlackFormula(IF(O377&lt;$C$4,"Put","Call"),O377-$C$14,$C$4,$C$9*SQRT($C$7)))/$C$14^2,"")</f>
        <v>0.2742973965910549</v>
      </c>
      <c r="T377" s="42">
        <f>IFERROR((_xll.qlBlackFormula(IF(O377&lt;$C$4,"Put","Call"),O377+$C$14,$C$4,$C$10*SQRT($C$7),,$C$11)-
2*_xll.qlBlackFormula(IF(O377&lt;$C$4,"Put","Call"),O377,$C$4,$C$10*SQRT($C$7),,$C$11)+
_xll.qlBlackFormula(IF(O377&lt;$C$4,"Put","Call"),O377-$C$14,$C$4,$C$10*SQRT($C$7),,$C$11))/$C$14^2,"")</f>
        <v>2.1687579176990164E-2</v>
      </c>
      <c r="U377" s="43">
        <f>IFERROR((_xll.qlBachelierBlackFormula(IF(O377&lt;$C$4,"Put","Call"),O377+$C$14,$C$4,$C$12*SQRT($C$7))-
2*_xll.qlBachelierBlackFormula(IF(O377&lt;$C$4,"Put","Call"),O377,$C$4,$C$12*SQRT($C$7))+
_xll.qlBachelierBlackFormula(IF(O377&lt;$C$4,"Put","Call"),O377-$C$14,$C$4,$C$12*SQRT($C$7)))/$C$14^2,"")</f>
        <v>1.5997795257106992E-9</v>
      </c>
      <c r="V377" s="61">
        <f>IFERROR(_xll.qlBachelierBlackFormulaImpliedVol(IF(O377&lt;$C$4,"Put","Call"),O377,$C$4,$C$7,P377),"")</f>
        <v>8.2165948116303643E-3</v>
      </c>
      <c r="W377" s="61">
        <f>IFERROR(_xll.qlBachelierBlackFormulaImpliedVol(IF(O377&lt;$C$4,"Put","Call"),O377,$C$4,$C$7,Q377),"")</f>
        <v>5.9486259966372275E-3</v>
      </c>
      <c r="X377" s="61">
        <f>IFERROR(_xll.qlBachelierBlackFormulaImpliedVol(IF(O377&lt;$C$4,"Put","Call"),O377,$C$4,$C$7,R377),"")</f>
        <v>3.1335220843566572E-3</v>
      </c>
      <c r="Y377" s="42"/>
    </row>
    <row r="378" spans="15:25">
      <c r="O378" s="37">
        <f t="shared" si="6"/>
        <v>2.7299999999999887E-2</v>
      </c>
      <c r="P378" s="38">
        <f>IFERROR(_xll.qlBlackFormula(IF(O378&lt;$C$4,"Put","Call"),O378,$C$4,$C$9*SQRT($C$7)),"")</f>
        <v>8.5134949561728403E-6</v>
      </c>
      <c r="Q378" s="39">
        <f>IFERROR(_xll.qlBlackFormula(IF(O378&lt;$C$4,"Put","Call"),O378,$C$4,$C$10*SQRT($C$7),,$C$11),"")</f>
        <v>1.2970143425827847E-7</v>
      </c>
      <c r="R378" s="40">
        <f>IFERROR(_xll.qlBachelierBlackFormula(IF(O378&lt;$C$4,"Put","Call"),O378,$C$4,$C$12*SQRT($C$7)),"")</f>
        <v>2.3382041582693631E-16</v>
      </c>
      <c r="S378" s="41">
        <f>IFERROR((_xll.qlBlackFormula(IF(O378&lt;$C$4,"Put","Call"),O378+$C$14,$C$4,$C$9*SQRT($C$7))-
2*_xll.qlBlackFormula(IF(O378&lt;$C$4,"Put","Call"),O378,$C$4,$C$9*SQRT($C$7))+
_xll.qlBlackFormula(IF(O378&lt;$C$4,"Put","Call"),O378-$C$14,$C$4,$C$9*SQRT($C$7)))/$C$14^2,"")</f>
        <v>0.26864541678457005</v>
      </c>
      <c r="T378" s="42">
        <f>IFERROR((_xll.qlBlackFormula(IF(O378&lt;$C$4,"Put","Call"),O378+$C$14,$C$4,$C$10*SQRT($C$7),,$C$11)-
2*_xll.qlBlackFormula(IF(O378&lt;$C$4,"Put","Call"),O378,$C$4,$C$10*SQRT($C$7),,$C$11)+
_xll.qlBlackFormula(IF(O378&lt;$C$4,"Put","Call"),O378-$C$14,$C$4,$C$10*SQRT($C$7),,$C$11))/$C$14^2,"")</f>
        <v>2.080895655948449E-2</v>
      </c>
      <c r="U378" s="43">
        <f>IFERROR((_xll.qlBachelierBlackFormula(IF(O378&lt;$C$4,"Put","Call"),O378+$C$14,$C$4,$C$12*SQRT($C$7))-
2*_xll.qlBachelierBlackFormula(IF(O378&lt;$C$4,"Put","Call"),O378,$C$4,$C$12*SQRT($C$7))+
_xll.qlBachelierBlackFormula(IF(O378&lt;$C$4,"Put","Call"),O378-$C$14,$C$4,$C$12*SQRT($C$7)))/$C$14^2,"")</f>
        <v>1.2753608933793943E-9</v>
      </c>
      <c r="V378" s="61">
        <f>IFERROR(_xll.qlBachelierBlackFormulaImpliedVol(IF(O378&lt;$C$4,"Put","Call"),O378,$C$4,$C$7,P378),"")</f>
        <v>8.2357760061808668E-3</v>
      </c>
      <c r="W378" s="61">
        <f>IFERROR(_xll.qlBachelierBlackFormulaImpliedVol(IF(O378&lt;$C$4,"Put","Call"),O378,$C$4,$C$7,Q378),"")</f>
        <v>5.9596202693904419E-3</v>
      </c>
      <c r="X378" s="61">
        <f>IFERROR(_xll.qlBachelierBlackFormulaImpliedVol(IF(O378&lt;$C$4,"Put","Call"),O378,$C$4,$C$7,R378),"")</f>
        <v>3.1333209686623038E-3</v>
      </c>
      <c r="Y378" s="42"/>
    </row>
    <row r="379" spans="15:25">
      <c r="O379" s="37">
        <f t="shared" si="6"/>
        <v>2.7399999999999886E-2</v>
      </c>
      <c r="P379" s="38">
        <f>IFERROR(_xll.qlBlackFormula(IF(O379&lt;$C$4,"Put","Call"),O379,$C$4,$C$9*SQRT($C$7)),"")</f>
        <v>8.3717498194624794E-6</v>
      </c>
      <c r="Q379" s="39">
        <f>IFERROR(_xll.qlBlackFormula(IF(O379&lt;$C$4,"Put","Call"),O379,$C$4,$C$10*SQRT($C$7),,$C$11),"")</f>
        <v>1.2466552269570493E-7</v>
      </c>
      <c r="R379" s="40">
        <f>IFERROR(_xll.qlBachelierBlackFormula(IF(O379&lt;$C$4,"Put","Call"),O379,$C$4,$C$12*SQRT($C$7)),"")</f>
        <v>1.8464148382839986E-16</v>
      </c>
      <c r="S379" s="41">
        <f>IFERROR((_xll.qlBlackFormula(IF(O379&lt;$C$4,"Put","Call"),O379+$C$14,$C$4,$C$9*SQRT($C$7))-
2*_xll.qlBlackFormula(IF(O379&lt;$C$4,"Put","Call"),O379,$C$4,$C$9*SQRT($C$7))+
_xll.qlBlackFormula(IF(O379&lt;$C$4,"Put","Call"),O379-$C$14,$C$4,$C$9*SQRT($C$7)))/$C$14^2,"")</f>
        <v>0.26311876397296097</v>
      </c>
      <c r="T379" s="42">
        <f>IFERROR((_xll.qlBlackFormula(IF(O379&lt;$C$4,"Put","Call"),O379+$C$14,$C$4,$C$10*SQRT($C$7),,$C$11)-
2*_xll.qlBlackFormula(IF(O379&lt;$C$4,"Put","Call"),O379,$C$4,$C$10*SQRT($C$7),,$C$11)+
_xll.qlBlackFormula(IF(O379&lt;$C$4,"Put","Call"),O379-$C$14,$C$4,$C$10*SQRT($C$7),,$C$11))/$C$14^2,"")</f>
        <v>1.9963772685154046E-2</v>
      </c>
      <c r="U379" s="43">
        <f>IFERROR((_xll.qlBachelierBlackFormula(IF(O379&lt;$C$4,"Put","Call"),O379+$C$14,$C$4,$C$12*SQRT($C$7))-
2*_xll.qlBachelierBlackFormula(IF(O379&lt;$C$4,"Put","Call"),O379,$C$4,$C$12*SQRT($C$7))+
_xll.qlBachelierBlackFormula(IF(O379&lt;$C$4,"Put","Call"),O379-$C$14,$C$4,$C$12*SQRT($C$7)))/$C$14^2,"")</f>
        <v>1.0156958721655544E-9</v>
      </c>
      <c r="V379" s="61">
        <f>IFERROR(_xll.qlBachelierBlackFormulaImpliedVol(IF(O379&lt;$C$4,"Put","Call"),O379,$C$4,$C$7,P379),"")</f>
        <v>8.2549396473895562E-3</v>
      </c>
      <c r="W379" s="61">
        <f>IFERROR(_xll.qlBachelierBlackFormulaImpliedVol(IF(O379&lt;$C$4,"Put","Call"),O379,$C$4,$C$7,Q379),"")</f>
        <v>5.9706052370748037E-3</v>
      </c>
      <c r="X379" s="61">
        <f>IFERROR(_xll.qlBachelierBlackFormulaImpliedVol(IF(O379&lt;$C$4,"Put","Call"),O379,$C$4,$C$7,R379),"")</f>
        <v>3.1330930718803836E-3</v>
      </c>
      <c r="Y379" s="42"/>
    </row>
    <row r="380" spans="15:25">
      <c r="O380" s="37">
        <f t="shared" si="6"/>
        <v>2.7499999999999886E-2</v>
      </c>
      <c r="P380" s="38">
        <f>IFERROR(_xll.qlBlackFormula(IF(O380&lt;$C$4,"Put","Call"),O380,$C$4,$C$9*SQRT($C$7)),"")</f>
        <v>8.2326359774064175E-6</v>
      </c>
      <c r="Q380" s="39">
        <f>IFERROR(_xll.qlBlackFormula(IF(O380&lt;$C$4,"Put","Call"),O380,$C$4,$C$10*SQRT($C$7),,$C$11),"")</f>
        <v>1.1982930077995014E-7</v>
      </c>
      <c r="R380" s="40">
        <f>IFERROR(_xll.qlBachelierBlackFormula(IF(O380&lt;$C$4,"Put","Call"),O380,$C$4,$C$12*SQRT($C$7)),"")</f>
        <v>1.4566277513296761E-16</v>
      </c>
      <c r="S380" s="41">
        <f>IFERROR((_xll.qlBlackFormula(IF(O380&lt;$C$4,"Put","Call"),O380+$C$14,$C$4,$C$9*SQRT($C$7))-
2*_xll.qlBlackFormula(IF(O380&lt;$C$4,"Put","Call"),O380,$C$4,$C$9*SQRT($C$7))+
_xll.qlBlackFormula(IF(O380&lt;$C$4,"Put","Call"),O380-$C$14,$C$4,$C$9*SQRT($C$7)))/$C$14^2,"")</f>
        <v>0.25771932873376591</v>
      </c>
      <c r="T380" s="42">
        <f>IFERROR((_xll.qlBlackFormula(IF(O380&lt;$C$4,"Put","Call"),O380+$C$14,$C$4,$C$10*SQRT($C$7),,$C$11)-
2*_xll.qlBlackFormula(IF(O380&lt;$C$4,"Put","Call"),O380,$C$4,$C$10*SQRT($C$7),,$C$11)+
_xll.qlBlackFormula(IF(O380&lt;$C$4,"Put","Call"),O380-$C$14,$C$4,$C$10*SQRT($C$7),,$C$11))/$C$14^2,"")</f>
        <v>1.9158216823744419E-2</v>
      </c>
      <c r="U380" s="43">
        <f>IFERROR((_xll.qlBachelierBlackFormula(IF(O380&lt;$C$4,"Put","Call"),O380+$C$14,$C$4,$C$12*SQRT($C$7))-
2*_xll.qlBachelierBlackFormula(IF(O380&lt;$C$4,"Put","Call"),O380,$C$4,$C$12*SQRT($C$7))+
_xll.qlBachelierBlackFormula(IF(O380&lt;$C$4,"Put","Call"),O380-$C$14,$C$4,$C$12*SQRT($C$7)))/$C$14^2,"")</f>
        <v>8.0807544745813515E-10</v>
      </c>
      <c r="V380" s="61">
        <f>IFERROR(_xll.qlBachelierBlackFormulaImpliedVol(IF(O380&lt;$C$4,"Put","Call"),O380,$C$4,$C$7,P380),"")</f>
        <v>8.2740858259486953E-3</v>
      </c>
      <c r="W380" s="61">
        <f>IFERROR(_xll.qlBachelierBlackFormulaImpliedVol(IF(O380&lt;$C$4,"Put","Call"),O380,$C$4,$C$7,Q380),"")</f>
        <v>5.9815809410633386E-3</v>
      </c>
      <c r="X380" s="61">
        <f>IFERROR(_xll.qlBachelierBlackFormulaImpliedVol(IF(O380&lt;$C$4,"Put","Call"),O380,$C$4,$C$7,R380),"")</f>
        <v>3.1334708129486842E-3</v>
      </c>
      <c r="Y380" s="42"/>
    </row>
    <row r="381" spans="15:25">
      <c r="O381" s="37">
        <f t="shared" si="6"/>
        <v>2.7599999999999885E-2</v>
      </c>
      <c r="P381" s="38">
        <f>IFERROR(_xll.qlBlackFormula(IF(O381&lt;$C$4,"Put","Call"),O381,$C$4,$C$9*SQRT($C$7)),"")</f>
        <v>8.0960994186168108E-6</v>
      </c>
      <c r="Q381" s="39">
        <f>IFERROR(_xll.qlBlackFormula(IF(O381&lt;$C$4,"Put","Call"),O381,$C$4,$C$10*SQRT($C$7),,$C$11),"")</f>
        <v>1.1518469528898862E-7</v>
      </c>
      <c r="R381" s="40">
        <f>IFERROR(_xll.qlBachelierBlackFormula(IF(O381&lt;$C$4,"Put","Call"),O381,$C$4,$C$12*SQRT($C$7)),"")</f>
        <v>1.1479955637222304E-16</v>
      </c>
      <c r="S381" s="41">
        <f>IFERROR((_xll.qlBlackFormula(IF(O381&lt;$C$4,"Put","Call"),O381+$C$14,$C$4,$C$9*SQRT($C$7))-
2*_xll.qlBlackFormula(IF(O381&lt;$C$4,"Put","Call"),O381,$C$4,$C$9*SQRT($C$7))+
_xll.qlBlackFormula(IF(O381&lt;$C$4,"Put","Call"),O381-$C$14,$C$4,$C$9*SQRT($C$7)))/$C$14^2,"")</f>
        <v>0.25243837646323281</v>
      </c>
      <c r="T381" s="42">
        <f>IFERROR((_xll.qlBlackFormula(IF(O381&lt;$C$4,"Put","Call"),O381+$C$14,$C$4,$C$10*SQRT($C$7),,$C$11)-
2*_xll.qlBlackFormula(IF(O381&lt;$C$4,"Put","Call"),O381,$C$4,$C$10*SQRT($C$7),,$C$11)+
_xll.qlBlackFormula(IF(O381&lt;$C$4,"Put","Call"),O381-$C$14,$C$4,$C$10*SQRT($C$7),,$C$11))/$C$14^2,"")</f>
        <v>1.8386850388459532E-2</v>
      </c>
      <c r="U381" s="43">
        <f>IFERROR((_xll.qlBachelierBlackFormula(IF(O381&lt;$C$4,"Put","Call"),O381+$C$14,$C$4,$C$12*SQRT($C$7))-
2*_xll.qlBachelierBlackFormula(IF(O381&lt;$C$4,"Put","Call"),O381,$C$4,$C$12*SQRT($C$7))+
_xll.qlBachelierBlackFormula(IF(O381&lt;$C$4,"Put","Call"),O381-$C$14,$C$4,$C$12*SQRT($C$7)))/$C$14^2,"")</f>
        <v>6.4224061019134277E-10</v>
      </c>
      <c r="V381" s="61">
        <f>IFERROR(_xll.qlBachelierBlackFormulaImpliedVol(IF(O381&lt;$C$4,"Put","Call"),O381,$C$4,$C$7,P381),"")</f>
        <v>8.2932146317427052E-3</v>
      </c>
      <c r="W381" s="61">
        <f>IFERROR(_xll.qlBachelierBlackFormulaImpliedVol(IF(O381&lt;$C$4,"Put","Call"),O381,$C$4,$C$7,Q381),"")</f>
        <v>5.9925474224140412E-3</v>
      </c>
      <c r="X381" s="61">
        <f>IFERROR(_xll.qlBachelierBlackFormulaImpliedVol(IF(O381&lt;$C$4,"Put","Call"),O381,$C$4,$C$7,R381),"")</f>
        <v>3.1329687905714246E-3</v>
      </c>
      <c r="Y381" s="42"/>
    </row>
    <row r="382" spans="15:25">
      <c r="O382" s="37">
        <f t="shared" si="6"/>
        <v>2.7699999999999884E-2</v>
      </c>
      <c r="P382" s="38">
        <f>IFERROR(_xll.qlBlackFormula(IF(O382&lt;$C$4,"Put","Call"),O382,$C$4,$C$9*SQRT($C$7)),"")</f>
        <v>7.9620873483676299E-6</v>
      </c>
      <c r="Q382" s="39">
        <f>IFERROR(_xll.qlBlackFormula(IF(O382&lt;$C$4,"Put","Call"),O382,$C$4,$C$10*SQRT($C$7),,$C$11),"")</f>
        <v>1.107239651488786E-7</v>
      </c>
      <c r="R382" s="40">
        <f>IFERROR(_xll.qlBachelierBlackFormula(IF(O382&lt;$C$4,"Put","Call"),O382,$C$4,$C$12*SQRT($C$7)),"")</f>
        <v>9.0386601961266078E-17</v>
      </c>
      <c r="S382" s="41">
        <f>IFERROR((_xll.qlBlackFormula(IF(O382&lt;$C$4,"Put","Call"),O382+$C$14,$C$4,$C$9*SQRT($C$7))-
2*_xll.qlBlackFormula(IF(O382&lt;$C$4,"Put","Call"),O382,$C$4,$C$9*SQRT($C$7))+
_xll.qlBlackFormula(IF(O382&lt;$C$4,"Put","Call"),O382-$C$14,$C$4,$C$9*SQRT($C$7)))/$C$14^2,"")</f>
        <v>0.2472777841863727</v>
      </c>
      <c r="T382" s="42">
        <f>IFERROR((_xll.qlBlackFormula(IF(O382&lt;$C$4,"Put","Call"),O382+$C$14,$C$4,$C$10*SQRT($C$7),,$C$11)-
2*_xll.qlBlackFormula(IF(O382&lt;$C$4,"Put","Call"),O382,$C$4,$C$10*SQRT($C$7),,$C$11)+
_xll.qlBlackFormula(IF(O382&lt;$C$4,"Put","Call"),O382-$C$14,$C$4,$C$10*SQRT($C$7),,$C$11))/$C$14^2,"")</f>
        <v>1.7645109989296043E-2</v>
      </c>
      <c r="U382" s="43">
        <f>IFERROR((_xll.qlBachelierBlackFormula(IF(O382&lt;$C$4,"Put","Call"),O382+$C$14,$C$4,$C$12*SQRT($C$7))-
2*_xll.qlBachelierBlackFormula(IF(O382&lt;$C$4,"Put","Call"),O382,$C$4,$C$12*SQRT($C$7))+
_xll.qlBachelierBlackFormula(IF(O382&lt;$C$4,"Put","Call"),O382-$C$14,$C$4,$C$12*SQRT($C$7)))/$C$14^2,"")</f>
        <v>5.0991906435702507E-10</v>
      </c>
      <c r="V382" s="61">
        <f>IFERROR(_xll.qlBachelierBlackFormulaImpliedVol(IF(O382&lt;$C$4,"Put","Call"),O382,$C$4,$C$7,P382),"")</f>
        <v>8.3123261538590853E-3</v>
      </c>
      <c r="W382" s="61">
        <f>IFERROR(_xll.qlBachelierBlackFormulaImpliedVol(IF(O382&lt;$C$4,"Put","Call"),O382,$C$4,$C$7,Q382),"")</f>
        <v>6.0035047218997151E-3</v>
      </c>
      <c r="X382" s="61">
        <f>IFERROR(_xll.qlBachelierBlackFormulaImpliedVol(IF(O382&lt;$C$4,"Put","Call"),O382,$C$4,$C$7,R382),"")</f>
        <v>3.1334982763638886E-3</v>
      </c>
      <c r="Y382" s="42"/>
    </row>
    <row r="383" spans="15:25">
      <c r="O383" s="37">
        <f t="shared" si="6"/>
        <v>2.7799999999999884E-2</v>
      </c>
      <c r="P383" s="38">
        <f>IFERROR(_xll.qlBlackFormula(IF(O383&lt;$C$4,"Put","Call"),O383,$C$4,$C$9*SQRT($C$7)),"")</f>
        <v>7.8305481587353062E-6</v>
      </c>
      <c r="Q383" s="39">
        <f>IFERROR(_xll.qlBlackFormula(IF(O383&lt;$C$4,"Put","Call"),O383,$C$4,$C$10*SQRT($C$7),,$C$11),"")</f>
        <v>1.0643968754684915E-7</v>
      </c>
      <c r="R383" s="40">
        <f>IFERROR(_xll.qlBachelierBlackFormula(IF(O383&lt;$C$4,"Put","Call"),O383,$C$4,$C$12*SQRT($C$7)),"")</f>
        <v>7.1095157135780155E-17</v>
      </c>
      <c r="S383" s="41">
        <f>IFERROR((_xll.qlBlackFormula(IF(O383&lt;$C$4,"Put","Call"),O383+$C$14,$C$4,$C$9*SQRT($C$7))-
2*_xll.qlBlackFormula(IF(O383&lt;$C$4,"Put","Call"),O383,$C$4,$C$9*SQRT($C$7))+
_xll.qlBlackFormula(IF(O383&lt;$C$4,"Put","Call"),O383-$C$14,$C$4,$C$9*SQRT($C$7)))/$C$14^2,"")</f>
        <v>0.24223397403601646</v>
      </c>
      <c r="T383" s="42">
        <f>IFERROR((_xll.qlBlackFormula(IF(O383&lt;$C$4,"Put","Call"),O383+$C$14,$C$4,$C$10*SQRT($C$7),,$C$11)-
2*_xll.qlBlackFormula(IF(O383&lt;$C$4,"Put","Call"),O383,$C$4,$C$10*SQRT($C$7),,$C$11)+
_xll.qlBlackFormula(IF(O383&lt;$C$4,"Put","Call"),O383-$C$14,$C$4,$C$10*SQRT($C$7),,$C$11))/$C$14^2,"")</f>
        <v>1.6931993586277359E-2</v>
      </c>
      <c r="U383" s="43">
        <f>IFERROR((_xll.qlBachelierBlackFormula(IF(O383&lt;$C$4,"Put","Call"),O383+$C$14,$C$4,$C$12*SQRT($C$7))-
2*_xll.qlBachelierBlackFormula(IF(O383&lt;$C$4,"Put","Call"),O383,$C$4,$C$12*SQRT($C$7))+
_xll.qlBachelierBlackFormula(IF(O383&lt;$C$4,"Put","Call"),O383-$C$14,$C$4,$C$12*SQRT($C$7)))/$C$14^2,"")</f>
        <v>4.0444769631923273E-10</v>
      </c>
      <c r="V383" s="61">
        <f>IFERROR(_xll.qlBachelierBlackFormulaImpliedVol(IF(O383&lt;$C$4,"Put","Call"),O383,$C$4,$C$7,P383),"")</f>
        <v>8.3314204805977985E-3</v>
      </c>
      <c r="W383" s="61">
        <f>IFERROR(_xll.qlBachelierBlackFormulaImpliedVol(IF(O383&lt;$C$4,"Put","Call"),O383,$C$4,$C$7,Q383),"")</f>
        <v>6.0144528799503912E-3</v>
      </c>
      <c r="X383" s="61">
        <f>IFERROR(_xll.qlBachelierBlackFormulaImpliedVol(IF(O383&lt;$C$4,"Put","Call"),O383,$C$4,$C$7,R383),"")</f>
        <v>3.1331126512198324E-3</v>
      </c>
      <c r="Y383" s="42"/>
    </row>
    <row r="384" spans="15:25">
      <c r="O384" s="37">
        <f t="shared" si="6"/>
        <v>2.7899999999999883E-2</v>
      </c>
      <c r="P384" s="38">
        <f>IFERROR(_xll.qlBlackFormula(IF(O384&lt;$C$4,"Put","Call"),O384,$C$4,$C$9*SQRT($C$7)),"")</f>
        <v>7.7014313995180231E-6</v>
      </c>
      <c r="Q384" s="39">
        <f>IFERROR(_xll.qlBlackFormula(IF(O384&lt;$C$4,"Put","Call"),O384,$C$4,$C$10*SQRT($C$7),,$C$11),"")</f>
        <v>1.0232474465666699E-7</v>
      </c>
      <c r="R384" s="40">
        <f>IFERROR(_xll.qlBachelierBlackFormula(IF(O384&lt;$C$4,"Put","Call"),O384,$C$4,$C$12*SQRT($C$7)),"")</f>
        <v>5.5866051403408577E-17</v>
      </c>
      <c r="S384" s="41">
        <f>IFERROR((_xll.qlBlackFormula(IF(O384&lt;$C$4,"Put","Call"),O384+$C$14,$C$4,$C$9*SQRT($C$7))-
2*_xll.qlBlackFormula(IF(O384&lt;$C$4,"Put","Call"),O384,$C$4,$C$9*SQRT($C$7))+
_xll.qlBlackFormula(IF(O384&lt;$C$4,"Put","Call"),O384-$C$14,$C$4,$C$9*SQRT($C$7)))/$C$14^2,"")</f>
        <v>0.23730397800871689</v>
      </c>
      <c r="T384" s="42">
        <f>IFERROR((_xll.qlBlackFormula(IF(O384&lt;$C$4,"Put","Call"),O384+$C$14,$C$4,$C$10*SQRT($C$7),,$C$11)-
2*_xll.qlBlackFormula(IF(O384&lt;$C$4,"Put","Call"),O384,$C$4,$C$10*SQRT($C$7),,$C$11)+
_xll.qlBlackFormula(IF(O384&lt;$C$4,"Put","Call"),O384-$C$14,$C$4,$C$10*SQRT($C$7),,$C$11))/$C$14^2,"")</f>
        <v>1.6247898649613974E-2</v>
      </c>
      <c r="U384" s="43">
        <f>IFERROR((_xll.qlBachelierBlackFormula(IF(O384&lt;$C$4,"Put","Call"),O384+$C$14,$C$4,$C$12*SQRT($C$7))-
2*_xll.qlBachelierBlackFormula(IF(O384&lt;$C$4,"Put","Call"),O384,$C$4,$C$12*SQRT($C$7))+
_xll.qlBachelierBlackFormula(IF(O384&lt;$C$4,"Put","Call"),O384-$C$14,$C$4,$C$12*SQRT($C$7)))/$C$14^2,"")</f>
        <v>3.2046537581164746E-10</v>
      </c>
      <c r="V384" s="61">
        <f>IFERROR(_xll.qlBachelierBlackFormulaImpliedVol(IF(O384&lt;$C$4,"Put","Call"),O384,$C$4,$C$7,P384),"")</f>
        <v>8.350497699481943E-3</v>
      </c>
      <c r="W384" s="61">
        <f>IFERROR(_xll.qlBachelierBlackFormulaImpliedVol(IF(O384&lt;$C$4,"Put","Call"),O384,$C$4,$C$7,Q384),"")</f>
        <v>6.0253919367194066E-3</v>
      </c>
      <c r="X384" s="61">
        <f>IFERROR(_xll.qlBachelierBlackFormulaImpliedVol(IF(O384&lt;$C$4,"Put","Call"),O384,$C$4,$C$7,R384),"")</f>
        <v>3.1333520122274593E-3</v>
      </c>
      <c r="Y384" s="42"/>
    </row>
    <row r="385" spans="15:25">
      <c r="O385" s="37">
        <f t="shared" si="6"/>
        <v>2.7999999999999883E-2</v>
      </c>
      <c r="P385" s="38">
        <f>IFERROR(_xll.qlBlackFormula(IF(O385&lt;$C$4,"Put","Call"),O385,$C$4,$C$9*SQRT($C$7)),"")</f>
        <v>7.5746877499359528E-6</v>
      </c>
      <c r="Q385" s="39">
        <f>IFERROR(_xll.qlBlackFormula(IF(O385&lt;$C$4,"Put","Call"),O385,$C$4,$C$10*SQRT($C$7),,$C$11),"")</f>
        <v>9.8372310901211625E-8</v>
      </c>
      <c r="R385" s="40">
        <f>IFERROR(_xll.qlBachelierBlackFormula(IF(O385&lt;$C$4,"Put","Call"),O385,$C$4,$C$12*SQRT($C$7)),"")</f>
        <v>4.385587958949477E-17</v>
      </c>
      <c r="S385" s="41">
        <f>IFERROR((_xll.qlBlackFormula(IF(O385&lt;$C$4,"Put","Call"),O385+$C$14,$C$4,$C$9*SQRT($C$7))-
2*_xll.qlBlackFormula(IF(O385&lt;$C$4,"Put","Call"),O385,$C$4,$C$9*SQRT($C$7))+
_xll.qlBlackFormula(IF(O385&lt;$C$4,"Put","Call"),O385-$C$14,$C$4,$C$9*SQRT($C$7)))/$C$14^2,"")</f>
        <v>0.23248114181364035</v>
      </c>
      <c r="T385" s="42">
        <f>IFERROR((_xll.qlBlackFormula(IF(O385&lt;$C$4,"Put","Call"),O385+$C$14,$C$4,$C$10*SQRT($C$7),,$C$11)-
2*_xll.qlBlackFormula(IF(O385&lt;$C$4,"Put","Call"),O385,$C$4,$C$10*SQRT($C$7),,$C$11)+
_xll.qlBlackFormula(IF(O385&lt;$C$4,"Put","Call"),O385-$C$14,$C$4,$C$10*SQRT($C$7),,$C$11))/$C$14^2,"")</f>
        <v>1.5593783808843945E-2</v>
      </c>
      <c r="U385" s="43">
        <f>IFERROR((_xll.qlBachelierBlackFormula(IF(O385&lt;$C$4,"Put","Call"),O385+$C$14,$C$4,$C$12*SQRT($C$7))-
2*_xll.qlBachelierBlackFormula(IF(O385&lt;$C$4,"Put","Call"),O385,$C$4,$C$12*SQRT($C$7))+
_xll.qlBachelierBlackFormula(IF(O385&lt;$C$4,"Put","Call"),O385-$C$14,$C$4,$C$12*SQRT($C$7)))/$C$14^2,"")</f>
        <v>2.5366321322461143E-10</v>
      </c>
      <c r="V385" s="61">
        <f>IFERROR(_xll.qlBachelierBlackFormulaImpliedVol(IF(O385&lt;$C$4,"Put","Call"),O385,$C$4,$C$7,P385),"")</f>
        <v>8.3695578972671578E-3</v>
      </c>
      <c r="W385" s="61">
        <f>IFERROR(_xll.qlBachelierBlackFormulaImpliedVol(IF(O385&lt;$C$4,"Put","Call"),O385,$C$4,$C$7,Q385),"")</f>
        <v>6.0363219320427146E-3</v>
      </c>
      <c r="X385" s="61">
        <f>IFERROR(_xll.qlBachelierBlackFormulaImpliedVol(IF(O385&lt;$C$4,"Put","Call"),O385,$C$4,$C$7,R385),"")</f>
        <v>3.1327212643531919E-3</v>
      </c>
      <c r="Y385" s="42"/>
    </row>
    <row r="386" spans="15:25">
      <c r="O386" s="37">
        <f t="shared" si="6"/>
        <v>2.8099999999999882E-2</v>
      </c>
      <c r="P386" s="38">
        <f>IFERROR(_xll.qlBlackFormula(IF(O386&lt;$C$4,"Put","Call"),O386,$C$4,$C$9*SQRT($C$7)),"")</f>
        <v>7.4502689910709114E-6</v>
      </c>
      <c r="Q386" s="39">
        <f>IFERROR(_xll.qlBlackFormula(IF(O386&lt;$C$4,"Put","Call"),O386,$C$4,$C$10*SQRT($C$7),,$C$11),"")</f>
        <v>9.4575840775694709E-8</v>
      </c>
      <c r="R386" s="40">
        <f>IFERROR(_xll.qlBachelierBlackFormula(IF(O386&lt;$C$4,"Put","Call"),O386,$C$4,$C$12*SQRT($C$7)),"")</f>
        <v>3.4393744338353831E-17</v>
      </c>
      <c r="S386" s="41">
        <f>IFERROR((_xll.qlBlackFormula(IF(O386&lt;$C$4,"Put","Call"),O386+$C$14,$C$4,$C$9*SQRT($C$7))-
2*_xll.qlBlackFormula(IF(O386&lt;$C$4,"Put","Call"),O386,$C$4,$C$9*SQRT($C$7))+
_xll.qlBlackFormula(IF(O386&lt;$C$4,"Put","Call"),O386-$C$14,$C$4,$C$9*SQRT($C$7)))/$C$14^2,"")</f>
        <v>0.2277657297250664</v>
      </c>
      <c r="T386" s="42">
        <f>IFERROR((_xll.qlBlackFormula(IF(O386&lt;$C$4,"Put","Call"),O386+$C$14,$C$4,$C$10*SQRT($C$7),,$C$11)-
2*_xll.qlBlackFormula(IF(O386&lt;$C$4,"Put","Call"),O386,$C$4,$C$10*SQRT($C$7),,$C$11)+
_xll.qlBlackFormula(IF(O386&lt;$C$4,"Put","Call"),O386-$C$14,$C$4,$C$10*SQRT($C$7),,$C$11))/$C$14^2,"")</f>
        <v>1.4966084749325226E-2</v>
      </c>
      <c r="U386" s="43">
        <f>IFERROR((_xll.qlBachelierBlackFormula(IF(O386&lt;$C$4,"Put","Call"),O386+$C$14,$C$4,$C$12*SQRT($C$7))-
2*_xll.qlBachelierBlackFormula(IF(O386&lt;$C$4,"Put","Call"),O386,$C$4,$C$12*SQRT($C$7))+
_xll.qlBachelierBlackFormula(IF(O386&lt;$C$4,"Put","Call"),O386-$C$14,$C$4,$C$12*SQRT($C$7)))/$C$14^2,"")</f>
        <v>2.0058179079804905E-10</v>
      </c>
      <c r="V386" s="61">
        <f>IFERROR(_xll.qlBachelierBlackFormulaImpliedVol(IF(O386&lt;$C$4,"Put","Call"),O386,$C$4,$C$7,P386),"")</f>
        <v>8.3886011599498909E-3</v>
      </c>
      <c r="W386" s="61">
        <f>IFERROR(_xll.qlBachelierBlackFormulaImpliedVol(IF(O386&lt;$C$4,"Put","Call"),O386,$C$4,$C$7,Q386),"")</f>
        <v>6.0472429054576641E-3</v>
      </c>
      <c r="X386" s="61">
        <f>IFERROR(_xll.qlBachelierBlackFormulaImpliedVol(IF(O386&lt;$C$4,"Put","Call"),O386,$C$4,$C$7,R386),"")</f>
        <v>3.1336478716928531E-3</v>
      </c>
      <c r="Y386" s="42"/>
    </row>
    <row r="387" spans="15:25">
      <c r="O387" s="37">
        <f t="shared" si="6"/>
        <v>2.8199999999999881E-2</v>
      </c>
      <c r="P387" s="38">
        <f>IFERROR(_xll.qlBlackFormula(IF(O387&lt;$C$4,"Put","Call"),O387,$C$4,$C$9*SQRT($C$7)),"")</f>
        <v>7.3281279790444643E-6</v>
      </c>
      <c r="Q387" s="39">
        <f>IFERROR(_xll.qlBlackFormula(IF(O387&lt;$C$4,"Put","Call"),O387,$C$4,$C$10*SQRT($C$7),,$C$11),"")</f>
        <v>9.092905716295167E-8</v>
      </c>
      <c r="R387" s="40">
        <f>IFERROR(_xll.qlBachelierBlackFormula(IF(O387&lt;$C$4,"Put","Call"),O387,$C$4,$C$12*SQRT($C$7)),"")</f>
        <v>2.6946525137956201E-17</v>
      </c>
      <c r="S387" s="41">
        <f>IFERROR((_xll.qlBlackFormula(IF(O387&lt;$C$4,"Put","Call"),O387+$C$14,$C$4,$C$9*SQRT($C$7))-
2*_xll.qlBlackFormula(IF(O387&lt;$C$4,"Put","Call"),O387,$C$4,$C$9*SQRT($C$7))+
_xll.qlBlackFormula(IF(O387&lt;$C$4,"Put","Call"),O387-$C$14,$C$4,$C$9*SQRT($C$7)))/$C$14^2,"")</f>
        <v>0.2231570370115829</v>
      </c>
      <c r="T387" s="42">
        <f>IFERROR((_xll.qlBlackFormula(IF(O387&lt;$C$4,"Put","Call"),O387+$C$14,$C$4,$C$10*SQRT($C$7),,$C$11)-
2*_xll.qlBlackFormula(IF(O387&lt;$C$4,"Put","Call"),O387,$C$4,$C$10*SQRT($C$7),,$C$11)+
_xll.qlBlackFormula(IF(O387&lt;$C$4,"Put","Call"),O387-$C$14,$C$4,$C$10*SQRT($C$7),,$C$11))/$C$14^2,"")</f>
        <v>1.4365349713132925E-2</v>
      </c>
      <c r="U387" s="43">
        <f>IFERROR((_xll.qlBachelierBlackFormula(IF(O387&lt;$C$4,"Put","Call"),O387+$C$14,$C$4,$C$12*SQRT($C$7))-
2*_xll.qlBachelierBlackFormula(IF(O387&lt;$C$4,"Put","Call"),O387,$C$4,$C$12*SQRT($C$7))+
_xll.qlBachelierBlackFormula(IF(O387&lt;$C$4,"Put","Call"),O387-$C$14,$C$4,$C$12*SQRT($C$7)))/$C$14^2,"")</f>
        <v>1.5844667920627169E-10</v>
      </c>
      <c r="V387" s="61">
        <f>IFERROR(_xll.qlBachelierBlackFormulaImpliedVol(IF(O387&lt;$C$4,"Put","Call"),O387,$C$4,$C$7,P387),"")</f>
        <v>8.4076275727783829E-3</v>
      </c>
      <c r="W387" s="61">
        <f>IFERROR(_xll.qlBachelierBlackFormulaImpliedVol(IF(O387&lt;$C$4,"Put","Call"),O387,$C$4,$C$7,Q387),"")</f>
        <v>6.0581548962106288E-3</v>
      </c>
      <c r="X387" s="61">
        <f>IFERROR(_xll.qlBachelierBlackFormulaImpliedVol(IF(O387&lt;$C$4,"Put","Call"),O387,$C$4,$C$7,R387),"")</f>
        <v>3.1360118310108319E-3</v>
      </c>
      <c r="Y387" s="42"/>
    </row>
    <row r="388" spans="15:25">
      <c r="O388" s="37">
        <f t="shared" si="6"/>
        <v>2.8299999999999881E-2</v>
      </c>
      <c r="P388" s="38">
        <f>IFERROR(_xll.qlBlackFormula(IF(O388&lt;$C$4,"Put","Call"),O388,$C$4,$C$9*SQRT($C$7)),"")</f>
        <v>7.2082186188987099E-6</v>
      </c>
      <c r="Q388" s="39">
        <f>IFERROR(_xll.qlBlackFormula(IF(O388&lt;$C$4,"Put","Call"),O388,$C$4,$C$10*SQRT($C$7),,$C$11),"")</f>
        <v>8.7425940162304296E-8</v>
      </c>
      <c r="R388" s="40">
        <f>IFERROR(_xll.qlBachelierBlackFormula(IF(O388&lt;$C$4,"Put","Call"),O388,$C$4,$C$12*SQRT($C$7)),"")</f>
        <v>2.109102333627236E-17</v>
      </c>
      <c r="S388" s="41">
        <f>IFERROR((_xll.qlBlackFormula(IF(O388&lt;$C$4,"Put","Call"),O388+$C$14,$C$4,$C$9*SQRT($C$7))-
2*_xll.qlBlackFormula(IF(O388&lt;$C$4,"Put","Call"),O388,$C$4,$C$9*SQRT($C$7))+
_xll.qlBlackFormula(IF(O388&lt;$C$4,"Put","Call"),O388-$C$14,$C$4,$C$9*SQRT($C$7)))/$C$14^2,"")</f>
        <v>0.21865097758625232</v>
      </c>
      <c r="T388" s="42">
        <f>IFERROR((_xll.qlBlackFormula(IF(O388&lt;$C$4,"Put","Call"),O388+$C$14,$C$4,$C$10*SQRT($C$7),,$C$11)-
2*_xll.qlBlackFormula(IF(O388&lt;$C$4,"Put","Call"),O388,$C$4,$C$10*SQRT($C$7),,$C$11)+
_xll.qlBlackFormula(IF(O388&lt;$C$4,"Put","Call"),O388-$C$14,$C$4,$C$10*SQRT($C$7),,$C$11))/$C$14^2,"")</f>
        <v>1.3787274925862047E-2</v>
      </c>
      <c r="U388" s="43">
        <f>IFERROR((_xll.qlBachelierBlackFormula(IF(O388&lt;$C$4,"Put","Call"),O388+$C$14,$C$4,$C$12*SQRT($C$7))-
2*_xll.qlBachelierBlackFormula(IF(O388&lt;$C$4,"Put","Call"),O388,$C$4,$C$12*SQRT($C$7))+
_xll.qlBachelierBlackFormula(IF(O388&lt;$C$4,"Put","Call"),O388-$C$14,$C$4,$C$12*SQRT($C$7)))/$C$14^2,"")</f>
        <v>1.2503523543590269E-10</v>
      </c>
      <c r="V388" s="61">
        <f>IFERROR(_xll.qlBachelierBlackFormulaImpliedVol(IF(O388&lt;$C$4,"Put","Call"),O388,$C$4,$C$7,P388),"")</f>
        <v>8.4266372202614782E-3</v>
      </c>
      <c r="W388" s="61">
        <f>IFERROR(_xll.qlBachelierBlackFormulaImpliedVol(IF(O388&lt;$C$4,"Put","Call"),O388,$C$4,$C$7,Q388),"")</f>
        <v>6.0690579432625281E-3</v>
      </c>
      <c r="X388" s="61">
        <f>IFERROR(_xll.qlBachelierBlackFormulaImpliedVol(IF(O388&lt;$C$4,"Put","Call"),O388,$C$4,$C$7,R388),"")</f>
        <v>3.1322642098050991E-3</v>
      </c>
      <c r="Y388" s="42"/>
    </row>
    <row r="389" spans="15:25">
      <c r="O389" s="37">
        <f t="shared" si="6"/>
        <v>2.839999999999988E-2</v>
      </c>
      <c r="P389" s="38">
        <f>IFERROR(_xll.qlBlackFormula(IF(O389&lt;$C$4,"Put","Call"),O389,$C$4,$C$9*SQRT($C$7)),"")</f>
        <v>7.0904958391621229E-6</v>
      </c>
      <c r="Q389" s="39">
        <f>IFERROR(_xll.qlBlackFormula(IF(O389&lt;$C$4,"Put","Call"),O389,$C$4,$C$10*SQRT($C$7),,$C$11),"")</f>
        <v>8.406071637447176E-8</v>
      </c>
      <c r="R389" s="40">
        <f>IFERROR(_xll.qlBachelierBlackFormula(IF(O389&lt;$C$4,"Put","Call"),O389,$C$4,$C$12*SQRT($C$7)),"")</f>
        <v>1.6491646006514036E-17</v>
      </c>
      <c r="S389" s="41">
        <f>IFERROR((_xll.qlBlackFormula(IF(O389&lt;$C$4,"Put","Call"),O389+$C$14,$C$4,$C$9*SQRT($C$7))-
2*_xll.qlBlackFormula(IF(O389&lt;$C$4,"Put","Call"),O389,$C$4,$C$9*SQRT($C$7))+
_xll.qlBlackFormula(IF(O389&lt;$C$4,"Put","Call"),O389-$C$14,$C$4,$C$9*SQRT($C$7)))/$C$14^2,"")</f>
        <v>0.2142416425472346</v>
      </c>
      <c r="T389" s="42">
        <f>IFERROR((_xll.qlBlackFormula(IF(O389&lt;$C$4,"Put","Call"),O389+$C$14,$C$4,$C$10*SQRT($C$7),,$C$11)-
2*_xll.qlBlackFormula(IF(O389&lt;$C$4,"Put","Call"),O389,$C$4,$C$10*SQRT($C$7),,$C$11)+
_xll.qlBlackFormula(IF(O389&lt;$C$4,"Put","Call"),O389-$C$14,$C$4,$C$10*SQRT($C$7),,$C$11))/$C$14^2,"")</f>
        <v>1.3234636961513687E-2</v>
      </c>
      <c r="U389" s="43">
        <f>IFERROR((_xll.qlBachelierBlackFormula(IF(O389&lt;$C$4,"Put","Call"),O389+$C$14,$C$4,$C$12*SQRT($C$7))-
2*_xll.qlBachelierBlackFormula(IF(O389&lt;$C$4,"Put","Call"),O389,$C$4,$C$12*SQRT($C$7))+
_xll.qlBachelierBlackFormula(IF(O389&lt;$C$4,"Put","Call"),O389-$C$14,$C$4,$C$12*SQRT($C$7)))/$C$14^2,"")</f>
        <v>9.8568766288994547E-11</v>
      </c>
      <c r="V389" s="61">
        <f>IFERROR(_xll.qlBachelierBlackFormulaImpliedVol(IF(O389&lt;$C$4,"Put","Call"),O389,$C$4,$C$7,P389),"")</f>
        <v>8.4456301861770521E-3</v>
      </c>
      <c r="W389" s="61">
        <f>IFERROR(_xll.qlBachelierBlackFormulaImpliedVol(IF(O389&lt;$C$4,"Put","Call"),O389,$C$4,$C$7,Q389),"")</f>
        <v>6.0799520852610218E-3</v>
      </c>
      <c r="X389" s="61">
        <f>IFERROR(_xll.qlBachelierBlackFormulaImpliedVol(IF(O389&lt;$C$4,"Put","Call"),O389,$C$4,$C$7,R389),"")</f>
        <v>3.1345494852718461E-3</v>
      </c>
      <c r="Y389" s="42"/>
    </row>
    <row r="390" spans="15:25">
      <c r="O390" s="37">
        <f t="shared" si="6"/>
        <v>2.849999999999988E-2</v>
      </c>
      <c r="P390" s="38">
        <f>IFERROR(_xll.qlBlackFormula(IF(O390&lt;$C$4,"Put","Call"),O390,$C$4,$C$9*SQRT($C$7)),"")</f>
        <v>6.9749155670841546E-6</v>
      </c>
      <c r="Q390" s="39">
        <f>IFERROR(_xll.qlBlackFormula(IF(O390&lt;$C$4,"Put","Call"),O390,$C$4,$C$10*SQRT($C$7),,$C$11),"")</f>
        <v>8.0827848651519683E-8</v>
      </c>
      <c r="R390" s="40">
        <f>IFERROR(_xll.qlBachelierBlackFormula(IF(O390&lt;$C$4,"Put","Call"),O390,$C$4,$C$12*SQRT($C$7)),"")</f>
        <v>1.288254659717439E-17</v>
      </c>
      <c r="S390" s="41">
        <f>IFERROR((_xll.qlBlackFormula(IF(O390&lt;$C$4,"Put","Call"),O390+$C$14,$C$4,$C$9*SQRT($C$7))-
2*_xll.qlBlackFormula(IF(O390&lt;$C$4,"Put","Call"),O390,$C$4,$C$9*SQRT($C$7))+
_xll.qlBlackFormula(IF(O390&lt;$C$4,"Put","Call"),O390-$C$14,$C$4,$C$9*SQRT($C$7)))/$C$14^2,"")</f>
        <v>0.20993467652209025</v>
      </c>
      <c r="T390" s="42">
        <f>IFERROR((_xll.qlBlackFormula(IF(O390&lt;$C$4,"Put","Call"),O390+$C$14,$C$4,$C$10*SQRT($C$7),,$C$11)-
2*_xll.qlBlackFormula(IF(O390&lt;$C$4,"Put","Call"),O390,$C$4,$C$10*SQRT($C$7),,$C$11)+
_xll.qlBlackFormula(IF(O390&lt;$C$4,"Put","Call"),O390-$C$14,$C$4,$C$10*SQRT($C$7),,$C$11))/$C$14^2,"")</f>
        <v>1.2703640265451203E-2</v>
      </c>
      <c r="U390" s="43">
        <f>IFERROR((_xll.qlBachelierBlackFormula(IF(O390&lt;$C$4,"Put","Call"),O390+$C$14,$C$4,$C$12*SQRT($C$7))-
2*_xll.qlBachelierBlackFormula(IF(O390&lt;$C$4,"Put","Call"),O390,$C$4,$C$12*SQRT($C$7))+
_xll.qlBachelierBlackFormula(IF(O390&lt;$C$4,"Put","Call"),O390-$C$14,$C$4,$C$12*SQRT($C$7)))/$C$14^2,"")</f>
        <v>7.7625400273769126E-11</v>
      </c>
      <c r="V390" s="61">
        <f>IFERROR(_xll.qlBachelierBlackFormulaImpliedVol(IF(O390&lt;$C$4,"Put","Call"),O390,$C$4,$C$7,P390),"")</f>
        <v>8.4646065535807294E-3</v>
      </c>
      <c r="W390" s="61">
        <f>IFERROR(_xll.qlBachelierBlackFormulaImpliedVol(IF(O390&lt;$C$4,"Put","Call"),O390,$C$4,$C$7,Q390),"")</f>
        <v>6.0908373606107114E-3</v>
      </c>
      <c r="X390" s="61">
        <f>IFERROR(_xll.qlBachelierBlackFormulaImpliedVol(IF(O390&lt;$C$4,"Put","Call"),O390,$C$4,$C$7,R390),"")</f>
        <v>3.1283802188223453E-3</v>
      </c>
      <c r="Y390" s="42"/>
    </row>
    <row r="391" spans="15:25">
      <c r="O391" s="37">
        <f t="shared" si="6"/>
        <v>2.8599999999999879E-2</v>
      </c>
      <c r="P391" s="38">
        <f>IFERROR(_xll.qlBlackFormula(IF(O391&lt;$C$4,"Put","Call"),O391,$C$4,$C$9*SQRT($C$7)),"")</f>
        <v>6.8614347045279291E-6</v>
      </c>
      <c r="Q391" s="39">
        <f>IFERROR(_xll.qlBlackFormula(IF(O391&lt;$C$4,"Put","Call"),O391,$C$4,$C$10*SQRT($C$7),,$C$11),"")</f>
        <v>7.7722026266061917E-8</v>
      </c>
      <c r="R391" s="40">
        <f>IFERROR(_xll.qlBachelierBlackFormula(IF(O391&lt;$C$4,"Put","Call"),O391,$C$4,$C$12*SQRT($C$7)),"")</f>
        <v>1.0053347728549594E-17</v>
      </c>
      <c r="S391" s="41">
        <f>IFERROR((_xll.qlBlackFormula(IF(O391&lt;$C$4,"Put","Call"),O391+$C$14,$C$4,$C$9*SQRT($C$7))-
2*_xll.qlBlackFormula(IF(O391&lt;$C$4,"Put","Call"),O391,$C$4,$C$9*SQRT($C$7))+
_xll.qlBlackFormula(IF(O391&lt;$C$4,"Put","Call"),O391-$C$14,$C$4,$C$9*SQRT($C$7)))/$C$14^2,"")</f>
        <v>0.20571914939766789</v>
      </c>
      <c r="T391" s="42">
        <f>IFERROR((_xll.qlBlackFormula(IF(O391&lt;$C$4,"Put","Call"),O391+$C$14,$C$4,$C$10*SQRT($C$7),,$C$11)-
2*_xll.qlBlackFormula(IF(O391&lt;$C$4,"Put","Call"),O391,$C$4,$C$10*SQRT($C$7),,$C$11)+
_xll.qlBlackFormula(IF(O391&lt;$C$4,"Put","Call"),O391-$C$14,$C$4,$C$10*SQRT($C$7),,$C$11))/$C$14^2,"")</f>
        <v>1.2193880167684041E-2</v>
      </c>
      <c r="U391" s="43">
        <f>IFERROR((_xll.qlBachelierBlackFormula(IF(O391&lt;$C$4,"Put","Call"),O391+$C$14,$C$4,$C$12*SQRT($C$7))-
2*_xll.qlBachelierBlackFormula(IF(O391&lt;$C$4,"Put","Call"),O391,$C$4,$C$12*SQRT($C$7))+
_xll.qlBachelierBlackFormula(IF(O391&lt;$C$4,"Put","Call"),O391-$C$14,$C$4,$C$12*SQRT($C$7)))/$C$14^2,"")</f>
        <v>6.1069732650354991E-11</v>
      </c>
      <c r="V391" s="61">
        <f>IFERROR(_xll.qlBachelierBlackFormulaImpliedVol(IF(O391&lt;$C$4,"Put","Call"),O391,$C$4,$C$7,P391),"")</f>
        <v>8.4835664048168152E-3</v>
      </c>
      <c r="W391" s="61">
        <f>IFERROR(_xll.qlBachelierBlackFormulaImpliedVol(IF(O391&lt;$C$4,"Put","Call"),O391,$C$4,$C$7,Q391),"")</f>
        <v>6.1017138073820726E-3</v>
      </c>
      <c r="X391" s="61">
        <f>IFERROR(_xll.qlBachelierBlackFormulaImpliedVol(IF(O391&lt;$C$4,"Put","Call"),O391,$C$4,$C$7,R391),"")</f>
        <v>3.1354737924126062E-3</v>
      </c>
      <c r="Y391" s="42"/>
    </row>
    <row r="392" spans="15:25">
      <c r="O392" s="37">
        <f t="shared" si="6"/>
        <v>2.8699999999999878E-2</v>
      </c>
      <c r="P392" s="38">
        <f>IFERROR(_xll.qlBlackFormula(IF(O392&lt;$C$4,"Put","Call"),O392,$C$4,$C$9*SQRT($C$7)),"")</f>
        <v>6.7500111044741328E-6</v>
      </c>
      <c r="Q392" s="39">
        <f>IFERROR(_xll.qlBlackFormula(IF(O392&lt;$C$4,"Put","Call"),O392,$C$4,$C$10*SQRT($C$7),,$C$11),"")</f>
        <v>7.4738155507340466E-8</v>
      </c>
      <c r="R392" s="40">
        <f>IFERROR(_xll.qlBachelierBlackFormula(IF(O392&lt;$C$4,"Put","Call"),O392,$C$4,$C$12*SQRT($C$7)),"")</f>
        <v>7.8377399618912714E-18</v>
      </c>
      <c r="S392" s="41">
        <f>IFERROR((_xll.qlBlackFormula(IF(O392&lt;$C$4,"Put","Call"),O392+$C$14,$C$4,$C$9*SQRT($C$7))-
2*_xll.qlBlackFormula(IF(O392&lt;$C$4,"Put","Call"),O392,$C$4,$C$9*SQRT($C$7))+
_xll.qlBlackFormula(IF(O392&lt;$C$4,"Put","Call"),O392-$C$14,$C$4,$C$9*SQRT($C$7)))/$C$14^2,"")</f>
        <v>0.20159676879238919</v>
      </c>
      <c r="T392" s="42">
        <f>IFERROR((_xll.qlBlackFormula(IF(O392&lt;$C$4,"Put","Call"),O392+$C$14,$C$4,$C$10*SQRT($C$7),,$C$11)-
2*_xll.qlBlackFormula(IF(O392&lt;$C$4,"Put","Call"),O392,$C$4,$C$10*SQRT($C$7),,$C$11)+
_xll.qlBlackFormula(IF(O392&lt;$C$4,"Put","Call"),O392-$C$14,$C$4,$C$10*SQRT($C$7),,$C$11))/$C$14^2,"")</f>
        <v>1.1706317838849099E-2</v>
      </c>
      <c r="U392" s="43">
        <f>IFERROR((_xll.qlBachelierBlackFormula(IF(O392&lt;$C$4,"Put","Call"),O392+$C$14,$C$4,$C$12*SQRT($C$7))-
2*_xll.qlBachelierBlackFormula(IF(O392&lt;$C$4,"Put","Call"),O392,$C$4,$C$12*SQRT($C$7))+
_xll.qlBachelierBlackFormula(IF(O392&lt;$C$4,"Put","Call"),O392-$C$14,$C$4,$C$12*SQRT($C$7)))/$C$14^2,"")</f>
        <v>4.7996085722710885E-11</v>
      </c>
      <c r="V392" s="61">
        <f>IFERROR(_xll.qlBachelierBlackFormulaImpliedVol(IF(O392&lt;$C$4,"Put","Call"),O392,$C$4,$C$7,P392),"")</f>
        <v>8.5025098215240451E-3</v>
      </c>
      <c r="W392" s="61">
        <f>IFERROR(_xll.qlBachelierBlackFormulaImpliedVol(IF(O392&lt;$C$4,"Put","Call"),O392,$C$4,$C$7,Q392),"")</f>
        <v>6.1125814634001184E-3</v>
      </c>
      <c r="X392" s="61">
        <f>IFERROR(_xll.qlBachelierBlackFormulaImpliedVol(IF(O392&lt;$C$4,"Put","Call"),O392,$C$4,$C$7,R392),"")</f>
        <v>3.1417229200845173E-3</v>
      </c>
      <c r="Y392" s="42"/>
    </row>
    <row r="393" spans="15:25">
      <c r="O393" s="37">
        <f t="shared" si="6"/>
        <v>2.8799999999999878E-2</v>
      </c>
      <c r="P393" s="38">
        <f>IFERROR(_xll.qlBlackFormula(IF(O393&lt;$C$4,"Put","Call"),O393,$C$4,$C$9*SQRT($C$7)),"")</f>
        <v>6.6406035481539772E-6</v>
      </c>
      <c r="Q393" s="39">
        <f>IFERROR(_xll.qlBlackFormula(IF(O393&lt;$C$4,"Put","Call"),O393,$C$4,$C$10*SQRT($C$7),,$C$11),"")</f>
        <v>7.1871350664557534E-8</v>
      </c>
      <c r="R393" s="40">
        <f>IFERROR(_xll.qlBachelierBlackFormula(IF(O393&lt;$C$4,"Put","Call"),O393,$C$4,$C$12*SQRT($C$7)),"")</f>
        <v>6.1043870306240532E-18</v>
      </c>
      <c r="S393" s="41">
        <f>IFERROR((_xll.qlBlackFormula(IF(O393&lt;$C$4,"Put","Call"),O393+$C$14,$C$4,$C$9*SQRT($C$7))-
2*_xll.qlBlackFormula(IF(O393&lt;$C$4,"Put","Call"),O393,$C$4,$C$9*SQRT($C$7))+
_xll.qlBlackFormula(IF(O393&lt;$C$4,"Put","Call"),O393-$C$14,$C$4,$C$9*SQRT($C$7)))/$C$14^2,"")</f>
        <v>0.19756609136211203</v>
      </c>
      <c r="T393" s="42">
        <f>IFERROR((_xll.qlBlackFormula(IF(O393&lt;$C$4,"Put","Call"),O393+$C$14,$C$4,$C$10*SQRT($C$7),,$C$11)-
2*_xll.qlBlackFormula(IF(O393&lt;$C$4,"Put","Call"),O393,$C$4,$C$10*SQRT($C$7),,$C$11)+
_xll.qlBlackFormula(IF(O393&lt;$C$4,"Put","Call"),O393-$C$14,$C$4,$C$10*SQRT($C$7),,$C$11))/$C$14^2,"")</f>
        <v>1.1234109676249035E-2</v>
      </c>
      <c r="U393" s="43">
        <f>IFERROR((_xll.qlBachelierBlackFormula(IF(O393&lt;$C$4,"Put","Call"),O393+$C$14,$C$4,$C$12*SQRT($C$7))-
2*_xll.qlBachelierBlackFormula(IF(O393&lt;$C$4,"Put","Call"),O393,$C$4,$C$12*SQRT($C$7))+
_xll.qlBachelierBlackFormula(IF(O393&lt;$C$4,"Put","Call"),O393-$C$14,$C$4,$C$12*SQRT($C$7)))/$C$14^2,"")</f>
        <v>3.76828070695503E-11</v>
      </c>
      <c r="V393" s="61">
        <f>IFERROR(_xll.qlBachelierBlackFormulaImpliedVol(IF(O393&lt;$C$4,"Put","Call"),O393,$C$4,$C$7,P393),"")</f>
        <v>8.521436884645496E-3</v>
      </c>
      <c r="W393" s="61">
        <f>IFERROR(_xll.qlBachelierBlackFormulaImpliedVol(IF(O393&lt;$C$4,"Put","Call"),O393,$C$4,$C$7,Q393),"")</f>
        <v>6.1234403662008526E-3</v>
      </c>
      <c r="X393" s="61">
        <f>IFERROR(_xll.qlBachelierBlackFormulaImpliedVol(IF(O393&lt;$C$4,"Put","Call"),O393,$C$4,$C$7,R393),"")</f>
        <v>3.1373745997135276E-3</v>
      </c>
      <c r="Y393" s="42"/>
    </row>
    <row r="394" spans="15:25">
      <c r="O394" s="37">
        <f t="shared" si="6"/>
        <v>2.8899999999999877E-2</v>
      </c>
      <c r="P394" s="38">
        <f>IFERROR(_xll.qlBlackFormula(IF(O394&lt;$C$4,"Put","Call"),O394,$C$4,$C$9*SQRT($C$7)),"")</f>
        <v>6.5331717227779719E-6</v>
      </c>
      <c r="Q394" s="39">
        <f>IFERROR(_xll.qlBlackFormula(IF(O394&lt;$C$4,"Put","Call"),O394,$C$4,$C$10*SQRT($C$7),,$C$11),"")</f>
        <v>6.9116925392063164E-8</v>
      </c>
      <c r="R394" s="40">
        <f>IFERROR(_xll.qlBachelierBlackFormula(IF(O394&lt;$C$4,"Put","Call"),O394,$C$4,$C$12*SQRT($C$7)),"")</f>
        <v>4.7496787578965341E-18</v>
      </c>
      <c r="S394" s="41">
        <f>IFERROR((_xll.qlBlackFormula(IF(O394&lt;$C$4,"Put","Call"),O394+$C$14,$C$4,$C$9*SQRT($C$7))-
2*_xll.qlBlackFormula(IF(O394&lt;$C$4,"Put","Call"),O394,$C$4,$C$9*SQRT($C$7))+
_xll.qlBlackFormula(IF(O394&lt;$C$4,"Put","Call"),O394-$C$14,$C$4,$C$9*SQRT($C$7)))/$C$14^2,"")</f>
        <v>0.1936239458154819</v>
      </c>
      <c r="T394" s="42">
        <f>IFERROR((_xll.qlBlackFormula(IF(O394&lt;$C$4,"Put","Call"),O394+$C$14,$C$4,$C$10*SQRT($C$7),,$C$11)-
2*_xll.qlBlackFormula(IF(O394&lt;$C$4,"Put","Call"),O394,$C$4,$C$10*SQRT($C$7),,$C$11)+
_xll.qlBlackFormula(IF(O394&lt;$C$4,"Put","Call"),O394-$C$14,$C$4,$C$10*SQRT($C$7),,$C$11))/$C$14^2,"")</f>
        <v>1.0786303897584656E-2</v>
      </c>
      <c r="U394" s="43">
        <f>IFERROR((_xll.qlBachelierBlackFormula(IF(O394&lt;$C$4,"Put","Call"),O394+$C$14,$C$4,$C$12*SQRT($C$7))-
2*_xll.qlBachelierBlackFormula(IF(O394&lt;$C$4,"Put","Call"),O394,$C$4,$C$12*SQRT($C$7))+
_xll.qlBachelierBlackFormula(IF(O394&lt;$C$4,"Put","Call"),O394-$C$14,$C$4,$C$12*SQRT($C$7)))/$C$14^2,"")</f>
        <v>2.9555500195207231E-11</v>
      </c>
      <c r="V394" s="61">
        <f>IFERROR(_xll.qlBachelierBlackFormulaImpliedVol(IF(O394&lt;$C$4,"Put","Call"),O394,$C$4,$C$7,P394),"")</f>
        <v>8.5403476744371973E-3</v>
      </c>
      <c r="W394" s="61">
        <f>IFERROR(_xll.qlBachelierBlackFormulaImpliedVol(IF(O394&lt;$C$4,"Put","Call"),O394,$C$4,$C$7,Q394),"")</f>
        <v>6.1342905530374714E-3</v>
      </c>
      <c r="X394" s="61">
        <f>IFERROR(_xll.qlBachelierBlackFormulaImpliedVol(IF(O394&lt;$C$4,"Put","Call"),O394,$C$4,$C$7,R394),"")</f>
        <v>3.1389896418271687E-3</v>
      </c>
      <c r="Y394" s="42"/>
    </row>
    <row r="395" spans="15:25">
      <c r="O395" s="37">
        <f t="shared" si="6"/>
        <v>2.8999999999999877E-2</v>
      </c>
      <c r="P395" s="38">
        <f>IFERROR(_xll.qlBlackFormula(IF(O395&lt;$C$4,"Put","Call"),O395,$C$4,$C$9*SQRT($C$7)),"")</f>
        <v>6.4276761998289946E-6</v>
      </c>
      <c r="Q395" s="39">
        <f>IFERROR(_xll.qlBlackFormula(IF(O395&lt;$C$4,"Put","Call"),O395,$C$4,$C$10*SQRT($C$7),,$C$11),"")</f>
        <v>6.647038444618546E-8</v>
      </c>
      <c r="R395" s="40">
        <f>IFERROR(_xll.qlBachelierBlackFormula(IF(O395&lt;$C$4,"Put","Call"),O395,$C$4,$C$12*SQRT($C$7)),"")</f>
        <v>3.6919625082519372E-18</v>
      </c>
      <c r="S395" s="41">
        <f>IFERROR((_xll.qlBlackFormula(IF(O395&lt;$C$4,"Put","Call"),O395+$C$14,$C$4,$C$9*SQRT($C$7))-
2*_xll.qlBlackFormula(IF(O395&lt;$C$4,"Put","Call"),O395,$C$4,$C$9*SQRT($C$7))+
_xll.qlBlackFormula(IF(O395&lt;$C$4,"Put","Call"),O395-$C$14,$C$4,$C$9*SQRT($C$7)))/$C$14^2,"")</f>
        <v>0.18976745562860992</v>
      </c>
      <c r="T395" s="42">
        <f>IFERROR((_xll.qlBlackFormula(IF(O395&lt;$C$4,"Put","Call"),O395+$C$14,$C$4,$C$10*SQRT($C$7),,$C$11)-
2*_xll.qlBlackFormula(IF(O395&lt;$C$4,"Put","Call"),O395,$C$4,$C$10*SQRT($C$7),,$C$11)+
_xll.qlBlackFormula(IF(O395&lt;$C$4,"Put","Call"),O395-$C$14,$C$4,$C$10*SQRT($C$7),,$C$11))/$C$14^2,"")</f>
        <v>1.0354810067660265E-2</v>
      </c>
      <c r="U395" s="43">
        <f>IFERROR((_xll.qlBachelierBlackFormula(IF(O395&lt;$C$4,"Put","Call"),O395+$C$14,$C$4,$C$12*SQRT($C$7))-
2*_xll.qlBachelierBlackFormula(IF(O395&lt;$C$4,"Put","Call"),O395,$C$4,$C$12*SQRT($C$7))+
_xll.qlBachelierBlackFormula(IF(O395&lt;$C$4,"Put","Call"),O395-$C$14,$C$4,$C$12*SQRT($C$7)))/$C$14^2,"")</f>
        <v>2.3157464136580525E-11</v>
      </c>
      <c r="V395" s="61">
        <f>IFERROR(_xll.qlBachelierBlackFormulaImpliedVol(IF(O395&lt;$C$4,"Put","Call"),O395,$C$4,$C$7,P395),"")</f>
        <v>8.5592422704762333E-3</v>
      </c>
      <c r="W395" s="61">
        <f>IFERROR(_xll.qlBachelierBlackFormulaImpliedVol(IF(O395&lt;$C$4,"Put","Call"),O395,$C$4,$C$7,Q395),"")</f>
        <v>6.1451320609284283E-3</v>
      </c>
      <c r="X395" s="61">
        <f>IFERROR(_xll.qlBachelierBlackFormulaImpliedVol(IF(O395&lt;$C$4,"Put","Call"),O395,$C$4,$C$7,R395),"")</f>
        <v>3.1373297558090602E-3</v>
      </c>
      <c r="Y395" s="42"/>
    </row>
    <row r="396" spans="15:25">
      <c r="O396" s="37">
        <f t="shared" si="6"/>
        <v>2.9099999999999876E-2</v>
      </c>
      <c r="P396" s="38">
        <f>IFERROR(_xll.qlBlackFormula(IF(O396&lt;$C$4,"Put","Call"),O396,$C$4,$C$9*SQRT($C$7)),"")</f>
        <v>6.3240784139342838E-6</v>
      </c>
      <c r="Q396" s="39">
        <f>IFERROR(_xll.qlBlackFormula(IF(O396&lt;$C$4,"Put","Call"),O396,$C$4,$C$10*SQRT($C$7),,$C$11),"")</f>
        <v>6.3927415753892527E-8</v>
      </c>
      <c r="R396" s="40">
        <f>IFERROR(_xll.qlBachelierBlackFormula(IF(O396&lt;$C$4,"Put","Call"),O396,$C$4,$C$12*SQRT($C$7)),"")</f>
        <v>2.8669564701352259E-18</v>
      </c>
      <c r="S396" s="41">
        <f>IFERROR((_xll.qlBlackFormula(IF(O396&lt;$C$4,"Put","Call"),O396+$C$14,$C$4,$C$9*SQRT($C$7))-
2*_xll.qlBlackFormula(IF(O396&lt;$C$4,"Put","Call"),O396,$C$4,$C$9*SQRT($C$7))+
_xll.qlBlackFormula(IF(O396&lt;$C$4,"Put","Call"),O396-$C$14,$C$4,$C$9*SQRT($C$7)))/$C$14^2,"")</f>
        <v>0.18599516390482679</v>
      </c>
      <c r="T396" s="42">
        <f>IFERROR((_xll.qlBlackFormula(IF(O396&lt;$C$4,"Put","Call"),O396+$C$14,$C$4,$C$10*SQRT($C$7),,$C$11)-
2*_xll.qlBlackFormula(IF(O396&lt;$C$4,"Put","Call"),O396,$C$4,$C$10*SQRT($C$7),,$C$11)+
_xll.qlBlackFormula(IF(O396&lt;$C$4,"Put","Call"),O396-$C$14,$C$4,$C$10*SQRT($C$7),,$C$11))/$C$14^2,"")</f>
        <v>9.9410311906738685E-3</v>
      </c>
      <c r="U396" s="43">
        <f>IFERROR((_xll.qlBachelierBlackFormula(IF(O396&lt;$C$4,"Put","Call"),O396+$C$14,$C$4,$C$12*SQRT($C$7))-
2*_xll.qlBachelierBlackFormula(IF(O396&lt;$C$4,"Put","Call"),O396,$C$4,$C$12*SQRT($C$7))+
_xll.qlBachelierBlackFormula(IF(O396&lt;$C$4,"Put","Call"),O396-$C$14,$C$4,$C$12*SQRT($C$7)))/$C$14^2,"")</f>
        <v>1.8125972933403826E-11</v>
      </c>
      <c r="V396" s="61">
        <f>IFERROR(_xll.qlBachelierBlackFormulaImpliedVol(IF(O396&lt;$C$4,"Put","Call"),O396,$C$4,$C$7,P396),"")</f>
        <v>8.5781207516681772E-3</v>
      </c>
      <c r="W396" s="61">
        <f>IFERROR(_xll.qlBachelierBlackFormulaImpliedVol(IF(O396&lt;$C$4,"Put","Call"),O396,$C$4,$C$7,Q396),"")</f>
        <v>6.1559649265593066E-3</v>
      </c>
      <c r="X396" s="61">
        <f>IFERROR(_xll.qlBachelierBlackFormulaImpliedVol(IF(O396&lt;$C$4,"Put","Call"),O396,$C$4,$C$7,R396),"")</f>
        <v>3.1504019631249315E-3</v>
      </c>
      <c r="Y396" s="42"/>
    </row>
    <row r="397" spans="15:25">
      <c r="O397" s="37">
        <f t="shared" si="6"/>
        <v>2.9199999999999875E-2</v>
      </c>
      <c r="P397" s="38">
        <f>IFERROR(_xll.qlBlackFormula(IF(O397&lt;$C$4,"Put","Call"),O397,$C$4,$C$9*SQRT($C$7)),"")</f>
        <v>6.22234064227501E-6</v>
      </c>
      <c r="Q397" s="39">
        <f>IFERROR(_xll.qlBlackFormula(IF(O397&lt;$C$4,"Put","Call"),O397,$C$4,$C$10*SQRT($C$7),,$C$11),"")</f>
        <v>6.1483882829241595E-8</v>
      </c>
      <c r="R397" s="40">
        <f>IFERROR(_xll.qlBachelierBlackFormula(IF(O397&lt;$C$4,"Put","Call"),O397,$C$4,$C$12*SQRT($C$7)),"")</f>
        <v>2.2241065671987413E-18</v>
      </c>
      <c r="S397" s="41">
        <f>IFERROR((_xll.qlBlackFormula(IF(O397&lt;$C$4,"Put","Call"),O397+$C$14,$C$4,$C$9*SQRT($C$7))-
2*_xll.qlBlackFormula(IF(O397&lt;$C$4,"Put","Call"),O397,$C$4,$C$9*SQRT($C$7))+
_xll.qlBlackFormula(IF(O397&lt;$C$4,"Put","Call"),O397-$C$14,$C$4,$C$9*SQRT($C$7)))/$C$14^2,"")</f>
        <v>0.1823043635268331</v>
      </c>
      <c r="T397" s="42">
        <f>IFERROR((_xll.qlBlackFormula(IF(O397&lt;$C$4,"Put","Call"),O397+$C$14,$C$4,$C$10*SQRT($C$7),,$C$11)-
2*_xll.qlBlackFormula(IF(O397&lt;$C$4,"Put","Call"),O397,$C$4,$C$10*SQRT($C$7),,$C$11)+
_xll.qlBlackFormula(IF(O397&lt;$C$4,"Put","Call"),O397-$C$14,$C$4,$C$10*SQRT($C$7),,$C$11))/$C$14^2,"")</f>
        <v>9.5462440629143358E-3</v>
      </c>
      <c r="U397" s="43">
        <f>IFERROR((_xll.qlBachelierBlackFormula(IF(O397&lt;$C$4,"Put","Call"),O397+$C$14,$C$4,$C$12*SQRT($C$7))-
2*_xll.qlBachelierBlackFormula(IF(O397&lt;$C$4,"Put","Call"),O397,$C$4,$C$12*SQRT($C$7))+
_xll.qlBachelierBlackFormula(IF(O397&lt;$C$4,"Put","Call"),O397-$C$14,$C$4,$C$12*SQRT($C$7)))/$C$14^2,"")</f>
        <v>1.4173244457514752E-11</v>
      </c>
      <c r="V397" s="61">
        <f>IFERROR(_xll.qlBachelierBlackFormulaImpliedVol(IF(O397&lt;$C$4,"Put","Call"),O397,$C$4,$C$7,P397),"")</f>
        <v>8.5969831962558994E-3</v>
      </c>
      <c r="W397" s="61">
        <f>IFERROR(_xll.qlBachelierBlackFormulaImpliedVol(IF(O397&lt;$C$4,"Put","Call"),O397,$C$4,$C$7,Q397),"")</f>
        <v>6.1667891864072419E-3</v>
      </c>
      <c r="X397" s="61">
        <f>IFERROR(_xll.qlBachelierBlackFormulaImpliedVol(IF(O397&lt;$C$4,"Put","Call"),O397,$C$4,$C$7,R397),"")</f>
        <v>3.1427914023329055E-3</v>
      </c>
      <c r="Y397" s="42"/>
    </row>
    <row r="398" spans="15:25">
      <c r="O398" s="37">
        <f t="shared" si="6"/>
        <v>2.9299999999999875E-2</v>
      </c>
      <c r="P398" s="38">
        <f>IFERROR(_xll.qlBlackFormula(IF(O398&lt;$C$4,"Put","Call"),O398,$C$4,$C$9*SQRT($C$7)),"")</f>
        <v>6.1224259845283388E-6</v>
      </c>
      <c r="Q398" s="39">
        <f>IFERROR(_xll.qlBlackFormula(IF(O398&lt;$C$4,"Put","Call"),O398,$C$4,$C$10*SQRT($C$7),,$C$11),"")</f>
        <v>5.9135817503328159E-8</v>
      </c>
      <c r="R398" s="40">
        <f>IFERROR(_xll.qlBachelierBlackFormula(IF(O398&lt;$C$4,"Put","Call"),O398,$C$4,$C$12*SQRT($C$7)),"")</f>
        <v>1.723695977703378E-18</v>
      </c>
      <c r="S398" s="41">
        <f>IFERROR((_xll.qlBlackFormula(IF(O398&lt;$C$4,"Put","Call"),O398+$C$14,$C$4,$C$9*SQRT($C$7))-
2*_xll.qlBlackFormula(IF(O398&lt;$C$4,"Put","Call"),O398,$C$4,$C$9*SQRT($C$7))+
_xll.qlBlackFormula(IF(O398&lt;$C$4,"Put","Call"),O398-$C$14,$C$4,$C$9*SQRT($C$7)))/$C$14^2,"")</f>
        <v>0.17869480716100825</v>
      </c>
      <c r="T398" s="42">
        <f>IFERROR((_xll.qlBlackFormula(IF(O398&lt;$C$4,"Put","Call"),O398+$C$14,$C$4,$C$10*SQRT($C$7),,$C$11)-
2*_xll.qlBlackFormula(IF(O398&lt;$C$4,"Put","Call"),O398,$C$4,$C$10*SQRT($C$7),,$C$11)+
_xll.qlBlackFormula(IF(O398&lt;$C$4,"Put","Call"),O398-$C$14,$C$4,$C$10*SQRT($C$7),,$C$11))/$C$14^2,"")</f>
        <v>9.1629777479077627E-3</v>
      </c>
      <c r="U398" s="43">
        <f>IFERROR((_xll.qlBachelierBlackFormula(IF(O398&lt;$C$4,"Put","Call"),O398+$C$14,$C$4,$C$12*SQRT($C$7))-
2*_xll.qlBachelierBlackFormula(IF(O398&lt;$C$4,"Put","Call"),O398,$C$4,$C$12*SQRT($C$7))+
_xll.qlBachelierBlackFormula(IF(O398&lt;$C$4,"Put","Call"),O398-$C$14,$C$4,$C$12*SQRT($C$7)))/$C$14^2,"")</f>
        <v>1.1071204291701693E-11</v>
      </c>
      <c r="V398" s="61">
        <f>IFERROR(_xll.qlBachelierBlackFormulaImpliedVol(IF(O398&lt;$C$4,"Put","Call"),O398,$C$4,$C$7,P398),"")</f>
        <v>8.6158296818265659E-3</v>
      </c>
      <c r="W398" s="61">
        <f>IFERROR(_xll.qlBachelierBlackFormulaImpliedVol(IF(O398&lt;$C$4,"Put","Call"),O398,$C$4,$C$7,Q398),"")</f>
        <v>6.177604876670185E-3</v>
      </c>
      <c r="X398" s="61">
        <f>IFERROR(_xll.qlBachelierBlackFormulaImpliedVol(IF(O398&lt;$C$4,"Put","Call"),O398,$C$4,$C$7,R398),"")</f>
        <v>3.1557781436648597E-3</v>
      </c>
      <c r="Y398" s="42"/>
    </row>
    <row r="399" spans="15:25">
      <c r="O399" s="37">
        <f t="shared" si="6"/>
        <v>2.9399999999999874E-2</v>
      </c>
      <c r="P399" s="38">
        <f>IFERROR(_xll.qlBlackFormula(IF(O399&lt;$C$4,"Put","Call"),O399,$C$4,$C$9*SQRT($C$7)),"")</f>
        <v>6.0242983433331708E-6</v>
      </c>
      <c r="Q399" s="39">
        <f>IFERROR(_xll.qlBlackFormula(IF(O399&lt;$C$4,"Put","Call"),O399,$C$4,$C$10*SQRT($C$7),,$C$11),"")</f>
        <v>5.6879412953450568E-8</v>
      </c>
      <c r="R399" s="40">
        <f>IFERROR(_xll.qlBachelierBlackFormula(IF(O399&lt;$C$4,"Put","Call"),O399,$C$4,$C$12*SQRT($C$7)),"")</f>
        <v>1.3345542501983417E-18</v>
      </c>
      <c r="S399" s="41">
        <f>IFERROR((_xll.qlBlackFormula(IF(O399&lt;$C$4,"Put","Call"),O399+$C$14,$C$4,$C$9*SQRT($C$7))-
2*_xll.qlBlackFormula(IF(O399&lt;$C$4,"Put","Call"),O399,$C$4,$C$9*SQRT($C$7))+
_xll.qlBlackFormula(IF(O399&lt;$C$4,"Put","Call"),O399-$C$14,$C$4,$C$9*SQRT($C$7)))/$C$14^2,"")</f>
        <v>0.17516242566107365</v>
      </c>
      <c r="T399" s="42">
        <f>IFERROR((_xll.qlBlackFormula(IF(O399&lt;$C$4,"Put","Call"),O399+$C$14,$C$4,$C$10*SQRT($C$7),,$C$11)-
2*_xll.qlBlackFormula(IF(O399&lt;$C$4,"Put","Call"),O399,$C$4,$C$10*SQRT($C$7),,$C$11)+
_xll.qlBlackFormula(IF(O399&lt;$C$4,"Put","Call"),O399-$C$14,$C$4,$C$10*SQRT($C$7),,$C$11))/$C$14^2,"")</f>
        <v>8.7983412873013367E-3</v>
      </c>
      <c r="U399" s="43">
        <f>IFERROR((_xll.qlBachelierBlackFormula(IF(O399&lt;$C$4,"Put","Call"),O399+$C$14,$C$4,$C$12*SQRT($C$7))-
2*_xll.qlBachelierBlackFormula(IF(O399&lt;$C$4,"Put","Call"),O399,$C$4,$C$12*SQRT($C$7))+
_xll.qlBachelierBlackFormula(IF(O399&lt;$C$4,"Put","Call"),O399-$C$14,$C$4,$C$12*SQRT($C$7)))/$C$14^2,"")</f>
        <v>8.6392905071028718E-12</v>
      </c>
      <c r="V399" s="61">
        <f>IFERROR(_xll.qlBachelierBlackFormulaImpliedVol(IF(O399&lt;$C$4,"Put","Call"),O399,$C$4,$C$7,P399),"")</f>
        <v>8.6346602853207381E-3</v>
      </c>
      <c r="W399" s="61">
        <f>IFERROR(_xll.qlBachelierBlackFormulaImpliedVol(IF(O399&lt;$C$4,"Put","Call"),O399,$C$4,$C$7,Q399),"")</f>
        <v>6.1884120332697775E-3</v>
      </c>
      <c r="X399" s="61">
        <f>IFERROR(_xll.qlBachelierBlackFormulaImpliedVol(IF(O399&lt;$C$4,"Put","Call"),O399,$C$4,$C$7,R399),"")</f>
        <v>3.1687648849968138E-3</v>
      </c>
      <c r="Y399" s="42"/>
    </row>
    <row r="400" spans="15:25">
      <c r="O400" s="37">
        <f t="shared" si="6"/>
        <v>2.9499999999999874E-2</v>
      </c>
      <c r="P400" s="38">
        <f>IFERROR(_xll.qlBlackFormula(IF(O400&lt;$C$4,"Put","Call"),O400,$C$4,$C$9*SQRT($C$7)),"")</f>
        <v>5.9279224052484579E-6</v>
      </c>
      <c r="Q400" s="39">
        <f>IFERROR(_xll.qlBlackFormula(IF(O400&lt;$C$4,"Put","Call"),O400,$C$4,$C$10*SQRT($C$7),,$C$11),"")</f>
        <v>5.4711017040218211E-8</v>
      </c>
      <c r="R400" s="40">
        <f>IFERROR(_xll.qlBachelierBlackFormula(IF(O400&lt;$C$4,"Put","Call"),O400,$C$4,$C$12*SQRT($C$7)),"")</f>
        <v>1.0322435875442944E-18</v>
      </c>
      <c r="S400" s="41">
        <f>IFERROR((_xll.qlBlackFormula(IF(O400&lt;$C$4,"Put","Call"),O400+$C$14,$C$4,$C$9*SQRT($C$7))-
2*_xll.qlBlackFormula(IF(O400&lt;$C$4,"Put","Call"),O400,$C$4,$C$9*SQRT($C$7))+
_xll.qlBlackFormula(IF(O400&lt;$C$4,"Put","Call"),O400-$C$14,$C$4,$C$9*SQRT($C$7)))/$C$14^2,"")</f>
        <v>0.17171118991748599</v>
      </c>
      <c r="T400" s="42">
        <f>IFERROR((_xll.qlBlackFormula(IF(O400&lt;$C$4,"Put","Call"),O400+$C$14,$C$4,$C$10*SQRT($C$7),,$C$11)-
2*_xll.qlBlackFormula(IF(O400&lt;$C$4,"Put","Call"),O400,$C$4,$C$10*SQRT($C$7),,$C$11)+
_xll.qlBlackFormula(IF(O400&lt;$C$4,"Put","Call"),O400-$C$14,$C$4,$C$10*SQRT($C$7),,$C$11))/$C$14^2,"")</f>
        <v>8.4476534476329405E-3</v>
      </c>
      <c r="U400" s="43">
        <f>IFERROR((_xll.qlBachelierBlackFormula(IF(O400&lt;$C$4,"Put","Call"),O400+$C$14,$C$4,$C$12*SQRT($C$7))-
2*_xll.qlBachelierBlackFormula(IF(O400&lt;$C$4,"Put","Call"),O400,$C$4,$C$12*SQRT($C$7))+
_xll.qlBachelierBlackFormula(IF(O400&lt;$C$4,"Put","Call"),O400-$C$14,$C$4,$C$12*SQRT($C$7)))/$C$14^2,"")</f>
        <v>6.7347104791438121E-12</v>
      </c>
      <c r="V400" s="61">
        <f>IFERROR(_xll.qlBachelierBlackFormulaImpliedVol(IF(O400&lt;$C$4,"Put","Call"),O400,$C$4,$C$7,P400),"")</f>
        <v>8.6534750830384016E-3</v>
      </c>
      <c r="W400" s="61">
        <f>IFERROR(_xll.qlBachelierBlackFormulaImpliedVol(IF(O400&lt;$C$4,"Put","Call"),O400,$C$4,$C$7,Q400),"")</f>
        <v>6.1992106918741198E-3</v>
      </c>
      <c r="X400" s="61">
        <f>IFERROR(_xll.qlBachelierBlackFormulaImpliedVol(IF(O400&lt;$C$4,"Put","Call"),O400,$C$4,$C$7,R400),"")</f>
        <v>3.181751626328768E-3</v>
      </c>
      <c r="Y400" s="42"/>
    </row>
    <row r="401" spans="15:25">
      <c r="O401" s="37">
        <f t="shared" ref="O401:O464" si="7">O400+0.01%</f>
        <v>2.9599999999999873E-2</v>
      </c>
      <c r="P401" s="38">
        <f>IFERROR(_xll.qlBlackFormula(IF(O401&lt;$C$4,"Put","Call"),O401,$C$4,$C$9*SQRT($C$7)),"")</f>
        <v>5.8332636222112459E-6</v>
      </c>
      <c r="Q401" s="39">
        <f>IFERROR(_xll.qlBlackFormula(IF(O401&lt;$C$4,"Put","Call"),O401,$C$4,$C$10*SQRT($C$7),,$C$11),"")</f>
        <v>5.2627125907147897E-8</v>
      </c>
      <c r="R401" s="40">
        <f>IFERROR(_xll.qlBachelierBlackFormula(IF(O401&lt;$C$4,"Put","Call"),O401,$C$4,$C$12*SQRT($C$7)),"")</f>
        <v>7.976244523212044E-19</v>
      </c>
      <c r="S401" s="41">
        <f>IFERROR((_xll.qlBlackFormula(IF(O401&lt;$C$4,"Put","Call"),O401+$C$14,$C$4,$C$9*SQRT($C$7))-
2*_xll.qlBlackFormula(IF(O401&lt;$C$4,"Put","Call"),O401,$C$4,$C$9*SQRT($C$7))+
_xll.qlBlackFormula(IF(O401&lt;$C$4,"Put","Call"),O401-$C$14,$C$4,$C$9*SQRT($C$7)))/$C$14^2,"")</f>
        <v>0.16832754401495745</v>
      </c>
      <c r="T401" s="42">
        <f>IFERROR((_xll.qlBlackFormula(IF(O401&lt;$C$4,"Put","Call"),O401+$C$14,$C$4,$C$10*SQRT($C$7),,$C$11)-
2*_xll.qlBlackFormula(IF(O401&lt;$C$4,"Put","Call"),O401,$C$4,$C$10*SQRT($C$7),,$C$11)+
_xll.qlBlackFormula(IF(O401&lt;$C$4,"Put","Call"),O401-$C$14,$C$4,$C$10*SQRT($C$7),,$C$11))/$C$14^2,"")</f>
        <v>8.1124151712851072E-3</v>
      </c>
      <c r="U401" s="43">
        <f>IFERROR((_xll.qlBachelierBlackFormula(IF(O401&lt;$C$4,"Put","Call"),O401+$C$14,$C$4,$C$12*SQRT($C$7))-
2*_xll.qlBachelierBlackFormula(IF(O401&lt;$C$4,"Put","Call"),O401,$C$4,$C$12*SQRT($C$7))+
_xll.qlBachelierBlackFormula(IF(O401&lt;$C$4,"Put","Call"),O401-$C$14,$C$4,$C$12*SQRT($C$7)))/$C$14^2,"")</f>
        <v>5.2446608393042324E-12</v>
      </c>
      <c r="V401" s="61">
        <f>IFERROR(_xll.qlBachelierBlackFormulaImpliedVol(IF(O401&lt;$C$4,"Put","Call"),O401,$C$4,$C$7,P401),"")</f>
        <v>8.672274150647568E-3</v>
      </c>
      <c r="W401" s="61">
        <f>IFERROR(_xll.qlBachelierBlackFormulaImpliedVol(IF(O401&lt;$C$4,"Put","Call"),O401,$C$4,$C$7,Q401),"")</f>
        <v>6.2100008879161931E-3</v>
      </c>
      <c r="X401" s="61">
        <f>IFERROR(_xll.qlBachelierBlackFormulaImpliedVol(IF(O401&lt;$C$4,"Put","Call"),O401,$C$4,$C$7,R401),"")</f>
        <v>3.1947383676607217E-3</v>
      </c>
      <c r="Y401" s="42"/>
    </row>
    <row r="402" spans="15:25">
      <c r="O402" s="37">
        <f t="shared" si="7"/>
        <v>2.9699999999999872E-2</v>
      </c>
      <c r="P402" s="38">
        <f>IFERROR(_xll.qlBlackFormula(IF(O402&lt;$C$4,"Put","Call"),O402,$C$4,$C$9*SQRT($C$7)),"")</f>
        <v>5.7402881934549564E-6</v>
      </c>
      <c r="Q402" s="39">
        <f>IFERROR(_xll.qlBlackFormula(IF(O402&lt;$C$4,"Put","Call"),O402,$C$4,$C$10*SQRT($C$7),,$C$11),"")</f>
        <v>5.0624377861049657E-8</v>
      </c>
      <c r="R402" s="40">
        <f>IFERROR(_xll.qlBachelierBlackFormula(IF(O402&lt;$C$4,"Put","Call"),O402,$C$4,$C$12*SQRT($C$7)),"")</f>
        <v>6.1572238012691351E-19</v>
      </c>
      <c r="S402" s="41">
        <f>IFERROR((_xll.qlBlackFormula(IF(O402&lt;$C$4,"Put","Call"),O402+$C$14,$C$4,$C$9*SQRT($C$7))-
2*_xll.qlBlackFormula(IF(O402&lt;$C$4,"Put","Call"),O402,$C$4,$C$9*SQRT($C$7))+
_xll.qlBlackFormula(IF(O402&lt;$C$4,"Put","Call"),O402-$C$14,$C$4,$C$9*SQRT($C$7)))/$C$14^2,"")</f>
        <v>0.16502306858794288</v>
      </c>
      <c r="T402" s="42">
        <f>IFERROR((_xll.qlBlackFormula(IF(O402&lt;$C$4,"Put","Call"),O402+$C$14,$C$4,$C$10*SQRT($C$7),,$C$11)-
2*_xll.qlBlackFormula(IF(O402&lt;$C$4,"Put","Call"),O402,$C$4,$C$10*SQRT($C$7),,$C$11)+
_xll.qlBlackFormula(IF(O402&lt;$C$4,"Put","Call"),O402-$C$14,$C$4,$C$10*SQRT($C$7),,$C$11))/$C$14^2,"")</f>
        <v>7.7923303143636533E-3</v>
      </c>
      <c r="U402" s="43">
        <f>IFERROR((_xll.qlBachelierBlackFormula(IF(O402&lt;$C$4,"Put","Call"),O402+$C$14,$C$4,$C$12*SQRT($C$7))-
2*_xll.qlBachelierBlackFormula(IF(O402&lt;$C$4,"Put","Call"),O402,$C$4,$C$12*SQRT($C$7))+
_xll.qlBachelierBlackFormula(IF(O402&lt;$C$4,"Put","Call"),O402-$C$14,$C$4,$C$12*SQRT($C$7)))/$C$14^2,"")</f>
        <v>4.0801254999850083E-12</v>
      </c>
      <c r="V402" s="61">
        <f>IFERROR(_xll.qlBachelierBlackFormulaImpliedVol(IF(O402&lt;$C$4,"Put","Call"),O402,$C$4,$C$7,P402),"")</f>
        <v>8.6910575631913203E-3</v>
      </c>
      <c r="W402" s="61">
        <f>IFERROR(_xll.qlBachelierBlackFormulaImpliedVol(IF(O402&lt;$C$4,"Put","Call"),O402,$C$4,$C$7,Q402),"")</f>
        <v>6.2207826565466428E-3</v>
      </c>
      <c r="X402" s="61">
        <f>IFERROR(_xll.qlBachelierBlackFormulaImpliedVol(IF(O402&lt;$C$4,"Put","Call"),O402,$C$4,$C$7,R402),"")</f>
        <v>3.2077251089926758E-3</v>
      </c>
      <c r="Y402" s="42"/>
    </row>
    <row r="403" spans="15:25">
      <c r="O403" s="37">
        <f t="shared" si="7"/>
        <v>2.9799999999999872E-2</v>
      </c>
      <c r="P403" s="38">
        <f>IFERROR(_xll.qlBlackFormula(IF(O403&lt;$C$4,"Put","Call"),O403,$C$4,$C$9*SQRT($C$7)),"")</f>
        <v>5.6489630479109127E-6</v>
      </c>
      <c r="Q403" s="39">
        <f>IFERROR(_xll.qlBlackFormula(IF(O403&lt;$C$4,"Put","Call"),O403,$C$4,$C$10*SQRT($C$7),,$C$11),"")</f>
        <v>4.8699547504507227E-8</v>
      </c>
      <c r="R403" s="40">
        <f>IFERROR(_xll.qlBachelierBlackFormula(IF(O403&lt;$C$4,"Put","Call"),O403,$C$4,$C$12*SQRT($C$7)),"")</f>
        <v>4.7483371098275171E-19</v>
      </c>
      <c r="S403" s="41">
        <f>IFERROR((_xll.qlBlackFormula(IF(O403&lt;$C$4,"Put","Call"),O403+$C$14,$C$4,$C$9*SQRT($C$7))-
2*_xll.qlBlackFormula(IF(O403&lt;$C$4,"Put","Call"),O403,$C$4,$C$9*SQRT($C$7))+
_xll.qlBlackFormula(IF(O403&lt;$C$4,"Put","Call"),O403-$C$14,$C$4,$C$9*SQRT($C$7)))/$C$14^2,"")</f>
        <v>0.16178667766922861</v>
      </c>
      <c r="T403" s="42">
        <f>IFERROR((_xll.qlBlackFormula(IF(O403&lt;$C$4,"Put","Call"),O403+$C$14,$C$4,$C$10*SQRT($C$7),,$C$11)-
2*_xll.qlBlackFormula(IF(O403&lt;$C$4,"Put","Call"),O403,$C$4,$C$10*SQRT($C$7),,$C$11)+
_xll.qlBlackFormula(IF(O403&lt;$C$4,"Put","Call"),O403-$C$14,$C$4,$C$10*SQRT($C$7),,$C$11))/$C$14^2,"")</f>
        <v>7.4795800216115923E-3</v>
      </c>
      <c r="U403" s="43">
        <f>IFERROR((_xll.qlBachelierBlackFormula(IF(O403&lt;$C$4,"Put","Call"),O403+$C$14,$C$4,$C$12*SQRT($C$7))-
2*_xll.qlBachelierBlackFormula(IF(O403&lt;$C$4,"Put","Call"),O403,$C$4,$C$12*SQRT($C$7))+
_xll.qlBachelierBlackFormula(IF(O403&lt;$C$4,"Put","Call"),O403-$C$14,$C$4,$C$12*SQRT($C$7)))/$C$14^2,"")</f>
        <v>3.1709344270130901E-12</v>
      </c>
      <c r="V403" s="61">
        <f>IFERROR(_xll.qlBachelierBlackFormulaImpliedVol(IF(O403&lt;$C$4,"Put","Call"),O403,$C$4,$C$7,P403),"")</f>
        <v>8.7098253950953497E-3</v>
      </c>
      <c r="W403" s="61">
        <f>IFERROR(_xll.qlBachelierBlackFormulaImpliedVol(IF(O403&lt;$C$4,"Put","Call"),O403,$C$4,$C$7,Q403),"")</f>
        <v>6.2315560326859053E-3</v>
      </c>
      <c r="X403" s="61">
        <f>IFERROR(_xll.qlBachelierBlackFormulaImpliedVol(IF(O403&lt;$C$4,"Put","Call"),O403,$C$4,$C$7,R403),"")</f>
        <v>3.22071185032463E-3</v>
      </c>
      <c r="Y403" s="42"/>
    </row>
    <row r="404" spans="15:25">
      <c r="O404" s="37">
        <f t="shared" si="7"/>
        <v>2.9899999999999871E-2</v>
      </c>
      <c r="P404" s="38">
        <f>IFERROR(_xll.qlBlackFormula(IF(O404&lt;$C$4,"Put","Call"),O404,$C$4,$C$9*SQRT($C$7)),"")</f>
        <v>5.5592558270340552E-6</v>
      </c>
      <c r="Q404" s="39">
        <f>IFERROR(_xll.qlBlackFormula(IF(O404&lt;$C$4,"Put","Call"),O404,$C$4,$C$10*SQRT($C$7),,$C$11),"")</f>
        <v>4.684954010789299E-8</v>
      </c>
      <c r="R404" s="40">
        <f>IFERROR(_xll.qlBachelierBlackFormula(IF(O404&lt;$C$4,"Put","Call"),O404,$C$4,$C$12*SQRT($C$7)),"")</f>
        <v>3.6582062296787982E-19</v>
      </c>
      <c r="S404" s="41">
        <f>IFERROR((_xll.qlBlackFormula(IF(O404&lt;$C$4,"Put","Call"),O404+$C$14,$C$4,$C$9*SQRT($C$7))-
2*_xll.qlBlackFormula(IF(O404&lt;$C$4,"Put","Call"),O404,$C$4,$C$9*SQRT($C$7))+
_xll.qlBlackFormula(IF(O404&lt;$C$4,"Put","Call"),O404-$C$14,$C$4,$C$9*SQRT($C$7)))/$C$14^2,"")</f>
        <v>0.15862096995589681</v>
      </c>
      <c r="T404" s="42">
        <f>IFERROR((_xll.qlBlackFormula(IF(O404&lt;$C$4,"Put","Call"),O404+$C$14,$C$4,$C$10*SQRT($C$7),,$C$11)-
2*_xll.qlBlackFormula(IF(O404&lt;$C$4,"Put","Call"),O404,$C$4,$C$10*SQRT($C$7),,$C$11)+
_xll.qlBlackFormula(IF(O404&lt;$C$4,"Put","Call"),O404-$C$14,$C$4,$C$10*SQRT($C$7),,$C$11))/$C$14^2,"")</f>
        <v>7.186320698129682E-3</v>
      </c>
      <c r="U404" s="43">
        <f>IFERROR((_xll.qlBachelierBlackFormula(IF(O404&lt;$C$4,"Put","Call"),O404+$C$14,$C$4,$C$12*SQRT($C$7))-
2*_xll.qlBachelierBlackFormula(IF(O404&lt;$C$4,"Put","Call"),O404,$C$4,$C$12*SQRT($C$7))+
_xll.qlBachelierBlackFormula(IF(O404&lt;$C$4,"Put","Call"),O404-$C$14,$C$4,$C$12*SQRT($C$7)))/$C$14^2,"")</f>
        <v>2.4618332387888565E-12</v>
      </c>
      <c r="V404" s="61">
        <f>IFERROR(_xll.qlBachelierBlackFormulaImpliedVol(IF(O404&lt;$C$4,"Put","Call"),O404,$C$4,$C$7,P404),"")</f>
        <v>8.72857772017426E-3</v>
      </c>
      <c r="W404" s="61">
        <f>IFERROR(_xll.qlBachelierBlackFormulaImpliedVol(IF(O404&lt;$C$4,"Put","Call"),O404,$C$4,$C$7,Q404),"")</f>
        <v>6.2423210510036322E-3</v>
      </c>
      <c r="X404" s="61">
        <f>IFERROR(_xll.qlBachelierBlackFormulaImpliedVol(IF(O404&lt;$C$4,"Put","Call"),O404,$C$4,$C$7,R404),"")</f>
        <v>3.2336985916565841E-3</v>
      </c>
      <c r="Y404" s="42"/>
    </row>
    <row r="405" spans="15:25">
      <c r="O405" s="37">
        <f t="shared" si="7"/>
        <v>2.9999999999999871E-2</v>
      </c>
      <c r="P405" s="38">
        <f>IFERROR(_xll.qlBlackFormula(IF(O405&lt;$C$4,"Put","Call"),O405,$C$4,$C$9*SQRT($C$7)),"")</f>
        <v>5.4711348680906459E-6</v>
      </c>
      <c r="Q405" s="39">
        <f>IFERROR(_xll.qlBlackFormula(IF(O405&lt;$C$4,"Put","Call"),O405,$C$4,$C$10*SQRT($C$7),,$C$11),"")</f>
        <v>4.5071386235997532E-8</v>
      </c>
      <c r="R405" s="40">
        <f>IFERROR(_xll.qlBachelierBlackFormula(IF(O405&lt;$C$4,"Put","Call"),O405,$C$4,$C$12*SQRT($C$7)),"")</f>
        <v>2.8155599170010785E-19</v>
      </c>
      <c r="S405" s="41">
        <f>IFERROR((_xll.qlBlackFormula(IF(O405&lt;$C$4,"Put","Call"),O405+$C$14,$C$4,$C$9*SQRT($C$7))-
2*_xll.qlBlackFormula(IF(O405&lt;$C$4,"Put","Call"),O405,$C$4,$C$9*SQRT($C$7))+
_xll.qlBlackFormula(IF(O405&lt;$C$4,"Put","Call"),O405-$C$14,$C$4,$C$9*SQRT($C$7)))/$C$14^2,"")</f>
        <v>0.1555229740563685</v>
      </c>
      <c r="T405" s="42">
        <f>IFERROR((_xll.qlBlackFormula(IF(O405&lt;$C$4,"Put","Call"),O405+$C$14,$C$4,$C$10*SQRT($C$7),,$C$11)-
2*_xll.qlBlackFormula(IF(O405&lt;$C$4,"Put","Call"),O405,$C$4,$C$10*SQRT($C$7),,$C$11)+
_xll.qlBlackFormula(IF(O405&lt;$C$4,"Put","Call"),O405-$C$14,$C$4,$C$10*SQRT($C$7),,$C$11))/$C$14^2,"")</f>
        <v>6.8983316136455881E-3</v>
      </c>
      <c r="U405" s="43">
        <f>IFERROR((_xll.qlBachelierBlackFormula(IF(O405&lt;$C$4,"Put","Call"),O405+$C$14,$C$4,$C$12*SQRT($C$7))-
2*_xll.qlBachelierBlackFormula(IF(O405&lt;$C$4,"Put","Call"),O405,$C$4,$C$12*SQRT($C$7))+
_xll.qlBachelierBlackFormula(IF(O405&lt;$C$4,"Put","Call"),O405-$C$14,$C$4,$C$12*SQRT($C$7)))/$C$14^2,"")</f>
        <v>1.9093592030863851E-12</v>
      </c>
      <c r="V405" s="61">
        <f>IFERROR(_xll.qlBachelierBlackFormulaImpliedVol(IF(O405&lt;$C$4,"Put","Call"),O405,$C$4,$C$7,P405),"")</f>
        <v>8.7473146116402358E-3</v>
      </c>
      <c r="W405" s="61">
        <f>IFERROR(_xll.qlBachelierBlackFormulaImpliedVol(IF(O405&lt;$C$4,"Put","Call"),O405,$C$4,$C$7,Q405),"")</f>
        <v>6.2530777459316256E-3</v>
      </c>
      <c r="X405" s="61">
        <f>IFERROR(_xll.qlBachelierBlackFormulaImpliedVol(IF(O405&lt;$C$4,"Put","Call"),O405,$C$4,$C$7,R405),"")</f>
        <v>3.2466853329885382E-3</v>
      </c>
      <c r="Y405" s="42"/>
    </row>
    <row r="406" spans="15:25">
      <c r="O406" s="37">
        <f t="shared" si="7"/>
        <v>3.009999999999987E-2</v>
      </c>
      <c r="P406" s="38">
        <f>IFERROR(_xll.qlBlackFormula(IF(O406&lt;$C$4,"Put","Call"),O406,$C$4,$C$9*SQRT($C$7)),"")</f>
        <v>5.3845691878511599E-6</v>
      </c>
      <c r="Q406" s="39">
        <f>IFERROR(_xll.qlBlackFormula(IF(O406&lt;$C$4,"Put","Call"),O406,$C$4,$C$10*SQRT($C$7),,$C$11),"")</f>
        <v>4.3362236571045046E-8</v>
      </c>
      <c r="R406" s="40">
        <f>IFERROR(_xll.qlBachelierBlackFormula(IF(O406&lt;$C$4,"Put","Call"),O406,$C$4,$C$12*SQRT($C$7)),"")</f>
        <v>2.1648670180450475E-19</v>
      </c>
      <c r="S406" s="41">
        <f>IFERROR((_xll.qlBlackFormula(IF(O406&lt;$C$4,"Put","Call"),O406+$C$14,$C$4,$C$9*SQRT($C$7))-
2*_xll.qlBlackFormula(IF(O406&lt;$C$4,"Put","Call"),O406,$C$4,$C$9*SQRT($C$7))+
_xll.qlBlackFormula(IF(O406&lt;$C$4,"Put","Call"),O406-$C$14,$C$4,$C$9*SQRT($C$7)))/$C$14^2,"")</f>
        <v>0.15249032505465498</v>
      </c>
      <c r="T406" s="42">
        <f>IFERROR((_xll.qlBlackFormula(IF(O406&lt;$C$4,"Put","Call"),O406+$C$14,$C$4,$C$10*SQRT($C$7),,$C$11)-
2*_xll.qlBlackFormula(IF(O406&lt;$C$4,"Put","Call"),O406,$C$4,$C$10*SQRT($C$7),,$C$11)+
_xll.qlBlackFormula(IF(O406&lt;$C$4,"Put","Call"),O406-$C$14,$C$4,$C$10*SQRT($C$7),,$C$11))/$C$14^2,"")</f>
        <v>6.6261534579131797E-3</v>
      </c>
      <c r="U406" s="43">
        <f>IFERROR((_xll.qlBachelierBlackFormula(IF(O406&lt;$C$4,"Put","Call"),O406+$C$14,$C$4,$C$12*SQRT($C$7))-
2*_xll.qlBachelierBlackFormula(IF(O406&lt;$C$4,"Put","Call"),O406,$C$4,$C$12*SQRT($C$7))+
_xll.qlBachelierBlackFormula(IF(O406&lt;$C$4,"Put","Call"),O406-$C$14,$C$4,$C$12*SQRT($C$7)))/$C$14^2,"")</f>
        <v>1.4793613726792037E-12</v>
      </c>
      <c r="V406" s="61">
        <f>IFERROR(_xll.qlBachelierBlackFormulaImpliedVol(IF(O406&lt;$C$4,"Put","Call"),O406,$C$4,$C$7,P406),"")</f>
        <v>8.7660361421085069E-3</v>
      </c>
      <c r="W406" s="61">
        <f>IFERROR(_xll.qlBachelierBlackFormulaImpliedVol(IF(O406&lt;$C$4,"Put","Call"),O406,$C$4,$C$7,Q406),"")</f>
        <v>6.2638261516102618E-3</v>
      </c>
      <c r="X406" s="61">
        <f>IFERROR(_xll.qlBachelierBlackFormulaImpliedVol(IF(O406&lt;$C$4,"Put","Call"),O406,$C$4,$C$7,R406),"")</f>
        <v>3.259672074320492E-3</v>
      </c>
      <c r="Y406" s="42"/>
    </row>
    <row r="407" spans="15:25">
      <c r="O407" s="37">
        <f t="shared" si="7"/>
        <v>3.0199999999999869E-2</v>
      </c>
      <c r="P407" s="38">
        <f>IFERROR(_xll.qlBlackFormula(IF(O407&lt;$C$4,"Put","Call"),O407,$C$4,$C$9*SQRT($C$7)),"")</f>
        <v>5.2995284667052527E-6</v>
      </c>
      <c r="Q407" s="39">
        <f>IFERROR(_xll.qlBlackFormula(IF(O407&lt;$C$4,"Put","Call"),O407,$C$4,$C$10*SQRT($C$7),,$C$11),"")</f>
        <v>4.171935698342947E-8</v>
      </c>
      <c r="R407" s="40">
        <f>IFERROR(_xll.qlBachelierBlackFormula(IF(O407&lt;$C$4,"Put","Call"),O407,$C$4,$C$12*SQRT($C$7)),"")</f>
        <v>1.6629050388568967E-19</v>
      </c>
      <c r="S407" s="41">
        <f>IFERROR((_xll.qlBlackFormula(IF(O407&lt;$C$4,"Put","Call"),O407+$C$14,$C$4,$C$9*SQRT($C$7))-
2*_xll.qlBlackFormula(IF(O407&lt;$C$4,"Put","Call"),O407,$C$4,$C$9*SQRT($C$7))+
_xll.qlBlackFormula(IF(O407&lt;$C$4,"Put","Call"),O407-$C$14,$C$4,$C$9*SQRT($C$7)))/$C$14^2,"")</f>
        <v>0.14952582493574576</v>
      </c>
      <c r="T407" s="42">
        <f>IFERROR((_xll.qlBlackFormula(IF(O407&lt;$C$4,"Put","Call"),O407+$C$14,$C$4,$C$10*SQRT($C$7),,$C$11)-
2*_xll.qlBlackFormula(IF(O407&lt;$C$4,"Put","Call"),O407,$C$4,$C$10*SQRT($C$7),,$C$11)+
_xll.qlBlackFormula(IF(O407&lt;$C$4,"Put","Call"),O407-$C$14,$C$4,$C$10*SQRT($C$7),,$C$11))/$C$14^2,"")</f>
        <v>6.3624266792911199E-3</v>
      </c>
      <c r="U407" s="43">
        <f>IFERROR((_xll.qlBachelierBlackFormula(IF(O407&lt;$C$4,"Put","Call"),O407+$C$14,$C$4,$C$12*SQRT($C$7))-
2*_xll.qlBachelierBlackFormula(IF(O407&lt;$C$4,"Put","Call"),O407,$C$4,$C$12*SQRT($C$7))+
_xll.qlBachelierBlackFormula(IF(O407&lt;$C$4,"Put","Call"),O407-$C$14,$C$4,$C$12*SQRT($C$7)))/$C$14^2,"")</f>
        <v>1.1450344204082493E-12</v>
      </c>
      <c r="V407" s="61">
        <f>IFERROR(_xll.qlBachelierBlackFormulaImpliedVol(IF(O407&lt;$C$4,"Put","Call"),O407,$C$4,$C$7,P407),"")</f>
        <v>8.7847423836041726E-3</v>
      </c>
      <c r="W407" s="61">
        <f>IFERROR(_xll.qlBachelierBlackFormulaImpliedVol(IF(O407&lt;$C$4,"Put","Call"),O407,$C$4,$C$7,Q407),"")</f>
        <v>6.274566302025936E-3</v>
      </c>
      <c r="X407" s="61">
        <f>IFERROR(_xll.qlBachelierBlackFormulaImpliedVol(IF(O407&lt;$C$4,"Put","Call"),O407,$C$4,$C$7,R407),"")</f>
        <v>3.2726588156524461E-3</v>
      </c>
      <c r="Y407" s="42"/>
    </row>
    <row r="408" spans="15:25">
      <c r="O408" s="37">
        <f t="shared" si="7"/>
        <v>3.0299999999999869E-2</v>
      </c>
      <c r="P408" s="38">
        <f>IFERROR(_xll.qlBlackFormula(IF(O408&lt;$C$4,"Put","Call"),O408,$C$4,$C$9*SQRT($C$7)),"")</f>
        <v>5.2159830331855607E-6</v>
      </c>
      <c r="Q408" s="39">
        <f>IFERROR(_xll.qlBlackFormula(IF(O408&lt;$C$4,"Put","Call"),O408,$C$4,$C$10*SQRT($C$7),,$C$11),"")</f>
        <v>4.0140123779366248E-8</v>
      </c>
      <c r="R408" s="40">
        <f>IFERROR(_xll.qlBachelierBlackFormula(IF(O408&lt;$C$4,"Put","Call"),O408,$C$4,$C$12*SQRT($C$7)),"")</f>
        <v>1.2760666680308062E-19</v>
      </c>
      <c r="S408" s="41">
        <f>IFERROR((_xll.qlBlackFormula(IF(O408&lt;$C$4,"Put","Call"),O408+$C$14,$C$4,$C$9*SQRT($C$7))-
2*_xll.qlBlackFormula(IF(O408&lt;$C$4,"Put","Call"),O408,$C$4,$C$9*SQRT($C$7))+
_xll.qlBlackFormula(IF(O408&lt;$C$4,"Put","Call"),O408-$C$14,$C$4,$C$9*SQRT($C$7)))/$C$14^2,"")</f>
        <v>0.14661805569551184</v>
      </c>
      <c r="T408" s="42">
        <f>IFERROR((_xll.qlBlackFormula(IF(O408&lt;$C$4,"Put","Call"),O408+$C$14,$C$4,$C$10*SQRT($C$7),,$C$11)-
2*_xll.qlBlackFormula(IF(O408&lt;$C$4,"Put","Call"),O408,$C$4,$C$10*SQRT($C$7),,$C$11)+
_xll.qlBlackFormula(IF(O408&lt;$C$4,"Put","Call"),O408-$C$14,$C$4,$C$10*SQRT($C$7),,$C$11))/$C$14^2,"")</f>
        <v>6.1110341826887396E-3</v>
      </c>
      <c r="U408" s="43">
        <f>IFERROR((_xll.qlBachelierBlackFormula(IF(O408&lt;$C$4,"Put","Call"),O408+$C$14,$C$4,$C$12*SQRT($C$7))-
2*_xll.qlBachelierBlackFormula(IF(O408&lt;$C$4,"Put","Call"),O408,$C$4,$C$12*SQRT($C$7))+
_xll.qlBachelierBlackFormula(IF(O408&lt;$C$4,"Put","Call"),O408-$C$14,$C$4,$C$12*SQRT($C$7)))/$C$14^2,"")</f>
        <v>8.8536111652468323E-13</v>
      </c>
      <c r="V408" s="61">
        <f>IFERROR(_xll.qlBachelierBlackFormulaImpliedVol(IF(O408&lt;$C$4,"Put","Call"),O408,$C$4,$C$7,P408),"")</f>
        <v>8.8034334075710857E-3</v>
      </c>
      <c r="W408" s="61">
        <f>IFERROR(_xll.qlBachelierBlackFormulaImpliedVol(IF(O408&lt;$C$4,"Put","Call"),O408,$C$4,$C$7,Q408),"")</f>
        <v>6.2852982308396503E-3</v>
      </c>
      <c r="X408" s="61">
        <f>IFERROR(_xll.qlBachelierBlackFormulaImpliedVol(IF(O408&lt;$C$4,"Put","Call"),O408,$C$4,$C$7,R408),"")</f>
        <v>3.2856455569844011E-3</v>
      </c>
      <c r="Y408" s="42"/>
    </row>
    <row r="409" spans="15:25">
      <c r="O409" s="37">
        <f t="shared" si="7"/>
        <v>3.0399999999999868E-2</v>
      </c>
      <c r="P409" s="38">
        <f>IFERROR(_xll.qlBlackFormula(IF(O409&lt;$C$4,"Put","Call"),O409,$C$4,$C$9*SQRT($C$7)),"")</f>
        <v>5.1339038488610069E-6</v>
      </c>
      <c r="Q409" s="39">
        <f>IFERROR(_xll.qlBlackFormula(IF(O409&lt;$C$4,"Put","Call"),O409,$C$4,$C$10*SQRT($C$7),,$C$11),"")</f>
        <v>3.8622019174329945E-8</v>
      </c>
      <c r="R409" s="40">
        <f>IFERROR(_xll.qlBachelierBlackFormula(IF(O409&lt;$C$4,"Put","Call"),O409,$C$4,$C$12*SQRT($C$7)),"")</f>
        <v>9.7824781331718804E-20</v>
      </c>
      <c r="S409" s="41">
        <f>IFERROR((_xll.qlBlackFormula(IF(O409&lt;$C$4,"Put","Call"),O409+$C$14,$C$4,$C$9*SQRT($C$7))-
2*_xll.qlBlackFormula(IF(O409&lt;$C$4,"Put","Call"),O409,$C$4,$C$9*SQRT($C$7))+
_xll.qlBlackFormula(IF(O409&lt;$C$4,"Put","Call"),O409-$C$14,$C$4,$C$9*SQRT($C$7)))/$C$14^2,"")</f>
        <v>0.14377929931168842</v>
      </c>
      <c r="T409" s="42">
        <f>IFERROR((_xll.qlBlackFormula(IF(O409&lt;$C$4,"Put","Call"),O409+$C$14,$C$4,$C$10*SQRT($C$7),,$C$11)-
2*_xll.qlBlackFormula(IF(O409&lt;$C$4,"Put","Call"),O409,$C$4,$C$10*SQRT($C$7),,$C$11)+
_xll.qlBlackFormula(IF(O409&lt;$C$4,"Put","Call"),O409-$C$14,$C$4,$C$10*SQRT($C$7),,$C$11))/$C$14^2,"")</f>
        <v>5.8706901720921084E-3</v>
      </c>
      <c r="U409" s="43">
        <f>IFERROR((_xll.qlBachelierBlackFormula(IF(O409&lt;$C$4,"Put","Call"),O409+$C$14,$C$4,$C$12*SQRT($C$7))-
2*_xll.qlBachelierBlackFormula(IF(O409&lt;$C$4,"Put","Call"),O409,$C$4,$C$12*SQRT($C$7))+
_xll.qlBachelierBlackFormula(IF(O409&lt;$C$4,"Put","Call"),O409-$C$14,$C$4,$C$12*SQRT($C$7)))/$C$14^2,"")</f>
        <v>6.8388010484477622E-13</v>
      </c>
      <c r="V409" s="61">
        <f>IFERROR(_xll.qlBachelierBlackFormulaImpliedVol(IF(O409&lt;$C$4,"Put","Call"),O409,$C$4,$C$7,P409),"")</f>
        <v>8.8221092848754287E-3</v>
      </c>
      <c r="W409" s="61">
        <f>IFERROR(_xll.qlBachelierBlackFormulaImpliedVol(IF(O409&lt;$C$4,"Put","Call"),O409,$C$4,$C$7,Q409),"")</f>
        <v>6.2960219715661857E-3</v>
      </c>
      <c r="X409" s="61">
        <f>IFERROR(_xll.qlBachelierBlackFormulaImpliedVol(IF(O409&lt;$C$4,"Put","Call"),O409,$C$4,$C$7,R409),"")</f>
        <v>3.2986322983163548E-3</v>
      </c>
      <c r="Y409" s="42"/>
    </row>
    <row r="410" spans="15:25">
      <c r="O410" s="37">
        <f t="shared" si="7"/>
        <v>3.0499999999999867E-2</v>
      </c>
      <c r="P410" s="38">
        <f>IFERROR(_xll.qlBlackFormula(IF(O410&lt;$C$4,"Put","Call"),O410,$C$4,$C$9*SQRT($C$7)),"")</f>
        <v>5.0532624936434873E-6</v>
      </c>
      <c r="Q410" s="39">
        <f>IFERROR(_xll.qlBlackFormula(IF(O410&lt;$C$4,"Put","Call"),O410,$C$4,$C$10*SQRT($C$7),,$C$11),"")</f>
        <v>3.7162626930377912E-8</v>
      </c>
      <c r="R410" s="40">
        <f>IFERROR(_xll.qlBachelierBlackFormula(IF(O410&lt;$C$4,"Put","Call"),O410,$C$4,$C$12*SQRT($C$7)),"")</f>
        <v>7.4919337653694505E-20</v>
      </c>
      <c r="S410" s="41">
        <f>IFERROR((_xll.qlBlackFormula(IF(O410&lt;$C$4,"Put","Call"),O410+$C$14,$C$4,$C$9*SQRT($C$7))-
2*_xll.qlBlackFormula(IF(O410&lt;$C$4,"Put","Call"),O410,$C$4,$C$9*SQRT($C$7))+
_xll.qlBlackFormula(IF(O410&lt;$C$4,"Put","Call"),O410-$C$14,$C$4,$C$9*SQRT($C$7)))/$C$14^2,"")</f>
        <v>0.14099599309272404</v>
      </c>
      <c r="T410" s="42">
        <f>IFERROR((_xll.qlBlackFormula(IF(O410&lt;$C$4,"Put","Call"),O410+$C$14,$C$4,$C$10*SQRT($C$7),,$C$11)-
2*_xll.qlBlackFormula(IF(O410&lt;$C$4,"Put","Call"),O410,$C$4,$C$10*SQRT($C$7),,$C$11)+
_xll.qlBlackFormula(IF(O410&lt;$C$4,"Put","Call"),O410-$C$14,$C$4,$C$10*SQRT($C$7),,$C$11))/$C$14^2,"")</f>
        <v>5.6404601584021663E-3</v>
      </c>
      <c r="U410" s="43">
        <f>IFERROR((_xll.qlBachelierBlackFormula(IF(O410&lt;$C$4,"Put","Call"),O410+$C$14,$C$4,$C$12*SQRT($C$7))-
2*_xll.qlBachelierBlackFormula(IF(O410&lt;$C$4,"Put","Call"),O410,$C$4,$C$12*SQRT($C$7))+
_xll.qlBachelierBlackFormula(IF(O410&lt;$C$4,"Put","Call"),O410-$C$14,$C$4,$C$12*SQRT($C$7)))/$C$14^2,"")</f>
        <v>5.2771219339974125E-13</v>
      </c>
      <c r="V410" s="61">
        <f>IFERROR(_xll.qlBachelierBlackFormulaImpliedVol(IF(O410&lt;$C$4,"Put","Call"),O410,$C$4,$C$7,P410),"")</f>
        <v>8.8407700858148183E-3</v>
      </c>
      <c r="W410" s="61">
        <f>IFERROR(_xll.qlBachelierBlackFormulaImpliedVol(IF(O410&lt;$C$4,"Put","Call"),O410,$C$4,$C$7,Q410),"")</f>
        <v>6.3067375573750296E-3</v>
      </c>
      <c r="X410" s="61">
        <f>IFERROR(_xll.qlBachelierBlackFormulaImpliedVol(IF(O410&lt;$C$4,"Put","Call"),O410,$C$4,$C$7,R410),"")</f>
        <v>3.311619039648309E-3</v>
      </c>
      <c r="Y410" s="42"/>
    </row>
    <row r="411" spans="15:25">
      <c r="O411" s="37">
        <f t="shared" si="7"/>
        <v>3.0599999999999867E-2</v>
      </c>
      <c r="P411" s="38">
        <f>IFERROR(_xll.qlBlackFormula(IF(O411&lt;$C$4,"Put","Call"),O411,$C$4,$C$9*SQRT($C$7)),"")</f>
        <v>4.9740311514263991E-6</v>
      </c>
      <c r="Q411" s="39">
        <f>IFERROR(_xll.qlBlackFormula(IF(O411&lt;$C$4,"Put","Call"),O411,$C$4,$C$10*SQRT($C$7),,$C$11),"")</f>
        <v>3.5759628195243977E-8</v>
      </c>
      <c r="R411" s="40">
        <f>IFERROR(_xll.qlBachelierBlackFormula(IF(O411&lt;$C$4,"Put","Call"),O411,$C$4,$C$12*SQRT($C$7)),"")</f>
        <v>5.7320294402962182E-20</v>
      </c>
      <c r="S411" s="41">
        <f>IFERROR((_xll.qlBlackFormula(IF(O411&lt;$C$4,"Put","Call"),O411+$C$14,$C$4,$C$9*SQRT($C$7))-
2*_xll.qlBlackFormula(IF(O411&lt;$C$4,"Put","Call"),O411,$C$4,$C$9*SQRT($C$7))+
_xll.qlBlackFormula(IF(O411&lt;$C$4,"Put","Call"),O411-$C$14,$C$4,$C$9*SQRT($C$7)))/$C$14^2,"")</f>
        <v>0.13827447284506419</v>
      </c>
      <c r="T411" s="42">
        <f>IFERROR((_xll.qlBlackFormula(IF(O411&lt;$C$4,"Put","Call"),O411+$C$14,$C$4,$C$10*SQRT($C$7),,$C$11)-
2*_xll.qlBlackFormula(IF(O411&lt;$C$4,"Put","Call"),O411,$C$4,$C$10*SQRT($C$7),,$C$11)+
_xll.qlBlackFormula(IF(O411&lt;$C$4,"Put","Call"),O411-$C$14,$C$4,$C$10*SQRT($C$7),,$C$11))/$C$14^2,"")</f>
        <v>5.4167147113190484E-3</v>
      </c>
      <c r="U411" s="43">
        <f>IFERROR((_xll.qlBachelierBlackFormula(IF(O411&lt;$C$4,"Put","Call"),O411+$C$14,$C$4,$C$12*SQRT($C$7))-
2*_xll.qlBachelierBlackFormula(IF(O411&lt;$C$4,"Put","Call"),O411,$C$4,$C$12*SQRT($C$7))+
_xll.qlBachelierBlackFormula(IF(O411&lt;$C$4,"Put","Call"),O411-$C$14,$C$4,$C$12*SQRT($C$7)))/$C$14^2,"")</f>
        <v>4.0679155093532535E-13</v>
      </c>
      <c r="V411" s="61">
        <f>IFERROR(_xll.qlBachelierBlackFormulaImpliedVol(IF(O411&lt;$C$4,"Put","Call"),O411,$C$4,$C$7,P411),"")</f>
        <v>8.8594158801232215E-3</v>
      </c>
      <c r="W411" s="61">
        <f>IFERROR(_xll.qlBachelierBlackFormulaImpliedVol(IF(O411&lt;$C$4,"Put","Call"),O411,$C$4,$C$7,Q411),"")</f>
        <v>6.3174450213139676E-3</v>
      </c>
      <c r="X411" s="61">
        <f>IFERROR(_xll.qlBachelierBlackFormulaImpliedVol(IF(O411&lt;$C$4,"Put","Call"),O411,$C$4,$C$7,R411),"")</f>
        <v>3.3246057809802631E-3</v>
      </c>
      <c r="Y411" s="42"/>
    </row>
    <row r="412" spans="15:25">
      <c r="O412" s="37">
        <f t="shared" si="7"/>
        <v>3.0699999999999866E-2</v>
      </c>
      <c r="P412" s="38">
        <f>IFERROR(_xll.qlBlackFormula(IF(O412&lt;$C$4,"Put","Call"),O412,$C$4,$C$9*SQRT($C$7)),"")</f>
        <v>4.8961825961202226E-6</v>
      </c>
      <c r="Q412" s="39">
        <f>IFERROR(_xll.qlBlackFormula(IF(O412&lt;$C$4,"Put","Call"),O412,$C$4,$C$10*SQRT($C$7),,$C$11),"")</f>
        <v>3.4410797498686976E-8</v>
      </c>
      <c r="R412" s="40">
        <f>IFERROR(_xll.qlBachelierBlackFormula(IF(O412&lt;$C$4,"Put","Call"),O412,$C$4,$C$12*SQRT($C$7)),"")</f>
        <v>4.3811916703251826E-20</v>
      </c>
      <c r="S412" s="41">
        <f>IFERROR((_xll.qlBlackFormula(IF(O412&lt;$C$4,"Put","Call"),O412+$C$14,$C$4,$C$9*SQRT($C$7))-
2*_xll.qlBlackFormula(IF(O412&lt;$C$4,"Put","Call"),O412,$C$4,$C$9*SQRT($C$7))+
_xll.qlBlackFormula(IF(O412&lt;$C$4,"Put","Call"),O412-$C$14,$C$4,$C$9*SQRT($C$7)))/$C$14^2,"")</f>
        <v>0.1356085552281939</v>
      </c>
      <c r="T412" s="42">
        <f>IFERROR((_xll.qlBlackFormula(IF(O412&lt;$C$4,"Put","Call"),O412+$C$14,$C$4,$C$10*SQRT($C$7),,$C$11)-
2*_xll.qlBlackFormula(IF(O412&lt;$C$4,"Put","Call"),O412,$C$4,$C$10*SQRT($C$7),,$C$11)+
_xll.qlBlackFormula(IF(O412&lt;$C$4,"Put","Call"),O412-$C$14,$C$4,$C$10*SQRT($C$7),,$C$11))/$C$14^2,"")</f>
        <v>5.20327336709972E-3</v>
      </c>
      <c r="U412" s="43">
        <f>IFERROR((_xll.qlBachelierBlackFormula(IF(O412&lt;$C$4,"Put","Call"),O412+$C$14,$C$4,$C$12*SQRT($C$7))-
2*_xll.qlBachelierBlackFormula(IF(O412&lt;$C$4,"Put","Call"),O412,$C$4,$C$12*SQRT($C$7))+
_xll.qlBachelierBlackFormula(IF(O412&lt;$C$4,"Put","Call"),O412-$C$14,$C$4,$C$12*SQRT($C$7)))/$C$14^2,"")</f>
        <v>3.132595701508059E-13</v>
      </c>
      <c r="V412" s="61">
        <f>IFERROR(_xll.qlBachelierBlackFormulaImpliedVol(IF(O412&lt;$C$4,"Put","Call"),O412,$C$4,$C$7,P412),"")</f>
        <v>8.8780467369780711E-3</v>
      </c>
      <c r="W412" s="61">
        <f>IFERROR(_xll.qlBachelierBlackFormulaImpliedVol(IF(O412&lt;$C$4,"Put","Call"),O412,$C$4,$C$7,Q412),"")</f>
        <v>6.3281443960918832E-3</v>
      </c>
      <c r="X412" s="61">
        <f>IFERROR(_xll.qlBachelierBlackFormulaImpliedVol(IF(O412&lt;$C$4,"Put","Call"),O412,$C$4,$C$7,R412),"")</f>
        <v>3.3375925223122173E-3</v>
      </c>
      <c r="Y412" s="42"/>
    </row>
    <row r="413" spans="15:25">
      <c r="O413" s="37">
        <f t="shared" si="7"/>
        <v>3.0799999999999866E-2</v>
      </c>
      <c r="P413" s="38">
        <f>IFERROR(_xll.qlBlackFormula(IF(O413&lt;$C$4,"Put","Call"),O413,$C$4,$C$9*SQRT($C$7)),"")</f>
        <v>4.8196901780072196E-6</v>
      </c>
      <c r="Q413" s="39">
        <f>IFERROR(_xll.qlBlackFormula(IF(O413&lt;$C$4,"Put","Call"),O413,$C$4,$C$10*SQRT($C$7),,$C$11),"")</f>
        <v>3.3113998938540465E-8</v>
      </c>
      <c r="R413" s="40">
        <f>IFERROR(_xll.qlBachelierBlackFormula(IF(O413&lt;$C$4,"Put","Call"),O413,$C$4,$C$12*SQRT($C$7)),"")</f>
        <v>3.3453793453629994E-20</v>
      </c>
      <c r="S413" s="41">
        <f>IFERROR((_xll.qlBlackFormula(IF(O413&lt;$C$4,"Put","Call"),O413+$C$14,$C$4,$C$9*SQRT($C$7))-
2*_xll.qlBlackFormula(IF(O413&lt;$C$4,"Put","Call"),O413,$C$4,$C$9*SQRT($C$7))+
_xll.qlBlackFormula(IF(O413&lt;$C$4,"Put","Call"),O413-$C$14,$C$4,$C$9*SQRT($C$7)))/$C$14^2,"")</f>
        <v>0.13299909743945579</v>
      </c>
      <c r="T413" s="42">
        <f>IFERROR((_xll.qlBlackFormula(IF(O413&lt;$C$4,"Put","Call"),O413+$C$14,$C$4,$C$10*SQRT($C$7),,$C$11)-
2*_xll.qlBlackFormula(IF(O413&lt;$C$4,"Put","Call"),O413,$C$4,$C$10*SQRT($C$7),,$C$11)+
_xll.qlBlackFormula(IF(O413&lt;$C$4,"Put","Call"),O413-$C$14,$C$4,$C$10*SQRT($C$7),,$C$11))/$C$14^2,"")</f>
        <v>4.9966378796720201E-3</v>
      </c>
      <c r="U413" s="43">
        <f>IFERROR((_xll.qlBachelierBlackFormula(IF(O413&lt;$C$4,"Put","Call"),O413+$C$14,$C$4,$C$12*SQRT($C$7))-
2*_xll.qlBachelierBlackFormula(IF(O413&lt;$C$4,"Put","Call"),O413,$C$4,$C$12*SQRT($C$7))+
_xll.qlBachelierBlackFormula(IF(O413&lt;$C$4,"Put","Call"),O413-$C$14,$C$4,$C$12*SQRT($C$7)))/$C$14^2,"")</f>
        <v>2.409874354435675E-13</v>
      </c>
      <c r="V413" s="61">
        <f>IFERROR(_xll.qlBachelierBlackFormulaImpliedVol(IF(O413&lt;$C$4,"Put","Call"),O413,$C$4,$C$7,P413),"")</f>
        <v>8.8966627250067487E-3</v>
      </c>
      <c r="W413" s="61">
        <f>IFERROR(_xll.qlBachelierBlackFormulaImpliedVol(IF(O413&lt;$C$4,"Put","Call"),O413,$C$4,$C$7,Q413),"")</f>
        <v>6.3388357143605127E-3</v>
      </c>
      <c r="X413" s="61">
        <f>IFERROR(_xll.qlBachelierBlackFormulaImpliedVol(IF(O413&lt;$C$4,"Put","Call"),O413,$C$4,$C$7,R413),"")</f>
        <v>3.3505792636441714E-3</v>
      </c>
      <c r="Y413" s="42"/>
    </row>
    <row r="414" spans="15:25">
      <c r="O414" s="37">
        <f t="shared" si="7"/>
        <v>3.0899999999999865E-2</v>
      </c>
      <c r="P414" s="38">
        <f>IFERROR(_xll.qlBlackFormula(IF(O414&lt;$C$4,"Put","Call"),O414,$C$4,$C$9*SQRT($C$7)),"")</f>
        <v>4.7445278104607062E-6</v>
      </c>
      <c r="Q414" s="39">
        <f>IFERROR(_xll.qlBlackFormula(IF(O414&lt;$C$4,"Put","Call"),O414,$C$4,$C$10*SQRT($C$7),,$C$11),"")</f>
        <v>3.186718249138687E-8</v>
      </c>
      <c r="R414" s="40">
        <f>IFERROR(_xll.qlBachelierBlackFormula(IF(O414&lt;$C$4,"Put","Call"),O414,$C$4,$C$12*SQRT($C$7)),"")</f>
        <v>2.5519237035136331E-20</v>
      </c>
      <c r="S414" s="41">
        <f>IFERROR((_xll.qlBlackFormula(IF(O414&lt;$C$4,"Put","Call"),O414+$C$14,$C$4,$C$9*SQRT($C$7))-
2*_xll.qlBlackFormula(IF(O414&lt;$C$4,"Put","Call"),O414,$C$4,$C$9*SQRT($C$7))+
_xll.qlBlackFormula(IF(O414&lt;$C$4,"Put","Call"),O414-$C$14,$C$4,$C$9*SQRT($C$7)))/$C$14^2,"")</f>
        <v>0.13044684825597522</v>
      </c>
      <c r="T414" s="42">
        <f>IFERROR((_xll.qlBlackFormula(IF(O414&lt;$C$4,"Put","Call"),O414+$C$14,$C$4,$C$10*SQRT($C$7),,$C$11)-
2*_xll.qlBlackFormula(IF(O414&lt;$C$4,"Put","Call"),O414,$C$4,$C$10*SQRT($C$7),,$C$11)+
_xll.qlBlackFormula(IF(O414&lt;$C$4,"Put","Call"),O414-$C$14,$C$4,$C$10*SQRT($C$7),,$C$11))/$C$14^2,"")</f>
        <v>4.7999742464345501E-3</v>
      </c>
      <c r="U414" s="43">
        <f>IFERROR((_xll.qlBachelierBlackFormula(IF(O414&lt;$C$4,"Put","Call"),O414+$C$14,$C$4,$C$12*SQRT($C$7))-
2*_xll.qlBachelierBlackFormula(IF(O414&lt;$C$4,"Put","Call"),O414,$C$4,$C$12*SQRT($C$7))+
_xll.qlBachelierBlackFormula(IF(O414&lt;$C$4,"Put","Call"),O414-$C$14,$C$4,$C$12*SQRT($C$7)))/$C$14^2,"")</f>
        <v>1.8520047181419259E-13</v>
      </c>
      <c r="V414" s="61">
        <f>IFERROR(_xll.qlBachelierBlackFormulaImpliedVol(IF(O414&lt;$C$4,"Put","Call"),O414,$C$4,$C$7,P414),"")</f>
        <v>8.9152639122916412E-3</v>
      </c>
      <c r="W414" s="61">
        <f>IFERROR(_xll.qlBachelierBlackFormulaImpliedVol(IF(O414&lt;$C$4,"Put","Call"),O414,$C$4,$C$7,Q414),"")</f>
        <v>6.349519008331769E-3</v>
      </c>
      <c r="X414" s="61">
        <f>IFERROR(_xll.qlBachelierBlackFormulaImpliedVol(IF(O414&lt;$C$4,"Put","Call"),O414,$C$4,$C$7,R414),"")</f>
        <v>3.3635660049761251E-3</v>
      </c>
      <c r="Y414" s="42"/>
    </row>
    <row r="415" spans="15:25">
      <c r="O415" s="37">
        <f t="shared" si="7"/>
        <v>3.0999999999999864E-2</v>
      </c>
      <c r="P415" s="38">
        <f>IFERROR(_xll.qlBlackFormula(IF(O415&lt;$C$4,"Put","Call"),O415,$C$4,$C$9*SQRT($C$7)),"")</f>
        <v>4.6706699569859395E-6</v>
      </c>
      <c r="Q415" s="39">
        <f>IFERROR(_xll.qlBlackFormula(IF(O415&lt;$C$4,"Put","Call"),O415,$C$4,$C$10*SQRT($C$7),,$C$11),"")</f>
        <v>3.0668380514022257E-8</v>
      </c>
      <c r="R415" s="40">
        <f>IFERROR(_xll.qlBachelierBlackFormula(IF(O415&lt;$C$4,"Put","Call"),O415,$C$4,$C$12*SQRT($C$7)),"")</f>
        <v>1.9447291227163124E-20</v>
      </c>
      <c r="S415" s="41">
        <f>IFERROR((_xll.qlBlackFormula(IF(O415&lt;$C$4,"Put","Call"),O415+$C$14,$C$4,$C$9*SQRT($C$7))-
2*_xll.qlBlackFormula(IF(O415&lt;$C$4,"Put","Call"),O415,$C$4,$C$9*SQRT($C$7))+
_xll.qlBlackFormula(IF(O415&lt;$C$4,"Put","Call"),O415-$C$14,$C$4,$C$9*SQRT($C$7)))/$C$14^2,"")</f>
        <v>0.12794677969017731</v>
      </c>
      <c r="T415" s="42">
        <f>IFERROR((_xll.qlBlackFormula(IF(O415&lt;$C$4,"Put","Call"),O415+$C$14,$C$4,$C$10*SQRT($C$7),,$C$11)-
2*_xll.qlBlackFormula(IF(O415&lt;$C$4,"Put","Call"),O415,$C$4,$C$10*SQRT($C$7),,$C$11)+
_xll.qlBlackFormula(IF(O415&lt;$C$4,"Put","Call"),O415-$C$14,$C$4,$C$10*SQRT($C$7),,$C$11))/$C$14^2,"")</f>
        <v>4.6122585633727549E-3</v>
      </c>
      <c r="U415" s="43">
        <f>IFERROR((_xll.qlBachelierBlackFormula(IF(O415&lt;$C$4,"Put","Call"),O415+$C$14,$C$4,$C$12*SQRT($C$7))-
2*_xll.qlBachelierBlackFormula(IF(O415&lt;$C$4,"Put","Call"),O415,$C$4,$C$12*SQRT($C$7))+
_xll.qlBachelierBlackFormula(IF(O415&lt;$C$4,"Put","Call"),O415-$C$14,$C$4,$C$12*SQRT($C$7)))/$C$14^2,"")</f>
        <v>1.4218291232453194E-13</v>
      </c>
      <c r="V415" s="61">
        <f>IFERROR(_xll.qlBachelierBlackFormulaImpliedVol(IF(O415&lt;$C$4,"Put","Call"),O415,$C$4,$C$7,P415),"")</f>
        <v>8.9338503663772863E-3</v>
      </c>
      <c r="W415" s="61">
        <f>IFERROR(_xll.qlBachelierBlackFormulaImpliedVol(IF(O415&lt;$C$4,"Put","Call"),O415,$C$4,$C$7,Q415),"")</f>
        <v>6.3601943101385724E-3</v>
      </c>
      <c r="X415" s="61">
        <f>IFERROR(_xll.qlBachelierBlackFormulaImpliedVol(IF(O415&lt;$C$4,"Put","Call"),O415,$C$4,$C$7,R415),"")</f>
        <v>3.3765527463080793E-3</v>
      </c>
      <c r="Y415" s="42"/>
    </row>
    <row r="416" spans="15:25">
      <c r="O416" s="37">
        <f t="shared" si="7"/>
        <v>3.1099999999999864E-2</v>
      </c>
      <c r="P416" s="38">
        <f>IFERROR(_xll.qlBlackFormula(IF(O416&lt;$C$4,"Put","Call"),O416,$C$4,$C$9*SQRT($C$7)),"")</f>
        <v>4.5980916185762399E-6</v>
      </c>
      <c r="Q416" s="39">
        <f>IFERROR(_xll.qlBlackFormula(IF(O416&lt;$C$4,"Put","Call"),O416,$C$4,$C$10*SQRT($C$7),,$C$11),"")</f>
        <v>2.9515704364398335E-8</v>
      </c>
      <c r="R416" s="40">
        <f>IFERROR(_xll.qlBachelierBlackFormula(IF(O416&lt;$C$4,"Put","Call"),O416,$C$4,$C$12*SQRT($C$7)),"")</f>
        <v>1.4805381026058559E-20</v>
      </c>
      <c r="S416" s="41">
        <f>IFERROR((_xll.qlBlackFormula(IF(O416&lt;$C$4,"Put","Call"),O416+$C$14,$C$4,$C$9*SQRT($C$7))-
2*_xll.qlBlackFormula(IF(O416&lt;$C$4,"Put","Call"),O416,$C$4,$C$9*SQRT($C$7))+
_xll.qlBlackFormula(IF(O416&lt;$C$4,"Put","Call"),O416-$C$14,$C$4,$C$9*SQRT($C$7)))/$C$14^2,"")</f>
        <v>0.12549917295700055</v>
      </c>
      <c r="T416" s="42">
        <f>IFERROR((_xll.qlBlackFormula(IF(O416&lt;$C$4,"Put","Call"),O416+$C$14,$C$4,$C$10*SQRT($C$7),,$C$11)-
2*_xll.qlBlackFormula(IF(O416&lt;$C$4,"Put","Call"),O416,$C$4,$C$10*SQRT($C$7),,$C$11)+
_xll.qlBlackFormula(IF(O416&lt;$C$4,"Put","Call"),O416-$C$14,$C$4,$C$10*SQRT($C$7),,$C$11))/$C$14^2,"")</f>
        <v>4.4279769636373662E-3</v>
      </c>
      <c r="U416" s="43">
        <f>IFERROR((_xll.qlBachelierBlackFormula(IF(O416&lt;$C$4,"Put","Call"),O416+$C$14,$C$4,$C$12*SQRT($C$7))-
2*_xll.qlBachelierBlackFormula(IF(O416&lt;$C$4,"Put","Call"),O416,$C$4,$C$12*SQRT($C$7))+
_xll.qlBachelierBlackFormula(IF(O416&lt;$C$4,"Put","Call"),O416-$C$14,$C$4,$C$12*SQRT($C$7)))/$C$14^2,"")</f>
        <v>1.0904615422157727E-13</v>
      </c>
      <c r="V416" s="61">
        <f>IFERROR(_xll.qlBachelierBlackFormulaImpliedVol(IF(O416&lt;$C$4,"Put","Call"),O416,$C$4,$C$7,P416),"")</f>
        <v>8.9524221542764786E-3</v>
      </c>
      <c r="W416" s="61">
        <f>IFERROR(_xll.qlBachelierBlackFormulaImpliedVol(IF(O416&lt;$C$4,"Put","Call"),O416,$C$4,$C$7,Q416),"")</f>
        <v>6.3708616517086942E-3</v>
      </c>
      <c r="X416" s="61">
        <f>IFERROR(_xll.qlBachelierBlackFormulaImpliedVol(IF(O416&lt;$C$4,"Put","Call"),O416,$C$4,$C$7,R416),"")</f>
        <v>3.3895394876400343E-3</v>
      </c>
      <c r="Y416" s="42"/>
    </row>
    <row r="417" spans="15:25">
      <c r="O417" s="37">
        <f t="shared" si="7"/>
        <v>3.1199999999999863E-2</v>
      </c>
      <c r="P417" s="38">
        <f>IFERROR(_xll.qlBlackFormula(IF(O417&lt;$C$4,"Put","Call"),O417,$C$4,$C$9*SQRT($C$7)),"")</f>
        <v>4.5267683214012287E-6</v>
      </c>
      <c r="Q417" s="39">
        <f>IFERROR(_xll.qlBlackFormula(IF(O417&lt;$C$4,"Put","Call"),O417,$C$4,$C$10*SQRT($C$7),,$C$11),"")</f>
        <v>2.8407341170889973E-8</v>
      </c>
      <c r="R417" s="40">
        <f>IFERROR(_xll.qlBachelierBlackFormula(IF(O417&lt;$C$4,"Put","Call"),O417,$C$4,$C$12*SQRT($C$7)),"")</f>
        <v>1.1260275608578791E-20</v>
      </c>
      <c r="S417" s="41">
        <f>IFERROR((_xll.qlBlackFormula(IF(O417&lt;$C$4,"Put","Call"),O417+$C$14,$C$4,$C$9*SQRT($C$7))-
2*_xll.qlBlackFormula(IF(O417&lt;$C$4,"Put","Call"),O417,$C$4,$C$9*SQRT($C$7))+
_xll.qlBlackFormula(IF(O417&lt;$C$4,"Put","Call"),O417-$C$14,$C$4,$C$9*SQRT($C$7)))/$C$14^2,"")</f>
        <v>0.1231044719017093</v>
      </c>
      <c r="T417" s="42">
        <f>IFERROR((_xll.qlBlackFormula(IF(O417&lt;$C$4,"Put","Call"),O417+$C$14,$C$4,$C$10*SQRT($C$7),,$C$11)-
2*_xll.qlBlackFormula(IF(O417&lt;$C$4,"Put","Call"),O417,$C$4,$C$10*SQRT($C$7),,$C$11)+
_xll.qlBlackFormula(IF(O417&lt;$C$4,"Put","Call"),O417-$C$14,$C$4,$C$10*SQRT($C$7),,$C$11))/$C$14^2,"")</f>
        <v>4.2557083557368527E-3</v>
      </c>
      <c r="U417" s="43">
        <f>IFERROR((_xll.qlBachelierBlackFormula(IF(O417&lt;$C$4,"Put","Call"),O417+$C$14,$C$4,$C$12*SQRT($C$7))-
2*_xll.qlBachelierBlackFormula(IF(O417&lt;$C$4,"Put","Call"),O417,$C$4,$C$12*SQRT($C$7))+
_xll.qlBachelierBlackFormula(IF(O417&lt;$C$4,"Put","Call"),O417-$C$14,$C$4,$C$12*SQRT($C$7)))/$C$14^2,"")</f>
        <v>8.3547013936027296E-14</v>
      </c>
      <c r="V417" s="61">
        <f>IFERROR(_xll.qlBachelierBlackFormulaImpliedVol(IF(O417&lt;$C$4,"Put","Call"),O417,$C$4,$C$7,P417),"")</f>
        <v>8.9709793424749083E-3</v>
      </c>
      <c r="W417" s="61">
        <f>IFERROR(_xll.qlBachelierBlackFormulaImpliedVol(IF(O417&lt;$C$4,"Put","Call"),O417,$C$4,$C$7,Q417),"")</f>
        <v>6.381521064624418E-3</v>
      </c>
      <c r="X417" s="61">
        <f>IFERROR(_xll.qlBachelierBlackFormulaImpliedVol(IF(O417&lt;$C$4,"Put","Call"),O417,$C$4,$C$7,R417),"")</f>
        <v>3.402526228971988E-3</v>
      </c>
      <c r="Y417" s="42"/>
    </row>
    <row r="418" spans="15:25">
      <c r="O418" s="37">
        <f t="shared" si="7"/>
        <v>3.1299999999999863E-2</v>
      </c>
      <c r="P418" s="38">
        <f>IFERROR(_xll.qlBlackFormula(IF(O418&lt;$C$4,"Put","Call"),O418,$C$4,$C$9*SQRT($C$7)),"")</f>
        <v>4.4566761047855398E-6</v>
      </c>
      <c r="Q418" s="39">
        <f>IFERROR(_xll.qlBlackFormula(IF(O418&lt;$C$4,"Put","Call"),O418,$C$4,$C$10*SQRT($C$7),,$C$11),"")</f>
        <v>2.7341550739952514E-8</v>
      </c>
      <c r="R418" s="40">
        <f>IFERROR(_xll.qlBachelierBlackFormula(IF(O418&lt;$C$4,"Put","Call"),O418,$C$4,$C$12*SQRT($C$7)),"")</f>
        <v>8.5555382297692506E-21</v>
      </c>
      <c r="S418" s="41">
        <f>IFERROR((_xll.qlBlackFormula(IF(O418&lt;$C$4,"Put","Call"),O418+$C$14,$C$4,$C$9*SQRT($C$7))-
2*_xll.qlBlackFormula(IF(O418&lt;$C$4,"Put","Call"),O418,$C$4,$C$9*SQRT($C$7))+
_xll.qlBlackFormula(IF(O418&lt;$C$4,"Put","Call"),O418-$C$14,$C$4,$C$9*SQRT($C$7)))/$C$14^2,"")</f>
        <v>0.12075877000835081</v>
      </c>
      <c r="T418" s="42">
        <f>IFERROR((_xll.qlBlackFormula(IF(O418&lt;$C$4,"Put","Call"),O418+$C$14,$C$4,$C$10*SQRT($C$7),,$C$11)-
2*_xll.qlBlackFormula(IF(O418&lt;$C$4,"Put","Call"),O418,$C$4,$C$10*SQRT($C$7),,$C$11)+
_xll.qlBlackFormula(IF(O418&lt;$C$4,"Put","Call"),O418-$C$14,$C$4,$C$10*SQRT($C$7),,$C$11))/$C$14^2,"")</f>
        <v>4.0886476240334134E-3</v>
      </c>
      <c r="U418" s="43">
        <f>IFERROR((_xll.qlBachelierBlackFormula(IF(O418&lt;$C$4,"Put","Call"),O418+$C$14,$C$4,$C$12*SQRT($C$7))-
2*_xll.qlBachelierBlackFormula(IF(O418&lt;$C$4,"Put","Call"),O418,$C$4,$C$12*SQRT($C$7))+
_xll.qlBachelierBlackFormula(IF(O418&lt;$C$4,"Put","Call"),O418-$C$14,$C$4,$C$12*SQRT($C$7)))/$C$14^2,"")</f>
        <v>6.3945375726011739E-14</v>
      </c>
      <c r="V418" s="61">
        <f>IFERROR(_xll.qlBachelierBlackFormulaImpliedVol(IF(O418&lt;$C$4,"Put","Call"),O418,$C$4,$C$7,P418),"")</f>
        <v>8.9895219969387454E-3</v>
      </c>
      <c r="W418" s="61">
        <f>IFERROR(_xll.qlBachelierBlackFormulaImpliedVol(IF(O418&lt;$C$4,"Put","Call"),O418,$C$4,$C$7,Q418),"")</f>
        <v>6.3921725803687823E-3</v>
      </c>
      <c r="X418" s="61">
        <f>IFERROR(_xll.qlBachelierBlackFormulaImpliedVol(IF(O418&lt;$C$4,"Put","Call"),O418,$C$4,$C$7,R418),"")</f>
        <v>3.4155129703039421E-3</v>
      </c>
      <c r="Y418" s="42"/>
    </row>
    <row r="419" spans="15:25">
      <c r="O419" s="37">
        <f t="shared" si="7"/>
        <v>3.1399999999999866E-2</v>
      </c>
      <c r="P419" s="38">
        <f>IFERROR(_xll.qlBlackFormula(IF(O419&lt;$C$4,"Put","Call"),O419,$C$4,$C$9*SQRT($C$7)),"")</f>
        <v>4.3877915094951672E-6</v>
      </c>
      <c r="Q419" s="39">
        <f>IFERROR(_xll.qlBlackFormula(IF(O419&lt;$C$4,"Put","Call"),O419,$C$4,$C$10*SQRT($C$7),,$C$11),"")</f>
        <v>2.6316662590876421E-8</v>
      </c>
      <c r="R419" s="40">
        <f>IFERROR(_xll.qlBachelierBlackFormula(IF(O419&lt;$C$4,"Put","Call"),O419,$C$4,$C$12*SQRT($C$7)),"")</f>
        <v>6.4940325276819548E-21</v>
      </c>
      <c r="S419" s="41">
        <f>IFERROR((_xll.qlBlackFormula(IF(O419&lt;$C$4,"Put","Call"),O419+$C$14,$C$4,$C$9*SQRT($C$7))-
2*_xll.qlBlackFormula(IF(O419&lt;$C$4,"Put","Call"),O419,$C$4,$C$9*SQRT($C$7))+
_xll.qlBlackFormula(IF(O419&lt;$C$4,"Put","Call"),O419-$C$14,$C$4,$C$9*SQRT($C$7)))/$C$14^2,"")</f>
        <v>0.11845964815082773</v>
      </c>
      <c r="T419" s="42">
        <f>IFERROR((_xll.qlBlackFormula(IF(O419&lt;$C$4,"Put","Call"),O419+$C$14,$C$4,$C$10*SQRT($C$7),,$C$11)-
2*_xll.qlBlackFormula(IF(O419&lt;$C$4,"Put","Call"),O419,$C$4,$C$10*SQRT($C$7),,$C$11)+
_xll.qlBlackFormula(IF(O419&lt;$C$4,"Put","Call"),O419-$C$14,$C$4,$C$10*SQRT($C$7),,$C$11))/$C$14^2,"")</f>
        <v>3.925699025530657E-3</v>
      </c>
      <c r="U419" s="43">
        <f>IFERROR((_xll.qlBachelierBlackFormula(IF(O419&lt;$C$4,"Put","Call"),O419+$C$14,$C$4,$C$12*SQRT($C$7))-
2*_xll.qlBachelierBlackFormula(IF(O419&lt;$C$4,"Put","Call"),O419,$C$4,$C$12*SQRT($C$7))+
_xll.qlBachelierBlackFormula(IF(O419&lt;$C$4,"Put","Call"),O419-$C$14,$C$4,$C$12*SQRT($C$7)))/$C$14^2,"")</f>
        <v>4.8892808407652638E-14</v>
      </c>
      <c r="V419" s="61">
        <f>IFERROR(_xll.qlBachelierBlackFormulaImpliedVol(IF(O419&lt;$C$4,"Put","Call"),O419,$C$4,$C$7,P419),"")</f>
        <v>9.0080501831193548E-3</v>
      </c>
      <c r="W419" s="61">
        <f>IFERROR(_xll.qlBachelierBlackFormulaImpliedVol(IF(O419&lt;$C$4,"Put","Call"),O419,$C$4,$C$7,Q419),"")</f>
        <v>6.4028162301635735E-3</v>
      </c>
      <c r="X419" s="61">
        <f>IFERROR(_xll.qlBachelierBlackFormulaImpliedVol(IF(O419&lt;$C$4,"Put","Call"),O419,$C$4,$C$7,R419),"")</f>
        <v>3.4284997116358971E-3</v>
      </c>
      <c r="Y419" s="42"/>
    </row>
    <row r="420" spans="15:25">
      <c r="O420" s="37">
        <f t="shared" si="7"/>
        <v>3.1499999999999868E-2</v>
      </c>
      <c r="P420" s="38">
        <f>IFERROR(_xll.qlBlackFormula(IF(O420&lt;$C$4,"Put","Call"),O420,$C$4,$C$9*SQRT($C$7)),"")</f>
        <v>4.3200915663008429E-6</v>
      </c>
      <c r="Q420" s="39">
        <f>IFERROR(_xll.qlBlackFormula(IF(O420&lt;$C$4,"Put","Call"),O420,$C$4,$C$10*SQRT($C$7),,$C$11),"")</f>
        <v>2.5331073103375346E-8</v>
      </c>
      <c r="R420" s="40">
        <f>IFERROR(_xll.qlBachelierBlackFormula(IF(O420&lt;$C$4,"Put","Call"),O420,$C$4,$C$12*SQRT($C$7)),"")</f>
        <v>4.9243658978449751E-21</v>
      </c>
      <c r="S420" s="41">
        <f>IFERROR((_xll.qlBlackFormula(IF(O420&lt;$C$4,"Put","Call"),O420+$C$14,$C$4,$C$9*SQRT($C$7))-
2*_xll.qlBlackFormula(IF(O420&lt;$C$4,"Put","Call"),O420,$C$4,$C$9*SQRT($C$7))+
_xll.qlBlackFormula(IF(O420&lt;$C$4,"Put","Call"),O420-$C$14,$C$4,$C$9*SQRT($C$7)))/$C$14^2,"")</f>
        <v>0.11621367930481075</v>
      </c>
      <c r="T420" s="42">
        <f>IFERROR((_xll.qlBlackFormula(IF(O420&lt;$C$4,"Put","Call"),O420+$C$14,$C$4,$C$10*SQRT($C$7),,$C$11)-
2*_xll.qlBlackFormula(IF(O420&lt;$C$4,"Put","Call"),O420,$C$4,$C$10*SQRT($C$7),,$C$11)+
_xll.qlBlackFormula(IF(O420&lt;$C$4,"Put","Call"),O420-$C$14,$C$4,$C$10*SQRT($C$7),,$C$11))/$C$14^2,"")</f>
        <v>3.7737221506728034E-3</v>
      </c>
      <c r="U420" s="43">
        <f>IFERROR((_xll.qlBachelierBlackFormula(IF(O420&lt;$C$4,"Put","Call"),O420+$C$14,$C$4,$C$12*SQRT($C$7))-
2*_xll.qlBachelierBlackFormula(IF(O420&lt;$C$4,"Put","Call"),O420,$C$4,$C$12*SQRT($C$7))+
_xll.qlBachelierBlackFormula(IF(O420&lt;$C$4,"Put","Call"),O420-$C$14,$C$4,$C$12*SQRT($C$7)))/$C$14^2,"")</f>
        <v>3.7345515825286929E-14</v>
      </c>
      <c r="V420" s="61">
        <f>IFERROR(_xll.qlBachelierBlackFormulaImpliedVol(IF(O420&lt;$C$4,"Put","Call"),O420,$C$4,$C$7,P420),"")</f>
        <v>9.0265639659581308E-3</v>
      </c>
      <c r="W420" s="61">
        <f>IFERROR(_xll.qlBachelierBlackFormulaImpliedVol(IF(O420&lt;$C$4,"Put","Call"),O420,$C$4,$C$7,Q420),"")</f>
        <v>6.4134520450287663E-3</v>
      </c>
      <c r="X420" s="61">
        <f>IFERROR(_xll.qlBachelierBlackFormulaImpliedVol(IF(O420&lt;$C$4,"Put","Call"),O420,$C$4,$C$7,R420),"")</f>
        <v>3.4414864529678508E-3</v>
      </c>
      <c r="Y420" s="42"/>
    </row>
    <row r="421" spans="15:25">
      <c r="O421" s="37">
        <f t="shared" si="7"/>
        <v>3.1599999999999871E-2</v>
      </c>
      <c r="P421" s="38">
        <f>IFERROR(_xll.qlBlackFormula(IF(O421&lt;$C$4,"Put","Call"),O421,$C$4,$C$9*SQRT($C$7)),"")</f>
        <v>4.2535537848438196E-6</v>
      </c>
      <c r="Q421" s="39">
        <f>IFERROR(_xll.qlBlackFormula(IF(O421&lt;$C$4,"Put","Call"),O421,$C$4,$C$10*SQRT($C$7),,$C$11),"")</f>
        <v>2.438324280054208E-8</v>
      </c>
      <c r="R421" s="40">
        <f>IFERROR(_xll.qlBachelierBlackFormula(IF(O421&lt;$C$4,"Put","Call"),O421,$C$4,$C$12*SQRT($C$7)),"")</f>
        <v>3.7303950642886435E-21</v>
      </c>
      <c r="S421" s="41">
        <f>IFERROR((_xll.qlBlackFormula(IF(O421&lt;$C$4,"Put","Call"),O421+$C$14,$C$4,$C$9*SQRT($C$7))-
2*_xll.qlBlackFormula(IF(O421&lt;$C$4,"Put","Call"),O421,$C$4,$C$9*SQRT($C$7))+
_xll.qlBlackFormula(IF(O421&lt;$C$4,"Put","Call"),O421-$C$14,$C$4,$C$9*SQRT($C$7)))/$C$14^2,"")</f>
        <v>0.11401154949601186</v>
      </c>
      <c r="T421" s="42">
        <f>IFERROR((_xll.qlBlackFormula(IF(O421&lt;$C$4,"Put","Call"),O421+$C$14,$C$4,$C$10*SQRT($C$7),,$C$11)-
2*_xll.qlBlackFormula(IF(O421&lt;$C$4,"Put","Call"),O421,$C$4,$C$10*SQRT($C$7),,$C$11)+
_xll.qlBlackFormula(IF(O421&lt;$C$4,"Put","Call"),O421-$C$14,$C$4,$C$10*SQRT($C$7),,$C$11))/$C$14^2,"")</f>
        <v>3.6284645234877229E-3</v>
      </c>
      <c r="U421" s="43">
        <f>IFERROR((_xll.qlBachelierBlackFormula(IF(O421&lt;$C$4,"Put","Call"),O421+$C$14,$C$4,$C$12*SQRT($C$7))-
2*_xll.qlBachelierBlackFormula(IF(O421&lt;$C$4,"Put","Call"),O421,$C$4,$C$12*SQRT($C$7))+
_xll.qlBachelierBlackFormula(IF(O421&lt;$C$4,"Put","Call"),O421-$C$14,$C$4,$C$12*SQRT($C$7)))/$C$14^2,"")</f>
        <v>2.8496371746694026E-14</v>
      </c>
      <c r="V421" s="61">
        <f>IFERROR(_xll.qlBachelierBlackFormulaImpliedVol(IF(O421&lt;$C$4,"Put","Call"),O421,$C$4,$C$7,P421),"")</f>
        <v>9.0450634098944421E-3</v>
      </c>
      <c r="W421" s="61">
        <f>IFERROR(_xll.qlBachelierBlackFormulaImpliedVol(IF(O421&lt;$C$4,"Put","Call"),O421,$C$4,$C$7,Q421),"")</f>
        <v>6.4240800557564971E-3</v>
      </c>
      <c r="X421" s="61">
        <f>IFERROR(_xll.qlBachelierBlackFormulaImpliedVol(IF(O421&lt;$C$4,"Put","Call"),O421,$C$4,$C$7,R421),"")</f>
        <v>3.4544731942998059E-3</v>
      </c>
      <c r="Y421" s="42"/>
    </row>
    <row r="422" spans="15:25">
      <c r="O422" s="37">
        <f t="shared" si="7"/>
        <v>3.1699999999999874E-2</v>
      </c>
      <c r="P422" s="38">
        <f>IFERROR(_xll.qlBlackFormula(IF(O422&lt;$C$4,"Put","Call"),O422,$C$4,$C$9*SQRT($C$7)),"")</f>
        <v>4.1881561427538554E-6</v>
      </c>
      <c r="Q422" s="39">
        <f>IFERROR(_xll.qlBlackFormula(IF(O422&lt;$C$4,"Put","Call"),O422,$C$4,$C$10*SQRT($C$7),,$C$11),"")</f>
        <v>2.3471693732725095E-8</v>
      </c>
      <c r="R422" s="40">
        <f>IFERROR(_xll.qlBachelierBlackFormula(IF(O422&lt;$C$4,"Put","Call"),O422,$C$4,$C$12*SQRT($C$7)),"")</f>
        <v>2.8231108022061057E-21</v>
      </c>
      <c r="S422" s="41">
        <f>IFERROR((_xll.qlBlackFormula(IF(O422&lt;$C$4,"Put","Call"),O422+$C$14,$C$4,$C$9*SQRT($C$7))-
2*_xll.qlBlackFormula(IF(O422&lt;$C$4,"Put","Call"),O422,$C$4,$C$9*SQRT($C$7))+
_xll.qlBlackFormula(IF(O422&lt;$C$4,"Put","Call"),O422-$C$14,$C$4,$C$9*SQRT($C$7)))/$C$14^2,"")</f>
        <v>0.111854576707697</v>
      </c>
      <c r="T422" s="42">
        <f>IFERROR((_xll.qlBlackFormula(IF(O422&lt;$C$4,"Put","Call"),O422+$C$14,$C$4,$C$10*SQRT($C$7),,$C$11)-
2*_xll.qlBlackFormula(IF(O422&lt;$C$4,"Put","Call"),O422,$C$4,$C$10*SQRT($C$7),,$C$11)+
_xll.qlBlackFormula(IF(O422&lt;$C$4,"Put","Call"),O422-$C$14,$C$4,$C$10*SQRT($C$7),,$C$11))/$C$14^2,"")</f>
        <v>3.4866384914697653E-3</v>
      </c>
      <c r="U422" s="43">
        <f>IFERROR((_xll.qlBachelierBlackFormula(IF(O422&lt;$C$4,"Put","Call"),O422+$C$14,$C$4,$C$12*SQRT($C$7))-
2*_xll.qlBachelierBlackFormula(IF(O422&lt;$C$4,"Put","Call"),O422,$C$4,$C$12*SQRT($C$7))+
_xll.qlBachelierBlackFormula(IF(O422&lt;$C$4,"Put","Call"),O422-$C$14,$C$4,$C$12*SQRT($C$7)))/$C$14^2,"")</f>
        <v>2.1721924698817464E-14</v>
      </c>
      <c r="V422" s="61">
        <f>IFERROR(_xll.qlBachelierBlackFormulaImpliedVol(IF(O422&lt;$C$4,"Put","Call"),O422,$C$4,$C$7,P422),"")</f>
        <v>9.0635485788693928E-3</v>
      </c>
      <c r="W422" s="61">
        <f>IFERROR(_xll.qlBachelierBlackFormulaImpliedVol(IF(O422&lt;$C$4,"Put","Call"),O422,$C$4,$C$7,Q422),"")</f>
        <v>6.4347002929845947E-3</v>
      </c>
      <c r="X422" s="61">
        <f>IFERROR(_xll.qlBachelierBlackFormulaImpliedVol(IF(O422&lt;$C$4,"Put","Call"),O422,$C$4,$C$7,R422),"")</f>
        <v>3.4674599356317604E-3</v>
      </c>
      <c r="Y422" s="42"/>
    </row>
    <row r="423" spans="15:25">
      <c r="O423" s="37">
        <f t="shared" si="7"/>
        <v>3.1799999999999877E-2</v>
      </c>
      <c r="P423" s="38">
        <f>IFERROR(_xll.qlBlackFormula(IF(O423&lt;$C$4,"Put","Call"),O423,$C$4,$C$9*SQRT($C$7)),"")</f>
        <v>4.1238770750482338E-6</v>
      </c>
      <c r="Q423" s="39">
        <f>IFERROR(_xll.qlBlackFormula(IF(O423&lt;$C$4,"Put","Call"),O423,$C$4,$C$10*SQRT($C$7),,$C$11),"")</f>
        <v>2.2595006968996209E-8</v>
      </c>
      <c r="R423" s="40">
        <f>IFERROR(_xll.qlBachelierBlackFormula(IF(O423&lt;$C$4,"Put","Call"),O423,$C$4,$C$12*SQRT($C$7)),"")</f>
        <v>2.1343691233011413E-21</v>
      </c>
      <c r="S423" s="41">
        <f>IFERROR((_xll.qlBlackFormula(IF(O423&lt;$C$4,"Put","Call"),O423+$C$14,$C$4,$C$9*SQRT($C$7))-
2*_xll.qlBlackFormula(IF(O423&lt;$C$4,"Put","Call"),O423,$C$4,$C$9*SQRT($C$7))+
_xll.qlBlackFormula(IF(O423&lt;$C$4,"Put","Call"),O423-$C$14,$C$4,$C$9*SQRT($C$7)))/$C$14^2,"")</f>
        <v>0.10974451260400107</v>
      </c>
      <c r="T423" s="42">
        <f>IFERROR((_xll.qlBlackFormula(IF(O423&lt;$C$4,"Put","Call"),O423+$C$14,$C$4,$C$10*SQRT($C$7),,$C$11)-
2*_xll.qlBlackFormula(IF(O423&lt;$C$4,"Put","Call"),O423,$C$4,$C$10*SQRT($C$7),,$C$11)+
_xll.qlBlackFormula(IF(O423&lt;$C$4,"Put","Call"),O423-$C$14,$C$4,$C$10*SQRT($C$7),,$C$11))/$C$14^2,"")</f>
        <v>3.3471973336543612E-3</v>
      </c>
      <c r="U423" s="43">
        <f>IFERROR((_xll.qlBachelierBlackFormula(IF(O423&lt;$C$4,"Put","Call"),O423+$C$14,$C$4,$C$12*SQRT($C$7))-
2*_xll.qlBachelierBlackFormula(IF(O423&lt;$C$4,"Put","Call"),O423,$C$4,$C$12*SQRT($C$7))+
_xll.qlBachelierBlackFormula(IF(O423&lt;$C$4,"Put","Call"),O423-$C$14,$C$4,$C$12*SQRT($C$7)))/$C$14^2,"")</f>
        <v>1.6541110820507976E-14</v>
      </c>
      <c r="V423" s="61">
        <f>IFERROR(_xll.qlBachelierBlackFormulaImpliedVol(IF(O423&lt;$C$4,"Put","Call"),O423,$C$4,$C$7,P423),"")</f>
        <v>9.0820195363312938E-3</v>
      </c>
      <c r="W423" s="61">
        <f>IFERROR(_xll.qlBachelierBlackFormulaImpliedVol(IF(O423&lt;$C$4,"Put","Call"),O423,$C$4,$C$7,Q423),"")</f>
        <v>6.4453127871030537E-3</v>
      </c>
      <c r="X423" s="61">
        <f>IFERROR(_xll.qlBachelierBlackFormulaImpliedVol(IF(O423&lt;$C$4,"Put","Call"),O423,$C$4,$C$7,R423),"")</f>
        <v>3.4804466769637154E-3</v>
      </c>
      <c r="Y423" s="42"/>
    </row>
    <row r="424" spans="15:25">
      <c r="O424" s="37">
        <f t="shared" si="7"/>
        <v>3.189999999999988E-2</v>
      </c>
      <c r="P424" s="38">
        <f>IFERROR(_xll.qlBlackFormula(IF(O424&lt;$C$4,"Put","Call"),O424,$C$4,$C$9*SQRT($C$7)),"")</f>
        <v>4.0606954637895356E-6</v>
      </c>
      <c r="Q424" s="39">
        <f>IFERROR(_xll.qlBlackFormula(IF(O424&lt;$C$4,"Put","Call"),O424,$C$4,$C$10*SQRT($C$7),,$C$11),"")</f>
        <v>2.1751820198319031E-8</v>
      </c>
      <c r="R424" s="40">
        <f>IFERROR(_xll.qlBachelierBlackFormula(IF(O424&lt;$C$4,"Put","Call"),O424,$C$4,$C$12*SQRT($C$7)),"")</f>
        <v>1.6120539518911602E-21</v>
      </c>
      <c r="S424" s="41">
        <f>IFERROR((_xll.qlBlackFormula(IF(O424&lt;$C$4,"Put","Call"),O424+$C$14,$C$4,$C$9*SQRT($C$7))-
2*_xll.qlBlackFormula(IF(O424&lt;$C$4,"Put","Call"),O424,$C$4,$C$9*SQRT($C$7))+
_xll.qlBlackFormula(IF(O424&lt;$C$4,"Put","Call"),O424-$C$14,$C$4,$C$9*SQRT($C$7)))/$C$14^2,"")</f>
        <v>0.10767391345938362</v>
      </c>
      <c r="T424" s="42">
        <f>IFERROR((_xll.qlBlackFormula(IF(O424&lt;$C$4,"Put","Call"),O424+$C$14,$C$4,$C$10*SQRT($C$7),,$C$11)-
2*_xll.qlBlackFormula(IF(O424&lt;$C$4,"Put","Call"),O424,$C$4,$C$10*SQRT($C$7),,$C$11)+
_xll.qlBlackFormula(IF(O424&lt;$C$4,"Put","Call"),O424-$C$14,$C$4,$C$10*SQRT($C$7),,$C$11))/$C$14^2,"")</f>
        <v>3.2184631487482845E-3</v>
      </c>
      <c r="U424" s="43">
        <f>IFERROR((_xll.qlBachelierBlackFormula(IF(O424&lt;$C$4,"Put","Call"),O424+$C$14,$C$4,$C$12*SQRT($C$7))-
2*_xll.qlBachelierBlackFormula(IF(O424&lt;$C$4,"Put","Call"),O424,$C$4,$C$12*SQRT($C$7))+
_xll.qlBachelierBlackFormula(IF(O424&lt;$C$4,"Put","Call"),O424-$C$14,$C$4,$C$12*SQRT($C$7)))/$C$14^2,"")</f>
        <v>1.2583129567718217E-14</v>
      </c>
      <c r="V424" s="61">
        <f>IFERROR(_xll.qlBachelierBlackFormulaImpliedVol(IF(O424&lt;$C$4,"Put","Call"),O424,$C$4,$C$7,P424),"")</f>
        <v>9.1004763452416943E-3</v>
      </c>
      <c r="W424" s="61">
        <f>IFERROR(_xll.qlBachelierBlackFormulaImpliedVol(IF(O424&lt;$C$4,"Put","Call"),O424,$C$4,$C$7,Q424),"")</f>
        <v>6.4559175682449496E-3</v>
      </c>
      <c r="X424" s="61">
        <f>IFERROR(_xll.qlBachelierBlackFormulaImpliedVol(IF(O424&lt;$C$4,"Put","Call"),O424,$C$4,$C$7,R424),"")</f>
        <v>3.4934334182956692E-3</v>
      </c>
      <c r="Y424" s="42"/>
    </row>
    <row r="425" spans="15:25">
      <c r="O425" s="37">
        <f t="shared" si="7"/>
        <v>3.1999999999999883E-2</v>
      </c>
      <c r="P425" s="38">
        <f>IFERROR(_xll.qlBlackFormula(IF(O425&lt;$C$4,"Put","Call"),O425,$C$4,$C$9*SQRT($C$7)),"")</f>
        <v>3.9985906279859837E-6</v>
      </c>
      <c r="Q425" s="39">
        <f>IFERROR(_xll.qlBlackFormula(IF(O425&lt;$C$4,"Put","Call"),O425,$C$4,$C$10*SQRT($C$7),,$C$11),"")</f>
        <v>2.0940825431637722E-8</v>
      </c>
      <c r="R425" s="40">
        <f>IFERROR(_xll.qlBachelierBlackFormula(IF(O425&lt;$C$4,"Put","Call"),O425,$C$4,$C$12*SQRT($C$7)),"")</f>
        <v>1.2163483793760369E-21</v>
      </c>
      <c r="S425" s="41">
        <f>IFERROR((_xll.qlBlackFormula(IF(O425&lt;$C$4,"Put","Call"),O425+$C$14,$C$4,$C$9*SQRT($C$7))-
2*_xll.qlBlackFormula(IF(O425&lt;$C$4,"Put","Call"),O425,$C$4,$C$9*SQRT($C$7))+
_xll.qlBlackFormula(IF(O425&lt;$C$4,"Put","Call"),O425-$C$14,$C$4,$C$9*SQRT($C$7)))/$C$14^2,"")</f>
        <v>0.10565108697299132</v>
      </c>
      <c r="T425" s="42">
        <f>IFERROR((_xll.qlBlackFormula(IF(O425&lt;$C$4,"Put","Call"),O425+$C$14,$C$4,$C$10*SQRT($C$7),,$C$11)-
2*_xll.qlBlackFormula(IF(O425&lt;$C$4,"Put","Call"),O425,$C$4,$C$10*SQRT($C$7),,$C$11)+
_xll.qlBlackFormula(IF(O425&lt;$C$4,"Put","Call"),O425-$C$14,$C$4,$C$10*SQRT($C$7),,$C$11))/$C$14^2,"")</f>
        <v>3.0960309948488982E-3</v>
      </c>
      <c r="U425" s="43">
        <f>IFERROR((_xll.qlBachelierBlackFormula(IF(O425&lt;$C$4,"Put","Call"),O425+$C$14,$C$4,$C$12*SQRT($C$7))-
2*_xll.qlBachelierBlackFormula(IF(O425&lt;$C$4,"Put","Call"),O425,$C$4,$C$12*SQRT($C$7))+
_xll.qlBachelierBlackFormula(IF(O425&lt;$C$4,"Put","Call"),O425-$C$14,$C$4,$C$12*SQRT($C$7)))/$C$14^2,"")</f>
        <v>9.562474705849287E-15</v>
      </c>
      <c r="V425" s="61">
        <f>IFERROR(_xll.qlBachelierBlackFormulaImpliedVol(IF(O425&lt;$C$4,"Put","Call"),O425,$C$4,$C$7,P425),"")</f>
        <v>9.1189190680794566E-3</v>
      </c>
      <c r="W425" s="61">
        <f>IFERROR(_xll.qlBachelierBlackFormulaImpliedVol(IF(O425&lt;$C$4,"Put","Call"),O425,$C$4,$C$7,Q425),"")</f>
        <v>6.4665146664433931E-3</v>
      </c>
      <c r="X425" s="61">
        <f>IFERROR(_xll.qlBachelierBlackFormulaImpliedVol(IF(O425&lt;$C$4,"Put","Call"),O425,$C$4,$C$7,R425),"")</f>
        <v>3.5064201596276242E-3</v>
      </c>
      <c r="Y425" s="42"/>
    </row>
    <row r="426" spans="15:25">
      <c r="O426" s="37">
        <f t="shared" si="7"/>
        <v>3.2099999999999886E-2</v>
      </c>
      <c r="P426" s="38">
        <f>IFERROR(_xll.qlBlackFormula(IF(O426&lt;$C$4,"Put","Call"),O426,$C$4,$C$9*SQRT($C$7)),"")</f>
        <v>3.9375423137626258E-6</v>
      </c>
      <c r="Q426" s="39">
        <f>IFERROR(_xll.qlBlackFormula(IF(O426&lt;$C$4,"Put","Call"),O426,$C$4,$C$10*SQRT($C$7),,$C$11),"")</f>
        <v>2.0160766792610461E-8</v>
      </c>
      <c r="R426" s="40">
        <f>IFERROR(_xll.qlBachelierBlackFormula(IF(O426&lt;$C$4,"Put","Call"),O426,$C$4,$C$12*SQRT($C$7)),"")</f>
        <v>9.1686349808646882E-22</v>
      </c>
      <c r="S426" s="41">
        <f>IFERROR((_xll.qlBlackFormula(IF(O426&lt;$C$4,"Put","Call"),O426+$C$14,$C$4,$C$9*SQRT($C$7))-
2*_xll.qlBlackFormula(IF(O426&lt;$C$4,"Put","Call"),O426,$C$4,$C$9*SQRT($C$7))+
_xll.qlBlackFormula(IF(O426&lt;$C$4,"Put","Call"),O426-$C$14,$C$4,$C$9*SQRT($C$7)))/$C$14^2,"")</f>
        <v>0.10366436780707457</v>
      </c>
      <c r="T426" s="42">
        <f>IFERROR((_xll.qlBlackFormula(IF(O426&lt;$C$4,"Put","Call"),O426+$C$14,$C$4,$C$10*SQRT($C$7),,$C$11)-
2*_xll.qlBlackFormula(IF(O426&lt;$C$4,"Put","Call"),O426,$C$4,$C$10*SQRT($C$7),,$C$11)+
_xll.qlBlackFormula(IF(O426&lt;$C$4,"Put","Call"),O426-$C$14,$C$4,$C$10*SQRT($C$7),,$C$11))/$C$14^2,"")</f>
        <v>2.9710010967794014E-3</v>
      </c>
      <c r="U426" s="43">
        <f>IFERROR((_xll.qlBachelierBlackFormula(IF(O426&lt;$C$4,"Put","Call"),O426+$C$14,$C$4,$C$12*SQRT($C$7))-
2*_xll.qlBachelierBlackFormula(IF(O426&lt;$C$4,"Put","Call"),O426,$C$4,$C$12*SQRT($C$7))+
_xll.qlBachelierBlackFormula(IF(O426&lt;$C$4,"Put","Call"),O426-$C$14,$C$4,$C$12*SQRT($C$7)))/$C$14^2,"")</f>
        <v>7.2595476461522061E-15</v>
      </c>
      <c r="V426" s="61">
        <f>IFERROR(_xll.qlBachelierBlackFormulaImpliedVol(IF(O426&lt;$C$4,"Put","Call"),O426,$C$4,$C$7,P426),"")</f>
        <v>9.1373477668491195E-3</v>
      </c>
      <c r="W426" s="61">
        <f>IFERROR(_xll.qlBachelierBlackFormulaImpliedVol(IF(O426&lt;$C$4,"Put","Call"),O426,$C$4,$C$7,Q426),"")</f>
        <v>6.4771041115255761E-3</v>
      </c>
      <c r="X426" s="61">
        <f>IFERROR(_xll.qlBachelierBlackFormulaImpliedVol(IF(O426&lt;$C$4,"Put","Call"),O426,$C$4,$C$7,R426),"")</f>
        <v>3.5194069009595787E-3</v>
      </c>
      <c r="Y426" s="42"/>
    </row>
    <row r="427" spans="15:25">
      <c r="O427" s="37">
        <f t="shared" si="7"/>
        <v>3.2199999999999888E-2</v>
      </c>
      <c r="P427" s="38">
        <f>IFERROR(_xll.qlBlackFormula(IF(O427&lt;$C$4,"Put","Call"),O427,$C$4,$C$9*SQRT($C$7)),"")</f>
        <v>3.8775306847362983E-6</v>
      </c>
      <c r="Q427" s="39">
        <f>IFERROR(_xll.qlBlackFormula(IF(O427&lt;$C$4,"Put","Call"),O427,$C$4,$C$10*SQRT($C$7),,$C$11),"")</f>
        <v>1.9410438396439729E-8</v>
      </c>
      <c r="R427" s="40">
        <f>IFERROR(_xll.qlBachelierBlackFormula(IF(O427&lt;$C$4,"Put","Call"),O427,$C$4,$C$12*SQRT($C$7)),"")</f>
        <v>6.9042992842325036E-22</v>
      </c>
      <c r="S427" s="41">
        <f>IFERROR((_xll.qlBlackFormula(IF(O427&lt;$C$4,"Put","Call"),O427+$C$14,$C$4,$C$9*SQRT($C$7))-
2*_xll.qlBlackFormula(IF(O427&lt;$C$4,"Put","Call"),O427,$C$4,$C$9*SQRT($C$7))+
_xll.qlBlackFormula(IF(O427&lt;$C$4,"Put","Call"),O427-$C$14,$C$4,$C$9*SQRT($C$7)))/$C$14^2,"")</f>
        <v>0.10172173501199651</v>
      </c>
      <c r="T427" s="42">
        <f>IFERROR((_xll.qlBlackFormula(IF(O427&lt;$C$4,"Put","Call"),O427+$C$14,$C$4,$C$10*SQRT($C$7),,$C$11)-
2*_xll.qlBlackFormula(IF(O427&lt;$C$4,"Put","Call"),O427,$C$4,$C$10*SQRT($C$7),,$C$11)+
_xll.qlBlackFormula(IF(O427&lt;$C$4,"Put","Call"),O427-$C$14,$C$4,$C$10*SQRT($C$7),,$C$11))/$C$14^2,"")</f>
        <v>2.8545198257905096E-3</v>
      </c>
      <c r="U427" s="43">
        <f>IFERROR((_xll.qlBachelierBlackFormula(IF(O427&lt;$C$4,"Put","Call"),O427+$C$14,$C$4,$C$12*SQRT($C$7))-
2*_xll.qlBachelierBlackFormula(IF(O427&lt;$C$4,"Put","Call"),O427,$C$4,$C$12*SQRT($C$7))+
_xll.qlBachelierBlackFormula(IF(O427&lt;$C$4,"Put","Call"),O427-$C$14,$C$4,$C$12*SQRT($C$7)))/$C$14^2,"")</f>
        <v>5.505622800006217E-15</v>
      </c>
      <c r="V427" s="61">
        <f>IFERROR(_xll.qlBachelierBlackFormulaImpliedVol(IF(O427&lt;$C$4,"Put","Call"),O427,$C$4,$C$7,P427),"")</f>
        <v>9.1557625030811839E-3</v>
      </c>
      <c r="W427" s="61">
        <f>IFERROR(_xll.qlBachelierBlackFormulaImpliedVol(IF(O427&lt;$C$4,"Put","Call"),O427,$C$4,$C$7,Q427),"")</f>
        <v>6.4876859330302182E-3</v>
      </c>
      <c r="X427" s="61">
        <f>IFERROR(_xll.qlBachelierBlackFormulaImpliedVol(IF(O427&lt;$C$4,"Put","Call"),O427,$C$4,$C$7,R427),"")</f>
        <v>3.5323936422915338E-3</v>
      </c>
      <c r="Y427" s="42"/>
    </row>
    <row r="428" spans="15:25">
      <c r="O428" s="37">
        <f t="shared" si="7"/>
        <v>3.2299999999999891E-2</v>
      </c>
      <c r="P428" s="38">
        <f>IFERROR(_xll.qlBlackFormula(IF(O428&lt;$C$4,"Put","Call"),O428,$C$4,$C$9*SQRT($C$7)),"")</f>
        <v>3.8185363126619202E-6</v>
      </c>
      <c r="Q428" s="39">
        <f>IFERROR(_xll.qlBlackFormula(IF(O428&lt;$C$4,"Put","Call"),O428,$C$4,$C$10*SQRT($C$7),,$C$11),"")</f>
        <v>1.8688682330365244E-8</v>
      </c>
      <c r="R428" s="40">
        <f>IFERROR(_xll.qlBachelierBlackFormula(IF(O428&lt;$C$4,"Put","Call"),O428,$C$4,$C$12*SQRT($C$7)),"")</f>
        <v>5.1940088807515222E-22</v>
      </c>
      <c r="S428" s="41">
        <f>IFERROR((_xll.qlBlackFormula(IF(O428&lt;$C$4,"Put","Call"),O428+$C$14,$C$4,$C$9*SQRT($C$7))-
2*_xll.qlBlackFormula(IF(O428&lt;$C$4,"Put","Call"),O428,$C$4,$C$9*SQRT($C$7))+
_xll.qlBlackFormula(IF(O428&lt;$C$4,"Put","Call"),O428-$C$14,$C$4,$C$9*SQRT($C$7)))/$C$14^2,"")</f>
        <v>9.9818590892919445E-2</v>
      </c>
      <c r="T428" s="42">
        <f>IFERROR((_xll.qlBlackFormula(IF(O428&lt;$C$4,"Put","Call"),O428+$C$14,$C$4,$C$10*SQRT($C$7),,$C$11)-
2*_xll.qlBlackFormula(IF(O428&lt;$C$4,"Put","Call"),O428,$C$4,$C$10*SQRT($C$7),,$C$11)+
_xll.qlBlackFormula(IF(O428&lt;$C$4,"Put","Call"),O428-$C$14,$C$4,$C$10*SQRT($C$7),,$C$11))/$C$14^2,"")</f>
        <v>2.7465928464150569E-3</v>
      </c>
      <c r="U428" s="43">
        <f>IFERROR((_xll.qlBachelierBlackFormula(IF(O428&lt;$C$4,"Put","Call"),O428+$C$14,$C$4,$C$12*SQRT($C$7))-
2*_xll.qlBachelierBlackFormula(IF(O428&lt;$C$4,"Put","Call"),O428,$C$4,$C$12*SQRT($C$7))+
_xll.qlBachelierBlackFormula(IF(O428&lt;$C$4,"Put","Call"),O428-$C$14,$C$4,$C$12*SQRT($C$7)))/$C$14^2,"")</f>
        <v>4.1711996388745626E-15</v>
      </c>
      <c r="V428" s="61">
        <f>IFERROR(_xll.qlBachelierBlackFormulaImpliedVol(IF(O428&lt;$C$4,"Put","Call"),O428,$C$4,$C$7,P428),"")</f>
        <v>9.1741633378410337E-3</v>
      </c>
      <c r="W428" s="61">
        <f>IFERROR(_xll.qlBachelierBlackFormulaImpliedVol(IF(O428&lt;$C$4,"Put","Call"),O428,$C$4,$C$7,Q428),"")</f>
        <v>6.4982601603260377E-3</v>
      </c>
      <c r="X428" s="61">
        <f>IFERROR(_xll.qlBachelierBlackFormulaImpliedVol(IF(O428&lt;$C$4,"Put","Call"),O428,$C$4,$C$7,R428),"")</f>
        <v>3.5453803836234879E-3</v>
      </c>
      <c r="Y428" s="42"/>
    </row>
    <row r="429" spans="15:25">
      <c r="O429" s="37">
        <f t="shared" si="7"/>
        <v>3.2399999999999894E-2</v>
      </c>
      <c r="P429" s="38">
        <f>IFERROR(_xll.qlBlackFormula(IF(O429&lt;$C$4,"Put","Call"),O429,$C$4,$C$9*SQRT($C$7)),"")</f>
        <v>3.7605401682821956E-6</v>
      </c>
      <c r="Q429" s="39">
        <f>IFERROR(_xll.qlBlackFormula(IF(O429&lt;$C$4,"Put","Call"),O429,$C$4,$C$10*SQRT($C$7),,$C$11),"")</f>
        <v>1.7994386707365836E-8</v>
      </c>
      <c r="R429" s="40">
        <f>IFERROR(_xll.qlBachelierBlackFormula(IF(O429&lt;$C$4,"Put","Call"),O429,$C$4,$C$12*SQRT($C$7)),"")</f>
        <v>3.9034970121835895E-22</v>
      </c>
      <c r="S429" s="41">
        <f>IFERROR((_xll.qlBlackFormula(IF(O429&lt;$C$4,"Put","Call"),O429+$C$14,$C$4,$C$9*SQRT($C$7))-
2*_xll.qlBlackFormula(IF(O429&lt;$C$4,"Put","Call"),O429,$C$4,$C$9*SQRT($C$7))+
_xll.qlBlackFormula(IF(O429&lt;$C$4,"Put","Call"),O429-$C$14,$C$4,$C$9*SQRT($C$7)))/$C$14^2,"")</f>
        <v>9.7954013877996765E-2</v>
      </c>
      <c r="T429" s="42">
        <f>IFERROR((_xll.qlBlackFormula(IF(O429&lt;$C$4,"Put","Call"),O429+$C$14,$C$4,$C$10*SQRT($C$7),,$C$11)-
2*_xll.qlBlackFormula(IF(O429&lt;$C$4,"Put","Call"),O429,$C$4,$C$10*SQRT($C$7),,$C$11)+
_xll.qlBlackFormula(IF(O429&lt;$C$4,"Put","Call"),O429-$C$14,$C$4,$C$10*SQRT($C$7),,$C$11))/$C$14^2,"")</f>
        <v>2.6386699963252226E-3</v>
      </c>
      <c r="U429" s="43">
        <f>IFERROR((_xll.qlBachelierBlackFormula(IF(O429&lt;$C$4,"Put","Call"),O429+$C$14,$C$4,$C$12*SQRT($C$7))-
2*_xll.qlBachelierBlackFormula(IF(O429&lt;$C$4,"Put","Call"),O429,$C$4,$C$12*SQRT($C$7))+
_xll.qlBachelierBlackFormula(IF(O429&lt;$C$4,"Put","Call"),O429-$C$14,$C$4,$C$12*SQRT($C$7)))/$C$14^2,"")</f>
        <v>3.1569894625353786E-15</v>
      </c>
      <c r="V429" s="61">
        <f>IFERROR(_xll.qlBachelierBlackFormulaImpliedVol(IF(O429&lt;$C$4,"Put","Call"),O429,$C$4,$C$7,P429),"")</f>
        <v>9.1925503317325397E-3</v>
      </c>
      <c r="W429" s="61">
        <f>IFERROR(_xll.qlBachelierBlackFormulaImpliedVol(IF(O429&lt;$C$4,"Put","Call"),O429,$C$4,$C$7,Q429),"")</f>
        <v>6.508826822674136E-3</v>
      </c>
      <c r="X429" s="61">
        <f>IFERROR(_xll.qlBachelierBlackFormulaImpliedVol(IF(O429&lt;$C$4,"Put","Call"),O429,$C$4,$C$7,R429),"")</f>
        <v>3.5583671249554425E-3</v>
      </c>
      <c r="Y429" s="42"/>
    </row>
    <row r="430" spans="15:25">
      <c r="O430" s="37">
        <f t="shared" si="7"/>
        <v>3.2499999999999897E-2</v>
      </c>
      <c r="P430" s="38">
        <f>IFERROR(_xll.qlBlackFormula(IF(O430&lt;$C$4,"Put","Call"),O430,$C$4,$C$9*SQRT($C$7)),"")</f>
        <v>3.7035236124045047E-6</v>
      </c>
      <c r="Q430" s="39">
        <f>IFERROR(_xll.qlBlackFormula(IF(O430&lt;$C$4,"Put","Call"),O430,$C$4,$C$10*SQRT($C$7),,$C$11),"")</f>
        <v>1.7326483796737571E-8</v>
      </c>
      <c r="R430" s="40">
        <f>IFERROR(_xll.qlBachelierBlackFormula(IF(O430&lt;$C$4,"Put","Call"),O430,$C$4,$C$12*SQRT($C$7)),"")</f>
        <v>2.9307112431356806E-22</v>
      </c>
      <c r="S430" s="41">
        <f>IFERROR((_xll.qlBlackFormula(IF(O430&lt;$C$4,"Put","Call"),O430+$C$14,$C$4,$C$9*SQRT($C$7))-
2*_xll.qlBlackFormula(IF(O430&lt;$C$4,"Put","Call"),O430,$C$4,$C$9*SQRT($C$7))+
_xll.qlBlackFormula(IF(O430&lt;$C$4,"Put","Call"),O430-$C$14,$C$4,$C$9*SQRT($C$7)))/$C$14^2,"")</f>
        <v>9.6128762908749207E-2</v>
      </c>
      <c r="T430" s="42">
        <f>IFERROR((_xll.qlBlackFormula(IF(O430&lt;$C$4,"Put","Call"),O430+$C$14,$C$4,$C$10*SQRT($C$7),,$C$11)-
2*_xll.qlBlackFormula(IF(O430&lt;$C$4,"Put","Call"),O430,$C$4,$C$10*SQRT($C$7),,$C$11)+
_xll.qlBlackFormula(IF(O430&lt;$C$4,"Put","Call"),O430-$C$14,$C$4,$C$10*SQRT($C$7),,$C$11))/$C$14^2,"")</f>
        <v>2.5371832202059812E-3</v>
      </c>
      <c r="U430" s="43">
        <f>IFERROR((_xll.qlBachelierBlackFormula(IF(O430&lt;$C$4,"Put","Call"),O430+$C$14,$C$4,$C$12*SQRT($C$7))-
2*_xll.qlBachelierBlackFormula(IF(O430&lt;$C$4,"Put","Call"),O430,$C$4,$C$12*SQRT($C$7))+
_xll.qlBachelierBlackFormula(IF(O430&lt;$C$4,"Put","Call"),O430-$C$14,$C$4,$C$12*SQRT($C$7)))/$C$14^2,"")</f>
        <v>2.3869477727381499E-15</v>
      </c>
      <c r="V430" s="61">
        <f>IFERROR(_xll.qlBachelierBlackFormulaImpliedVol(IF(O430&lt;$C$4,"Put","Call"),O430,$C$4,$C$7,P430),"")</f>
        <v>9.2109235449036823E-3</v>
      </c>
      <c r="W430" s="61">
        <f>IFERROR(_xll.qlBachelierBlackFormulaImpliedVol(IF(O430&lt;$C$4,"Put","Call"),O430,$C$4,$C$7,Q430),"")</f>
        <v>6.5193859490448426E-3</v>
      </c>
      <c r="X430" s="61">
        <f>IFERROR(_xll.qlBachelierBlackFormulaImpliedVol(IF(O430&lt;$C$4,"Put","Call"),O430,$C$4,$C$7,R430),"")</f>
        <v>3.5713538662873971E-3</v>
      </c>
      <c r="Y430" s="42"/>
    </row>
    <row r="431" spans="15:25">
      <c r="O431" s="37">
        <f t="shared" si="7"/>
        <v>3.25999999999999E-2</v>
      </c>
      <c r="P431" s="38">
        <f>IFERROR(_xll.qlBlackFormula(IF(O431&lt;$C$4,"Put","Call"),O431,$C$4,$C$9*SQRT($C$7)),"")</f>
        <v>3.6474683871986597E-6</v>
      </c>
      <c r="Q431" s="39">
        <f>IFERROR(_xll.qlBlackFormula(IF(O431&lt;$C$4,"Put","Call"),O431,$C$4,$C$10*SQRT($C$7),,$C$11),"")</f>
        <v>1.6683948242280476E-8</v>
      </c>
      <c r="R431" s="40">
        <f>IFERROR(_xll.qlBachelierBlackFormula(IF(O431&lt;$C$4,"Put","Call"),O431,$C$4,$C$12*SQRT($C$7)),"")</f>
        <v>2.198164335657124E-22</v>
      </c>
      <c r="S431" s="41">
        <f>IFERROR((_xll.qlBlackFormula(IF(O431&lt;$C$4,"Put","Call"),O431+$C$14,$C$4,$C$9*SQRT($C$7))-
2*_xll.qlBlackFormula(IF(O431&lt;$C$4,"Put","Call"),O431,$C$4,$C$9*SQRT($C$7))+
_xll.qlBlackFormula(IF(O431&lt;$C$4,"Put","Call"),O431-$C$14,$C$4,$C$9*SQRT($C$7)))/$C$14^2,"")</f>
        <v>9.4343867977240634E-2</v>
      </c>
      <c r="T431" s="42">
        <f>IFERROR((_xll.qlBlackFormula(IF(O431&lt;$C$4,"Put","Call"),O431+$C$14,$C$4,$C$10*SQRT($C$7),,$C$11)-
2*_xll.qlBlackFormula(IF(O431&lt;$C$4,"Put","Call"),O431,$C$4,$C$10*SQRT($C$7),,$C$11)+
_xll.qlBlackFormula(IF(O431&lt;$C$4,"Put","Call"),O431-$C$14,$C$4,$C$10*SQRT($C$7),,$C$11))/$C$14^2,"")</f>
        <v>2.4405853329698348E-3</v>
      </c>
      <c r="U431" s="43">
        <f>IFERROR((_xll.qlBachelierBlackFormula(IF(O431&lt;$C$4,"Put","Call"),O431+$C$14,$C$4,$C$12*SQRT($C$7))-
2*_xll.qlBachelierBlackFormula(IF(O431&lt;$C$4,"Put","Call"),O431,$C$4,$C$12*SQRT($C$7))+
_xll.qlBachelierBlackFormula(IF(O431&lt;$C$4,"Put","Call"),O431-$C$14,$C$4,$C$12*SQRT($C$7)))/$C$14^2,"")</f>
        <v>1.8028946001734484E-15</v>
      </c>
      <c r="V431" s="61">
        <f>IFERROR(_xll.qlBachelierBlackFormulaImpliedVol(IF(O431&lt;$C$4,"Put","Call"),O431,$C$4,$C$7,P431),"")</f>
        <v>9.2292830370491723E-3</v>
      </c>
      <c r="W431" s="61">
        <f>IFERROR(_xll.qlBachelierBlackFormulaImpliedVol(IF(O431&lt;$C$4,"Put","Call"),O431,$C$4,$C$7,Q431),"")</f>
        <v>6.5299375682492458E-3</v>
      </c>
      <c r="X431" s="61">
        <f>IFERROR(_xll.qlBachelierBlackFormulaImpliedVol(IF(O431&lt;$C$4,"Put","Call"),O431,$C$4,$C$7,R431),"")</f>
        <v>3.5843406076193521E-3</v>
      </c>
      <c r="Y431" s="42"/>
    </row>
    <row r="432" spans="15:25">
      <c r="O432" s="37">
        <f t="shared" si="7"/>
        <v>3.2699999999999903E-2</v>
      </c>
      <c r="P432" s="38">
        <f>IFERROR(_xll.qlBlackFormula(IF(O432&lt;$C$4,"Put","Call"),O432,$C$4,$C$9*SQRT($C$7)),"")</f>
        <v>3.5923566077030657E-6</v>
      </c>
      <c r="Q432" s="39">
        <f>IFERROR(_xll.qlBlackFormula(IF(O432&lt;$C$4,"Put","Call"),O432,$C$4,$C$10*SQRT($C$7),,$C$11),"")</f>
        <v>1.6065795346798559E-8</v>
      </c>
      <c r="R432" s="40">
        <f>IFERROR(_xll.qlBachelierBlackFormula(IF(O432&lt;$C$4,"Put","Call"),O432,$C$4,$C$12*SQRT($C$7)),"")</f>
        <v>1.647081786422471E-22</v>
      </c>
      <c r="S432" s="41">
        <f>IFERROR((_xll.qlBlackFormula(IF(O432&lt;$C$4,"Put","Call"),O432+$C$14,$C$4,$C$9*SQRT($C$7))-
2*_xll.qlBlackFormula(IF(O432&lt;$C$4,"Put","Call"),O432,$C$4,$C$9*SQRT($C$7))+
_xll.qlBlackFormula(IF(O432&lt;$C$4,"Put","Call"),O432-$C$14,$C$4,$C$9*SQRT($C$7)))/$C$14^2,"")</f>
        <v>9.2588351536474628E-2</v>
      </c>
      <c r="T432" s="42">
        <f>IFERROR((_xll.qlBlackFormula(IF(O432&lt;$C$4,"Put","Call"),O432+$C$14,$C$4,$C$10*SQRT($C$7),,$C$11)-
2*_xll.qlBlackFormula(IF(O432&lt;$C$4,"Put","Call"),O432,$C$4,$C$10*SQRT($C$7),,$C$11)+
_xll.qlBlackFormula(IF(O432&lt;$C$4,"Put","Call"),O432-$C$14,$C$4,$C$10*SQRT($C$7),,$C$11))/$C$14^2,"")</f>
        <v>2.3452723682448932E-3</v>
      </c>
      <c r="U432" s="43">
        <f>IFERROR((_xll.qlBachelierBlackFormula(IF(O432&lt;$C$4,"Put","Call"),O432+$C$14,$C$4,$C$12*SQRT($C$7))-
2*_xll.qlBachelierBlackFormula(IF(O432&lt;$C$4,"Put","Call"),O432,$C$4,$C$12*SQRT($C$7))+
_xll.qlBachelierBlackFormula(IF(O432&lt;$C$4,"Put","Call"),O432-$C$14,$C$4,$C$12*SQRT($C$7)))/$C$14^2,"")</f>
        <v>1.3603647995182559E-15</v>
      </c>
      <c r="V432" s="61">
        <f>IFERROR(_xll.qlBachelierBlackFormulaImpliedVol(IF(O432&lt;$C$4,"Put","Call"),O432,$C$4,$C$7,P432),"")</f>
        <v>9.2476288674193559E-3</v>
      </c>
      <c r="W432" s="61">
        <f>IFERROR(_xll.qlBachelierBlackFormulaImpliedVol(IF(O432&lt;$C$4,"Put","Call"),O432,$C$4,$C$7,Q432),"")</f>
        <v>6.5404817089808496E-3</v>
      </c>
      <c r="X432" s="61">
        <f>IFERROR(_xll.qlBachelierBlackFormulaImpliedVol(IF(O432&lt;$C$4,"Put","Call"),O432,$C$4,$C$7,R432),"")</f>
        <v>3.5973273489513062E-3</v>
      </c>
      <c r="Y432" s="42"/>
    </row>
    <row r="433" spans="15:25">
      <c r="O433" s="37">
        <f t="shared" si="7"/>
        <v>3.2799999999999906E-2</v>
      </c>
      <c r="P433" s="38">
        <f>IFERROR(_xll.qlBlackFormula(IF(O433&lt;$C$4,"Put","Call"),O433,$C$4,$C$9*SQRT($C$7)),"")</f>
        <v>3.5381707535282423E-6</v>
      </c>
      <c r="Q433" s="39">
        <f>IFERROR(_xll.qlBlackFormula(IF(O433&lt;$C$4,"Put","Call"),O433,$C$4,$C$10*SQRT($C$7),,$C$11),"")</f>
        <v>1.5471079429863492E-8</v>
      </c>
      <c r="R433" s="40">
        <f>IFERROR(_xll.qlBachelierBlackFormula(IF(O433&lt;$C$4,"Put","Call"),O433,$C$4,$C$12*SQRT($C$7)),"")</f>
        <v>1.232928767726258E-22</v>
      </c>
      <c r="S433" s="41">
        <f>IFERROR((_xll.qlBlackFormula(IF(O433&lt;$C$4,"Put","Call"),O433+$C$14,$C$4,$C$9*SQRT($C$7))-
2*_xll.qlBlackFormula(IF(O433&lt;$C$4,"Put","Call"),O433,$C$4,$C$9*SQRT($C$7))+
_xll.qlBlackFormula(IF(O433&lt;$C$4,"Put","Call"),O433-$C$14,$C$4,$C$9*SQRT($C$7)))/$C$14^2,"")</f>
        <v>9.087407543584454E-2</v>
      </c>
      <c r="T433" s="42">
        <f>IFERROR((_xll.qlBlackFormula(IF(O433&lt;$C$4,"Put","Call"),O433+$C$14,$C$4,$C$10*SQRT($C$7),,$C$11)-
2*_xll.qlBlackFormula(IF(O433&lt;$C$4,"Put","Call"),O433,$C$4,$C$10*SQRT($C$7),,$C$11)+
_xll.qlBlackFormula(IF(O433&lt;$C$4,"Put","Call"),O433-$C$14,$C$4,$C$10*SQRT($C$7),,$C$11))/$C$14^2,"")</f>
        <v>2.2503074811217141E-3</v>
      </c>
      <c r="U433" s="43">
        <f>IFERROR((_xll.qlBachelierBlackFormula(IF(O433&lt;$C$4,"Put","Call"),O433+$C$14,$C$4,$C$12*SQRT($C$7))-
2*_xll.qlBachelierBlackFormula(IF(O433&lt;$C$4,"Put","Call"),O433,$C$4,$C$12*SQRT($C$7))+
_xll.qlBachelierBlackFormula(IF(O433&lt;$C$4,"Put","Call"),O433-$C$14,$C$4,$C$12*SQRT($C$7)))/$C$14^2,"")</f>
        <v>1.0254112254046669E-15</v>
      </c>
      <c r="V433" s="61">
        <f>IFERROR(_xll.qlBachelierBlackFormulaImpliedVol(IF(O433&lt;$C$4,"Put","Call"),O433,$C$4,$C$7,P433),"")</f>
        <v>9.2659610948197715E-3</v>
      </c>
      <c r="W433" s="61">
        <f>IFERROR(_xll.qlBachelierBlackFormulaImpliedVol(IF(O433&lt;$C$4,"Put","Call"),O433,$C$4,$C$7,Q433),"")</f>
        <v>6.5510183996512717E-3</v>
      </c>
      <c r="X433" s="61">
        <f>IFERROR(_xll.qlBachelierBlackFormulaImpliedVol(IF(O433&lt;$C$4,"Put","Call"),O433,$C$4,$C$7,R433),"")</f>
        <v>3.6103140902832608E-3</v>
      </c>
      <c r="Y433" s="42"/>
    </row>
    <row r="434" spans="15:25">
      <c r="O434" s="37">
        <f t="shared" si="7"/>
        <v>3.2899999999999908E-2</v>
      </c>
      <c r="P434" s="38">
        <f>IFERROR(_xll.qlBlackFormula(IF(O434&lt;$C$4,"Put","Call"),O434,$C$4,$C$9*SQRT($C$7)),"")</f>
        <v>3.4848936607747681E-6</v>
      </c>
      <c r="Q434" s="39">
        <f>IFERROR(_xll.qlBlackFormula(IF(O434&lt;$C$4,"Put","Call"),O434,$C$4,$C$10*SQRT($C$7),,$C$11),"")</f>
        <v>1.4898892244447606E-8</v>
      </c>
      <c r="R434" s="40">
        <f>IFERROR(_xll.qlBachelierBlackFormula(IF(O434&lt;$C$4,"Put","Call"),O434,$C$4,$C$12*SQRT($C$7)),"")</f>
        <v>9.2199497720226056E-23</v>
      </c>
      <c r="S434" s="41">
        <f>IFERROR((_xll.qlBlackFormula(IF(O434&lt;$C$4,"Put","Call"),O434+$C$14,$C$4,$C$9*SQRT($C$7))-
2*_xll.qlBlackFormula(IF(O434&lt;$C$4,"Put","Call"),O434,$C$4,$C$9*SQRT($C$7))+
_xll.qlBlackFormula(IF(O434&lt;$C$4,"Put","Call"),O434-$C$14,$C$4,$C$9*SQRT($C$7)))/$C$14^2,"")</f>
        <v>8.9189852064183034E-2</v>
      </c>
      <c r="T434" s="42">
        <f>IFERROR((_xll.qlBlackFormula(IF(O434&lt;$C$4,"Put","Call"),O434+$C$14,$C$4,$C$10*SQRT($C$7),,$C$11)-
2*_xll.qlBlackFormula(IF(O434&lt;$C$4,"Put","Call"),O434,$C$4,$C$10*SQRT($C$7),,$C$11)+
_xll.qlBlackFormula(IF(O434&lt;$C$4,"Put","Call"),O434-$C$14,$C$4,$C$10*SQRT($C$7),,$C$11))/$C$14^2,"")</f>
        <v>2.1638763185932242E-3</v>
      </c>
      <c r="U434" s="43">
        <f>IFERROR((_xll.qlBachelierBlackFormula(IF(O434&lt;$C$4,"Put","Call"),O434+$C$14,$C$4,$C$12*SQRT($C$7))-
2*_xll.qlBachelierBlackFormula(IF(O434&lt;$C$4,"Put","Call"),O434,$C$4,$C$12*SQRT($C$7))+
_xll.qlBachelierBlackFormula(IF(O434&lt;$C$4,"Put","Call"),O434-$C$14,$C$4,$C$12*SQRT($C$7)))/$C$14^2,"")</f>
        <v>7.7214413723954998E-16</v>
      </c>
      <c r="V434" s="61">
        <f>IFERROR(_xll.qlBachelierBlackFormulaImpliedVol(IF(O434&lt;$C$4,"Put","Call"),O434,$C$4,$C$7,P434),"")</f>
        <v>9.2842797776212151E-3</v>
      </c>
      <c r="W434" s="61">
        <f>IFERROR(_xll.qlBachelierBlackFormulaImpliedVol(IF(O434&lt;$C$4,"Put","Call"),O434,$C$4,$C$7,Q434),"")</f>
        <v>6.5615476684535061E-3</v>
      </c>
      <c r="X434" s="61">
        <f>IFERROR(_xll.qlBachelierBlackFormulaImpliedVol(IF(O434&lt;$C$4,"Put","Call"),O434,$C$4,$C$7,R434),"")</f>
        <v>3.6233008316152158E-3</v>
      </c>
      <c r="Y434" s="42"/>
    </row>
    <row r="435" spans="15:25">
      <c r="O435" s="37">
        <f t="shared" si="7"/>
        <v>3.2999999999999911E-2</v>
      </c>
      <c r="P435" s="38">
        <f>IFERROR(_xll.qlBlackFormula(IF(O435&lt;$C$4,"Put","Call"),O435,$C$4,$C$9*SQRT($C$7)),"")</f>
        <v>3.4325085141247332E-6</v>
      </c>
      <c r="Q435" s="39">
        <f>IFERROR(_xll.qlBlackFormula(IF(O435&lt;$C$4,"Put","Call"),O435,$C$4,$C$10*SQRT($C$7),,$C$11),"")</f>
        <v>1.434836147906675E-8</v>
      </c>
      <c r="R435" s="40">
        <f>IFERROR(_xll.qlBachelierBlackFormula(IF(O435&lt;$C$4,"Put","Call"),O435,$C$4,$C$12*SQRT($C$7)),"")</f>
        <v>6.8878995776523487E-23</v>
      </c>
      <c r="S435" s="41">
        <f>IFERROR((_xll.qlBlackFormula(IF(O435&lt;$C$4,"Put","Call"),O435+$C$14,$C$4,$C$9*SQRT($C$7))-
2*_xll.qlBlackFormula(IF(O435&lt;$C$4,"Put","Call"),O435,$C$4,$C$9*SQRT($C$7))+
_xll.qlBlackFormula(IF(O435&lt;$C$4,"Put","Call"),O435-$C$14,$C$4,$C$9*SQRT($C$7)))/$C$14^2,"")</f>
        <v>8.75441991848077E-2</v>
      </c>
      <c r="T435" s="42">
        <f>IFERROR((_xll.qlBlackFormula(IF(O435&lt;$C$4,"Put","Call"),O435+$C$14,$C$4,$C$10*SQRT($C$7),,$C$11)-
2*_xll.qlBlackFormula(IF(O435&lt;$C$4,"Put","Call"),O435,$C$4,$C$10*SQRT($C$7),,$C$11)+
_xll.qlBlackFormula(IF(O435&lt;$C$4,"Put","Call"),O435-$C$14,$C$4,$C$10*SQRT($C$7),,$C$11))/$C$14^2,"")</f>
        <v>2.0813869032941211E-3</v>
      </c>
      <c r="U435" s="43">
        <f>IFERROR((_xll.qlBachelierBlackFormula(IF(O435&lt;$C$4,"Put","Call"),O435+$C$14,$C$4,$C$12*SQRT($C$7))-
2*_xll.qlBachelierBlackFormula(IF(O435&lt;$C$4,"Put","Call"),O435,$C$4,$C$12*SQRT($C$7))+
_xll.qlBachelierBlackFormula(IF(O435&lt;$C$4,"Put","Call"),O435-$C$14,$C$4,$C$12*SQRT($C$7)))/$C$14^2,"")</f>
        <v>5.8083973663531638E-16</v>
      </c>
      <c r="V435" s="61">
        <f>IFERROR(_xll.qlBachelierBlackFormulaImpliedVol(IF(O435&lt;$C$4,"Put","Call"),O435,$C$4,$C$7,P435),"")</f>
        <v>9.3025849737592217E-3</v>
      </c>
      <c r="W435" s="61">
        <f>IFERROR(_xll.qlBachelierBlackFormulaImpliedVol(IF(O435&lt;$C$4,"Put","Call"),O435,$C$4,$C$7,Q435),"")</f>
        <v>6.5720695434797289E-3</v>
      </c>
      <c r="X435" s="61">
        <f>IFERROR(_xll.qlBachelierBlackFormulaImpliedVol(IF(O435&lt;$C$4,"Put","Call"),O435,$C$4,$C$7,R435),"")</f>
        <v>3.6362875729471704E-3</v>
      </c>
      <c r="Y435" s="42"/>
    </row>
    <row r="436" spans="15:25">
      <c r="O436" s="37">
        <f t="shared" si="7"/>
        <v>3.3099999999999914E-2</v>
      </c>
      <c r="P436" s="38">
        <f>IFERROR(_xll.qlBlackFormula(IF(O436&lt;$C$4,"Put","Call"),O436,$C$4,$C$9*SQRT($C$7)),"")</f>
        <v>3.3809988391480648E-6</v>
      </c>
      <c r="Q436" s="39">
        <f>IFERROR(_xll.qlBlackFormula(IF(O436&lt;$C$4,"Put","Call"),O436,$C$4,$C$10*SQRT($C$7),,$C$11),"")</f>
        <v>1.3818649303093849E-8</v>
      </c>
      <c r="R436" s="40">
        <f>IFERROR(_xll.qlBachelierBlackFormula(IF(O436&lt;$C$4,"Put","Call"),O436,$C$4,$C$12*SQRT($C$7)),"")</f>
        <v>5.140586553480821E-23</v>
      </c>
      <c r="S436" s="41">
        <f>IFERROR((_xll.qlBlackFormula(IF(O436&lt;$C$4,"Put","Call"),O436+$C$14,$C$4,$C$9*SQRT($C$7))-
2*_xll.qlBlackFormula(IF(O436&lt;$C$4,"Put","Call"),O436,$C$4,$C$9*SQRT($C$7))+
_xll.qlBlackFormula(IF(O436&lt;$C$4,"Put","Call"),O436-$C$14,$C$4,$C$9*SQRT($C$7)))/$C$14^2,"")</f>
        <v>8.5931577202243495E-2</v>
      </c>
      <c r="T436" s="42">
        <f>IFERROR((_xll.qlBlackFormula(IF(O436&lt;$C$4,"Put","Call"),O436+$C$14,$C$4,$C$10*SQRT($C$7),,$C$11)-
2*_xll.qlBlackFormula(IF(O436&lt;$C$4,"Put","Call"),O436,$C$4,$C$10*SQRT($C$7),,$C$11)+
_xll.qlBlackFormula(IF(O436&lt;$C$4,"Put","Call"),O436-$C$14,$C$4,$C$10*SQRT($C$7),,$C$11))/$C$14^2,"")</f>
        <v>1.9989200667170177E-3</v>
      </c>
      <c r="U436" s="43">
        <f>IFERROR((_xll.qlBachelierBlackFormula(IF(O436&lt;$C$4,"Put","Call"),O436+$C$14,$C$4,$C$12*SQRT($C$7))-
2*_xll.qlBachelierBlackFormula(IF(O436&lt;$C$4,"Put","Call"),O436,$C$4,$C$12*SQRT($C$7))+
_xll.qlBachelierBlackFormula(IF(O436&lt;$C$4,"Put","Call"),O436-$C$14,$C$4,$C$12*SQRT($C$7)))/$C$14^2,"")</f>
        <v>4.3648758515456483E-16</v>
      </c>
      <c r="V436" s="61">
        <f>IFERROR(_xll.qlBachelierBlackFormulaImpliedVol(IF(O436&lt;$C$4,"Put","Call"),O436,$C$4,$C$7,P436),"")</f>
        <v>9.3208767407425789E-3</v>
      </c>
      <c r="W436" s="61">
        <f>IFERROR(_xll.qlBachelierBlackFormulaImpliedVol(IF(O436&lt;$C$4,"Put","Call"),O436,$C$4,$C$7,Q436),"")</f>
        <v>6.5825840526823583E-3</v>
      </c>
      <c r="X436" s="61">
        <f>IFERROR(_xll.qlBachelierBlackFormulaImpliedVol(IF(O436&lt;$C$4,"Put","Call"),O436,$C$4,$C$7,R436),"")</f>
        <v>3.6492743142791245E-3</v>
      </c>
      <c r="Y436" s="42"/>
    </row>
    <row r="437" spans="15:25">
      <c r="O437" s="37">
        <f t="shared" si="7"/>
        <v>3.3199999999999917E-2</v>
      </c>
      <c r="P437" s="38">
        <f>IFERROR(_xll.qlBlackFormula(IF(O437&lt;$C$4,"Put","Call"),O437,$C$4,$C$9*SQRT($C$7)),"")</f>
        <v>3.3303484947713066E-6</v>
      </c>
      <c r="Q437" s="39">
        <f>IFERROR(_xll.qlBlackFormula(IF(O437&lt;$C$4,"Put","Call"),O437,$C$4,$C$10*SQRT($C$7),,$C$11),"")</f>
        <v>1.3308950968416323E-8</v>
      </c>
      <c r="R437" s="40">
        <f>IFERROR(_xll.qlBachelierBlackFormula(IF(O437&lt;$C$4,"Put","Call"),O437,$C$4,$C$12*SQRT($C$7)),"")</f>
        <v>3.8327112242624668E-23</v>
      </c>
      <c r="S437" s="41">
        <f>IFERROR((_xll.qlBlackFormula(IF(O437&lt;$C$4,"Put","Call"),O437+$C$14,$C$4,$C$9*SQRT($C$7))-
2*_xll.qlBlackFormula(IF(O437&lt;$C$4,"Put","Call"),O437,$C$4,$C$9*SQRT($C$7))+
_xll.qlBlackFormula(IF(O437&lt;$C$4,"Put","Call"),O437-$C$14,$C$4,$C$9*SQRT($C$7)))/$C$14^2,"")</f>
        <v>8.4349204460291635E-2</v>
      </c>
      <c r="T437" s="42">
        <f>IFERROR((_xll.qlBlackFormula(IF(O437&lt;$C$4,"Put","Call"),O437+$C$14,$C$4,$C$10*SQRT($C$7),,$C$11)-
2*_xll.qlBlackFormula(IF(O437&lt;$C$4,"Put","Call"),O437,$C$4,$C$10*SQRT($C$7),,$C$11)+
_xll.qlBlackFormula(IF(O437&lt;$C$4,"Put","Call"),O437-$C$14,$C$4,$C$10*SQRT($C$7),,$C$11))/$C$14^2,"")</f>
        <v>1.9231480197363351E-3</v>
      </c>
      <c r="U437" s="43">
        <f>IFERROR((_xll.qlBachelierBlackFormula(IF(O437&lt;$C$4,"Put","Call"),O437+$C$14,$C$4,$C$12*SQRT($C$7))-
2*_xll.qlBachelierBlackFormula(IF(O437&lt;$C$4,"Put","Call"),O437,$C$4,$C$12*SQRT($C$7))+
_xll.qlBachelierBlackFormula(IF(O437&lt;$C$4,"Put","Call"),O437-$C$14,$C$4,$C$12*SQRT($C$7)))/$C$14^2,"")</f>
        <v>3.2767635189838267E-16</v>
      </c>
      <c r="V437" s="61">
        <f>IFERROR(_xll.qlBachelierBlackFormulaImpliedVol(IF(O437&lt;$C$4,"Put","Call"),O437,$C$4,$C$7,P437),"")</f>
        <v>9.3391551356559275E-3</v>
      </c>
      <c r="W437" s="61">
        <f>IFERROR(_xll.qlBachelierBlackFormulaImpliedVol(IF(O437&lt;$C$4,"Put","Call"),O437,$C$4,$C$7,Q437),"")</f>
        <v>6.5930912236855429E-3</v>
      </c>
      <c r="X437" s="61">
        <f>IFERROR(_xll.qlBachelierBlackFormulaImpliedVol(IF(O437&lt;$C$4,"Put","Call"),O437,$C$4,$C$7,R437),"")</f>
        <v>3.6622610556110791E-3</v>
      </c>
      <c r="Y437" s="42"/>
    </row>
    <row r="438" spans="15:25">
      <c r="O438" s="37">
        <f t="shared" si="7"/>
        <v>3.329999999999992E-2</v>
      </c>
      <c r="P438" s="38">
        <f>IFERROR(_xll.qlBlackFormula(IF(O438&lt;$C$4,"Put","Call"),O438,$C$4,$C$9*SQRT($C$7)),"")</f>
        <v>3.280541665936245E-6</v>
      </c>
      <c r="Q438" s="39">
        <f>IFERROR(_xll.qlBlackFormula(IF(O438&lt;$C$4,"Put","Call"),O438,$C$4,$C$10*SQRT($C$7),,$C$11),"")</f>
        <v>1.2818493495437159E-8</v>
      </c>
      <c r="R438" s="40">
        <f>IFERROR(_xll.qlBachelierBlackFormula(IF(O438&lt;$C$4,"Put","Call"),O438,$C$4,$C$12*SQRT($C$7)),"")</f>
        <v>2.8547429632157777E-23</v>
      </c>
      <c r="S438" s="41">
        <f>IFERROR((_xll.qlBlackFormula(IF(O438&lt;$C$4,"Put","Call"),O438+$C$14,$C$4,$C$9*SQRT($C$7))-
2*_xll.qlBlackFormula(IF(O438&lt;$C$4,"Put","Call"),O438,$C$4,$C$9*SQRT($C$7))+
_xll.qlBlackFormula(IF(O438&lt;$C$4,"Put","Call"),O438-$C$14,$C$4,$C$9*SQRT($C$7)))/$C$14^2,"")</f>
        <v>8.2799096897366586E-2</v>
      </c>
      <c r="T438" s="42">
        <f>IFERROR((_xll.qlBlackFormula(IF(O438&lt;$C$4,"Put","Call"),O438+$C$14,$C$4,$C$10*SQRT($C$7),,$C$11)-
2*_xll.qlBlackFormula(IF(O438&lt;$C$4,"Put","Call"),O438,$C$4,$C$10*SQRT($C$7),,$C$11)+
_xll.qlBlackFormula(IF(O438&lt;$C$4,"Put","Call"),O438-$C$14,$C$4,$C$10*SQRT($C$7),,$C$11))/$C$14^2,"")</f>
        <v>1.8469764114325648E-3</v>
      </c>
      <c r="U438" s="43">
        <f>IFERROR((_xll.qlBachelierBlackFormula(IF(O438&lt;$C$4,"Put","Call"),O438+$C$14,$C$4,$C$12*SQRT($C$7))-
2*_xll.qlBachelierBlackFormula(IF(O438&lt;$C$4,"Put","Call"),O438,$C$4,$C$12*SQRT($C$7))+
_xll.qlBachelierBlackFormula(IF(O438&lt;$C$4,"Put","Call"),O438-$C$14,$C$4,$C$12*SQRT($C$7)))/$C$14^2,"")</f>
        <v>2.4574004725736667E-16</v>
      </c>
      <c r="V438" s="61">
        <f>IFERROR(_xll.qlBachelierBlackFormulaImpliedVol(IF(O438&lt;$C$4,"Put","Call"),O438,$C$4,$C$7,P438),"")</f>
        <v>9.3574202151644973E-3</v>
      </c>
      <c r="W438" s="61">
        <f>IFERROR(_xll.qlBachelierBlackFormulaImpliedVol(IF(O438&lt;$C$4,"Put","Call"),O438,$C$4,$C$7,Q438),"")</f>
        <v>6.603591084108967E-3</v>
      </c>
      <c r="X438" s="61">
        <f>IFERROR(_xll.qlBachelierBlackFormulaImpliedVol(IF(O438&lt;$C$4,"Put","Call"),O438,$C$4,$C$7,R438),"")</f>
        <v>3.6752477969430341E-3</v>
      </c>
      <c r="Y438" s="42"/>
    </row>
    <row r="439" spans="15:25">
      <c r="O439" s="37">
        <f t="shared" si="7"/>
        <v>3.3399999999999923E-2</v>
      </c>
      <c r="P439" s="38">
        <f>IFERROR(_xll.qlBlackFormula(IF(O439&lt;$C$4,"Put","Call"),O439,$C$4,$C$9*SQRT($C$7)),"")</f>
        <v>3.2315628564331706E-6</v>
      </c>
      <c r="Q439" s="39">
        <f>IFERROR(_xll.qlBlackFormula(IF(O439&lt;$C$4,"Put","Call"),O439,$C$4,$C$10*SQRT($C$7),,$C$11),"")</f>
        <v>1.2346534376850651E-8</v>
      </c>
      <c r="R439" s="40">
        <f>IFERROR(_xll.qlBachelierBlackFormula(IF(O439&lt;$C$4,"Put","Call"),O439,$C$4,$C$12*SQRT($C$7)),"")</f>
        <v>2.1241997362071297E-23</v>
      </c>
      <c r="S439" s="41">
        <f>IFERROR((_xll.qlBlackFormula(IF(O439&lt;$C$4,"Put","Call"),O439+$C$14,$C$4,$C$9*SQRT($C$7))-
2*_xll.qlBlackFormula(IF(O439&lt;$C$4,"Put","Call"),O439,$C$4,$C$9*SQRT($C$7))+
_xll.qlBlackFormula(IF(O439&lt;$C$4,"Put","Call"),O439-$C$14,$C$4,$C$9*SQRT($C$7)))/$C$14^2,"")</f>
        <v>8.127948929680627E-2</v>
      </c>
      <c r="T439" s="42">
        <f>IFERROR((_xll.qlBlackFormula(IF(O439&lt;$C$4,"Put","Call"),O439+$C$14,$C$4,$C$10*SQRT($C$7),,$C$11)-
2*_xll.qlBlackFormula(IF(O439&lt;$C$4,"Put","Call"),O439,$C$4,$C$10*SQRT($C$7),,$C$11)+
_xll.qlBlackFormula(IF(O439&lt;$C$4,"Put","Call"),O439-$C$14,$C$4,$C$10*SQRT($C$7),,$C$11))/$C$14^2,"")</f>
        <v>1.7798636352112222E-3</v>
      </c>
      <c r="U439" s="43">
        <f>IFERROR((_xll.qlBachelierBlackFormula(IF(O439&lt;$C$4,"Put","Call"),O439+$C$14,$C$4,$C$12*SQRT($C$7))-
2*_xll.qlBachelierBlackFormula(IF(O439&lt;$C$4,"Put","Call"),O439,$C$4,$C$12*SQRT($C$7))+
_xll.qlBachelierBlackFormula(IF(O439&lt;$C$4,"Put","Call"),O439-$C$14,$C$4,$C$12*SQRT($C$7)))/$C$14^2,"")</f>
        <v>1.8410450109087076E-16</v>
      </c>
      <c r="V439" s="61">
        <f>IFERROR(_xll.qlBachelierBlackFormulaImpliedVol(IF(O439&lt;$C$4,"Put","Call"),O439,$C$4,$C$7,P439),"")</f>
        <v>9.3756720355181594E-3</v>
      </c>
      <c r="W439" s="61">
        <f>IFERROR(_xll.qlBachelierBlackFormulaImpliedVol(IF(O439&lt;$C$4,"Put","Call"),O439,$C$4,$C$7,Q439),"")</f>
        <v>6.6140836612059552E-3</v>
      </c>
      <c r="X439" s="61">
        <f>IFERROR(_xll.qlBachelierBlackFormulaImpliedVol(IF(O439&lt;$C$4,"Put","Call"),O439,$C$4,$C$7,R439),"")</f>
        <v>3.6882345382749887E-3</v>
      </c>
      <c r="Y439" s="42"/>
    </row>
    <row r="440" spans="15:25">
      <c r="O440" s="37">
        <f t="shared" si="7"/>
        <v>3.3499999999999926E-2</v>
      </c>
      <c r="P440" s="38">
        <f>IFERROR(_xll.qlBlackFormula(IF(O440&lt;$C$4,"Put","Call"),O440,$C$4,$C$9*SQRT($C$7)),"")</f>
        <v>3.1833968819012616E-6</v>
      </c>
      <c r="Q440" s="39">
        <f>IFERROR(_xll.qlBlackFormula(IF(O440&lt;$C$4,"Put","Call"),O440,$C$4,$C$10*SQRT($C$7),,$C$11),"")</f>
        <v>1.1892360364890511E-8</v>
      </c>
      <c r="R440" s="40">
        <f>IFERROR(_xll.qlBachelierBlackFormula(IF(O440&lt;$C$4,"Put","Call"),O440,$C$4,$C$12*SQRT($C$7)),"")</f>
        <v>1.579032447864892E-23</v>
      </c>
      <c r="S440" s="41">
        <f>IFERROR((_xll.qlBlackFormula(IF(O440&lt;$C$4,"Put","Call"),O440+$C$14,$C$4,$C$9*SQRT($C$7))-
2*_xll.qlBlackFormula(IF(O440&lt;$C$4,"Put","Call"),O440,$C$4,$C$9*SQRT($C$7))+
_xll.qlBlackFormula(IF(O440&lt;$C$4,"Put","Call"),O440-$C$14,$C$4,$C$9*SQRT($C$7)))/$C$14^2,"")</f>
        <v>7.9791594609791155E-2</v>
      </c>
      <c r="T440" s="42">
        <f>IFERROR((_xll.qlBlackFormula(IF(O440&lt;$C$4,"Put","Call"),O440+$C$14,$C$4,$C$10*SQRT($C$7),,$C$11)-
2*_xll.qlBlackFormula(IF(O440&lt;$C$4,"Put","Call"),O440,$C$4,$C$10*SQRT($C$7),,$C$11)+
_xll.qlBlackFormula(IF(O440&lt;$C$4,"Put","Call"),O440-$C$14,$C$4,$C$10*SQRT($C$7),,$C$11))/$C$14^2,"")</f>
        <v>1.7099336803468707E-3</v>
      </c>
      <c r="U440" s="43">
        <f>IFERROR((_xll.qlBachelierBlackFormula(IF(O440&lt;$C$4,"Put","Call"),O440+$C$14,$C$4,$C$12*SQRT($C$7))-
2*_xll.qlBachelierBlackFormula(IF(O440&lt;$C$4,"Put","Call"),O440,$C$4,$C$12*SQRT($C$7))+
_xll.qlBachelierBlackFormula(IF(O440&lt;$C$4,"Put","Call"),O440-$C$14,$C$4,$C$12*SQRT($C$7)))/$C$14^2,"")</f>
        <v>1.3778771744259588E-16</v>
      </c>
      <c r="V440" s="61">
        <f>IFERROR(_xll.qlBachelierBlackFormulaImpliedVol(IF(O440&lt;$C$4,"Put","Call"),O440,$C$4,$C$7,P440),"")</f>
        <v>9.3939106525568056E-3</v>
      </c>
      <c r="W440" s="61">
        <f>IFERROR(_xll.qlBachelierBlackFormulaImpliedVol(IF(O440&lt;$C$4,"Put","Call"),O440,$C$4,$C$7,Q440),"")</f>
        <v>6.6245689822708974E-3</v>
      </c>
      <c r="X440" s="61">
        <f>IFERROR(_xll.qlBachelierBlackFormulaImpliedVol(IF(O440&lt;$C$4,"Put","Call"),O440,$C$4,$C$7,R440),"")</f>
        <v>3.7012212796069428E-3</v>
      </c>
      <c r="Y440" s="42"/>
    </row>
    <row r="441" spans="15:25">
      <c r="O441" s="37">
        <f t="shared" si="7"/>
        <v>3.3599999999999929E-2</v>
      </c>
      <c r="P441" s="38">
        <f>IFERROR(_xll.qlBlackFormula(IF(O441&lt;$C$4,"Put","Call"),O441,$C$4,$C$9*SQRT($C$7)),"")</f>
        <v>3.1360288629983545E-6</v>
      </c>
      <c r="Q441" s="39">
        <f>IFERROR(_xll.qlBlackFormula(IF(O441&lt;$C$4,"Put","Call"),O441,$C$4,$C$10*SQRT($C$7),,$C$11),"")</f>
        <v>1.1455286290207647E-8</v>
      </c>
      <c r="R441" s="40">
        <f>IFERROR(_xll.qlBachelierBlackFormula(IF(O441&lt;$C$4,"Put","Call"),O441,$C$4,$C$12*SQRT($C$7)),"")</f>
        <v>1.172611262460827E-23</v>
      </c>
      <c r="S441" s="41">
        <f>IFERROR((_xll.qlBlackFormula(IF(O441&lt;$C$4,"Put","Call"),O441+$C$14,$C$4,$C$9*SQRT($C$7))-
2*_xll.qlBlackFormula(IF(O441&lt;$C$4,"Put","Call"),O441,$C$4,$C$9*SQRT($C$7))+
_xll.qlBlackFormula(IF(O441&lt;$C$4,"Put","Call"),O441-$C$14,$C$4,$C$9*SQRT($C$7)))/$C$14^2,"")</f>
        <v>7.8333579857023383E-2</v>
      </c>
      <c r="T441" s="42">
        <f>IFERROR((_xll.qlBlackFormula(IF(O441&lt;$C$4,"Put","Call"),O441+$C$14,$C$4,$C$10*SQRT($C$7),,$C$11)-
2*_xll.qlBlackFormula(IF(O441&lt;$C$4,"Put","Call"),O441,$C$4,$C$10*SQRT($C$7),,$C$11)+
_xll.qlBlackFormula(IF(O441&lt;$C$4,"Put","Call"),O441-$C$14,$C$4,$C$10*SQRT($C$7),,$C$11))/$C$14^2,"")</f>
        <v>1.6430065631596544E-3</v>
      </c>
      <c r="U441" s="43">
        <f>IFERROR((_xll.qlBachelierBlackFormula(IF(O441&lt;$C$4,"Put","Call"),O441+$C$14,$C$4,$C$12*SQRT($C$7))-
2*_xll.qlBachelierBlackFormula(IF(O441&lt;$C$4,"Put","Call"),O441,$C$4,$C$12*SQRT($C$7))+
_xll.qlBachelierBlackFormula(IF(O441&lt;$C$4,"Put","Call"),O441-$C$14,$C$4,$C$12*SQRT($C$7)))/$C$14^2,"")</f>
        <v>1.0301826581612083E-16</v>
      </c>
      <c r="V441" s="61">
        <f>IFERROR(_xll.qlBachelierBlackFormulaImpliedVol(IF(O441&lt;$C$4,"Put","Call"),O441,$C$4,$C$7,P441),"")</f>
        <v>9.4121361217128149E-3</v>
      </c>
      <c r="W441" s="61">
        <f>IFERROR(_xll.qlBachelierBlackFormulaImpliedVol(IF(O441&lt;$C$4,"Put","Call"),O441,$C$4,$C$7,Q441),"")</f>
        <v>6.6350470741851925E-3</v>
      </c>
      <c r="X441" s="61">
        <f>IFERROR(_xll.qlBachelierBlackFormulaImpliedVol(IF(O441&lt;$C$4,"Put","Call"),O441,$C$4,$C$7,R441),"")</f>
        <v>3.7142080209388974E-3</v>
      </c>
      <c r="Y441" s="42"/>
    </row>
    <row r="442" spans="15:25">
      <c r="O442" s="37">
        <f t="shared" si="7"/>
        <v>3.3699999999999931E-2</v>
      </c>
      <c r="P442" s="38">
        <f>IFERROR(_xll.qlBlackFormula(IF(O442&lt;$C$4,"Put","Call"),O442,$C$4,$C$9*SQRT($C$7)),"")</f>
        <v>3.0894442187329822E-6</v>
      </c>
      <c r="Q442" s="39">
        <f>IFERROR(_xll.qlBlackFormula(IF(O442&lt;$C$4,"Put","Call"),O442,$C$4,$C$10*SQRT($C$7),,$C$11),"")</f>
        <v>1.1034653936348473E-8</v>
      </c>
      <c r="R442" s="40">
        <f>IFERROR(_xll.qlBachelierBlackFormula(IF(O442&lt;$C$4,"Put","Call"),O442,$C$4,$C$12*SQRT($C$7)),"")</f>
        <v>8.6993000217323751E-24</v>
      </c>
      <c r="S442" s="41">
        <f>IFERROR((_xll.qlBlackFormula(IF(O442&lt;$C$4,"Put","Call"),O442+$C$14,$C$4,$C$9*SQRT($C$7))-
2*_xll.qlBlackFormula(IF(O442&lt;$C$4,"Put","Call"),O442,$C$4,$C$9*SQRT($C$7))+
_xll.qlBlackFormula(IF(O442&lt;$C$4,"Put","Call"),O442-$C$14,$C$4,$C$9*SQRT($C$7)))/$C$14^2,"")</f>
        <v>7.6906041349697821E-2</v>
      </c>
      <c r="T442" s="42">
        <f>IFERROR((_xll.qlBlackFormula(IF(O442&lt;$C$4,"Put","Call"),O442+$C$14,$C$4,$C$10*SQRT($C$7),,$C$11)-
2*_xll.qlBlackFormula(IF(O442&lt;$C$4,"Put","Call"),O442,$C$4,$C$10*SQRT($C$7),,$C$11)+
_xll.qlBlackFormula(IF(O442&lt;$C$4,"Put","Call"),O442-$C$14,$C$4,$C$10*SQRT($C$7),,$C$11))/$C$14^2,"")</f>
        <v>1.5790159239121113E-3</v>
      </c>
      <c r="U442" s="43">
        <f>IFERROR((_xll.qlBachelierBlackFormula(IF(O442&lt;$C$4,"Put","Call"),O442+$C$14,$C$4,$C$12*SQRT($C$7))-
2*_xll.qlBachelierBlackFormula(IF(O442&lt;$C$4,"Put","Call"),O442,$C$4,$C$12*SQRT($C$7))+
_xll.qlBachelierBlackFormula(IF(O442&lt;$C$4,"Put","Call"),O442-$C$14,$C$4,$C$12*SQRT($C$7)))/$C$14^2,"")</f>
        <v>7.6944148745983432E-17</v>
      </c>
      <c r="V442" s="61">
        <f>IFERROR(_xll.qlBachelierBlackFormulaImpliedVol(IF(O442&lt;$C$4,"Put","Call"),O442,$C$4,$C$7,P442),"")</f>
        <v>9.430348498016548E-3</v>
      </c>
      <c r="W442" s="61">
        <f>IFERROR(_xll.qlBachelierBlackFormulaImpliedVol(IF(O442&lt;$C$4,"Put","Call"),O442,$C$4,$C$7,Q442),"")</f>
        <v>6.6455179638515334E-3</v>
      </c>
      <c r="X442" s="61">
        <f>IFERROR(_xll.qlBachelierBlackFormulaImpliedVol(IF(O442&lt;$C$4,"Put","Call"),O442,$C$4,$C$7,R442),"")</f>
        <v>3.7271947622708524E-3</v>
      </c>
      <c r="Y442" s="42"/>
    </row>
    <row r="443" spans="15:25">
      <c r="O443" s="37">
        <f t="shared" si="7"/>
        <v>3.3799999999999934E-2</v>
      </c>
      <c r="P443" s="38">
        <f>IFERROR(_xll.qlBlackFormula(IF(O443&lt;$C$4,"Put","Call"),O443,$C$4,$C$9*SQRT($C$7)),"")</f>
        <v>3.0436286599533769E-6</v>
      </c>
      <c r="Q443" s="39">
        <f>IFERROR(_xll.qlBlackFormula(IF(O443&lt;$C$4,"Put","Call"),O443,$C$4,$C$10*SQRT($C$7),,$C$11),"")</f>
        <v>1.0629830957454017E-8</v>
      </c>
      <c r="R443" s="40">
        <f>IFERROR(_xll.qlBachelierBlackFormula(IF(O443&lt;$C$4,"Put","Call"),O443,$C$4,$C$12*SQRT($C$7)),"")</f>
        <v>6.4473572863937965E-24</v>
      </c>
      <c r="S443" s="41">
        <f>IFERROR((_xll.qlBlackFormula(IF(O443&lt;$C$4,"Put","Call"),O443+$C$14,$C$4,$C$9*SQRT($C$7))-
2*_xll.qlBlackFormula(IF(O443&lt;$C$4,"Put","Call"),O443,$C$4,$C$9*SQRT($C$7))+
_xll.qlBlackFormula(IF(O443&lt;$C$4,"Put","Call"),O443-$C$14,$C$4,$C$9*SQRT($C$7)))/$C$14^2,"")</f>
        <v>7.5505167439551824E-2</v>
      </c>
      <c r="T443" s="42">
        <f>IFERROR((_xll.qlBlackFormula(IF(O443&lt;$C$4,"Put","Call"),O443+$C$14,$C$4,$C$10*SQRT($C$7),,$C$11)-
2*_xll.qlBlackFormula(IF(O443&lt;$C$4,"Put","Call"),O443,$C$4,$C$10*SQRT($C$7),,$C$11)+
_xll.qlBlackFormula(IF(O443&lt;$C$4,"Put","Call"),O443-$C$14,$C$4,$C$10*SQRT($C$7),,$C$11))/$C$14^2,"")</f>
        <v>1.5168161770128599E-3</v>
      </c>
      <c r="U443" s="43">
        <f>IFERROR((_xll.qlBachelierBlackFormula(IF(O443&lt;$C$4,"Put","Call"),O443+$C$14,$C$4,$C$12*SQRT($C$7))-
2*_xll.qlBachelierBlackFormula(IF(O443&lt;$C$4,"Put","Call"),O443,$C$4,$C$12*SQRT($C$7))+
_xll.qlBachelierBlackFormula(IF(O443&lt;$C$4,"Put","Call"),O443-$C$14,$C$4,$C$12*SQRT($C$7)))/$C$14^2,"")</f>
        <v>5.7410931658821442E-17</v>
      </c>
      <c r="V443" s="61">
        <f>IFERROR(_xll.qlBachelierBlackFormulaImpliedVol(IF(O443&lt;$C$4,"Put","Call"),O443,$C$4,$C$7,P443),"")</f>
        <v>9.4485478361008828E-3</v>
      </c>
      <c r="W443" s="61">
        <f>IFERROR(_xll.qlBachelierBlackFormulaImpliedVol(IF(O443&lt;$C$4,"Put","Call"),O443,$C$4,$C$7,Q443),"")</f>
        <v>6.6559816779444845E-3</v>
      </c>
      <c r="X443" s="61">
        <f>IFERROR(_xll.qlBachelierBlackFormulaImpliedVol(IF(O443&lt;$C$4,"Put","Call"),O443,$C$4,$C$7,R443),"")</f>
        <v>3.740181503602807E-3</v>
      </c>
      <c r="Y443" s="42"/>
    </row>
    <row r="444" spans="15:25">
      <c r="O444" s="37">
        <f t="shared" si="7"/>
        <v>3.3899999999999937E-2</v>
      </c>
      <c r="P444" s="38">
        <f>IFERROR(_xll.qlBlackFormula(IF(O444&lt;$C$4,"Put","Call"),O444,$C$4,$C$9*SQRT($C$7)),"")</f>
        <v>2.9985681829827365E-6</v>
      </c>
      <c r="Q444" s="39">
        <f>IFERROR(_xll.qlBlackFormula(IF(O444&lt;$C$4,"Put","Call"),O444,$C$4,$C$10*SQRT($C$7),,$C$11),"")</f>
        <v>1.0240209840684205E-8</v>
      </c>
      <c r="R444" s="40">
        <f>IFERROR(_xll.qlBachelierBlackFormula(IF(O444&lt;$C$4,"Put","Call"),O444,$C$4,$C$12*SQRT($C$7)),"")</f>
        <v>4.7736028805904726E-24</v>
      </c>
      <c r="S444" s="41">
        <f>IFERROR((_xll.qlBlackFormula(IF(O444&lt;$C$4,"Put","Call"),O444+$C$14,$C$4,$C$9*SQRT($C$7))-
2*_xll.qlBlackFormula(IF(O444&lt;$C$4,"Put","Call"),O444,$C$4,$C$9*SQRT($C$7))+
_xll.qlBlackFormula(IF(O444&lt;$C$4,"Put","Call"),O444-$C$14,$C$4,$C$9*SQRT($C$7)))/$C$14^2,"")</f>
        <v>7.4135271218352811E-2</v>
      </c>
      <c r="T444" s="42">
        <f>IFERROR((_xll.qlBlackFormula(IF(O444&lt;$C$4,"Put","Call"),O444+$C$14,$C$4,$C$10*SQRT($C$7),,$C$11)-
2*_xll.qlBlackFormula(IF(O444&lt;$C$4,"Put","Call"),O444,$C$4,$C$10*SQRT($C$7),,$C$11)+
_xll.qlBlackFormula(IF(O444&lt;$C$4,"Put","Call"),O444-$C$14,$C$4,$C$10*SQRT($C$7),,$C$11))/$C$14^2,"")</f>
        <v>1.4624479643950237E-3</v>
      </c>
      <c r="U444" s="43">
        <f>IFERROR((_xll.qlBachelierBlackFormula(IF(O444&lt;$C$4,"Put","Call"),O444+$C$14,$C$4,$C$12*SQRT($C$7))-
2*_xll.qlBachelierBlackFormula(IF(O444&lt;$C$4,"Put","Call"),O444,$C$4,$C$12*SQRT($C$7))+
_xll.qlBachelierBlackFormula(IF(O444&lt;$C$4,"Put","Call"),O444-$C$14,$C$4,$C$12*SQRT($C$7)))/$C$14^2,"")</f>
        <v>4.2792850525173608E-17</v>
      </c>
      <c r="V444" s="61">
        <f>IFERROR(_xll.qlBachelierBlackFormulaImpliedVol(IF(O444&lt;$C$4,"Put","Call"),O444,$C$4,$C$7,P444),"")</f>
        <v>9.4667341902031996E-3</v>
      </c>
      <c r="W444" s="61">
        <f>IFERROR(_xll.qlBachelierBlackFormulaImpliedVol(IF(O444&lt;$C$4,"Put","Call"),O444,$C$4,$C$7,Q444),"")</f>
        <v>6.6664382428605696E-3</v>
      </c>
      <c r="X444" s="61">
        <f>IFERROR(_xll.qlBachelierBlackFormulaImpliedVol(IF(O444&lt;$C$4,"Put","Call"),O444,$C$4,$C$7,R444),"")</f>
        <v>3.7531682449347611E-3</v>
      </c>
      <c r="Y444" s="42"/>
    </row>
    <row r="445" spans="15:25">
      <c r="O445" s="37">
        <f t="shared" si="7"/>
        <v>3.399999999999994E-2</v>
      </c>
      <c r="P445" s="38">
        <f>IFERROR(_xll.qlBlackFormula(IF(O445&lt;$C$4,"Put","Call"),O445,$C$4,$C$9*SQRT($C$7)),"")</f>
        <v>2.9542490634253107E-6</v>
      </c>
      <c r="Q445" s="39">
        <f>IFERROR(_xll.qlBlackFormula(IF(O445&lt;$C$4,"Put","Call"),O445,$C$4,$C$10*SQRT($C$7),,$C$11),"")</f>
        <v>9.8652069172591474E-9</v>
      </c>
      <c r="R445" s="40">
        <f>IFERROR(_xll.qlBachelierBlackFormula(IF(O445&lt;$C$4,"Put","Call"),O445,$C$4,$C$12*SQRT($C$7)),"")</f>
        <v>3.5308388543350692E-24</v>
      </c>
      <c r="S445" s="41">
        <f>IFERROR((_xll.qlBlackFormula(IF(O445&lt;$C$4,"Put","Call"),O445+$C$14,$C$4,$C$9*SQRT($C$7))-
2*_xll.qlBlackFormula(IF(O445&lt;$C$4,"Put","Call"),O445,$C$4,$C$9*SQRT($C$7))+
_xll.qlBlackFormula(IF(O445&lt;$C$4,"Put","Call"),O445-$C$14,$C$4,$C$9*SQRT($C$7)))/$C$14^2,"")</f>
        <v>7.2788961476603048E-2</v>
      </c>
      <c r="T445" s="42">
        <f>IFERROR((_xll.qlBlackFormula(IF(O445&lt;$C$4,"Put","Call"),O445+$C$14,$C$4,$C$10*SQRT($C$7),,$C$11)-
2*_xll.qlBlackFormula(IF(O445&lt;$C$4,"Put","Call"),O445,$C$4,$C$10*SQRT($C$7),,$C$11)+
_xll.qlBlackFormula(IF(O445&lt;$C$4,"Put","Call"),O445-$C$14,$C$4,$C$10*SQRT($C$7),,$C$11))/$C$14^2,"")</f>
        <v>1.4045181899922201E-3</v>
      </c>
      <c r="U445" s="43">
        <f>IFERROR((_xll.qlBachelierBlackFormula(IF(O445&lt;$C$4,"Put","Call"),O445+$C$14,$C$4,$C$12*SQRT($C$7))-
2*_xll.qlBachelierBlackFormula(IF(O445&lt;$C$4,"Put","Call"),O445,$C$4,$C$12*SQRT($C$7))+
_xll.qlBachelierBlackFormula(IF(O445&lt;$C$4,"Put","Call"),O445-$C$14,$C$4,$C$12*SQRT($C$7)))/$C$14^2,"")</f>
        <v>3.1864379932796362E-17</v>
      </c>
      <c r="V445" s="61">
        <f>IFERROR(_xll.qlBachelierBlackFormulaImpliedVol(IF(O445&lt;$C$4,"Put","Call"),O445,$C$4,$C$7,P445),"")</f>
        <v>9.4849076141733171E-3</v>
      </c>
      <c r="W445" s="61">
        <f>IFERROR(_xll.qlBachelierBlackFormulaImpliedVol(IF(O445&lt;$C$4,"Put","Call"),O445,$C$4,$C$7,Q445),"")</f>
        <v>6.6768876850009729E-3</v>
      </c>
      <c r="X445" s="61">
        <f>IFERROR(_xll.qlBachelierBlackFormulaImpliedVol(IF(O445&lt;$C$4,"Put","Call"),O445,$C$4,$C$7,R445),"")</f>
        <v>3.7661549862667162E-3</v>
      </c>
      <c r="Y445" s="42"/>
    </row>
    <row r="446" spans="15:25">
      <c r="O446" s="37">
        <f t="shared" si="7"/>
        <v>3.4099999999999943E-2</v>
      </c>
      <c r="P446" s="38">
        <f>IFERROR(_xll.qlBlackFormula(IF(O446&lt;$C$4,"Put","Call"),O446,$C$4,$C$9*SQRT($C$7)),"")</f>
        <v>2.9106578500887031E-6</v>
      </c>
      <c r="Q446" s="39">
        <f>IFERROR(_xll.qlBlackFormula(IF(O446&lt;$C$4,"Put","Call"),O446,$C$4,$C$10*SQRT($C$7),,$C$11),"")</f>
        <v>9.5042613985187553E-9</v>
      </c>
      <c r="R446" s="40">
        <f>IFERROR(_xll.qlBachelierBlackFormula(IF(O446&lt;$C$4,"Put","Call"),O446,$C$4,$C$12*SQRT($C$7)),"")</f>
        <v>2.6090145978821192E-24</v>
      </c>
      <c r="S446" s="41">
        <f>IFERROR((_xll.qlBlackFormula(IF(O446&lt;$C$4,"Put","Call"),O446+$C$14,$C$4,$C$9*SQRT($C$7))-
2*_xll.qlBlackFormula(IF(O446&lt;$C$4,"Put","Call"),O446,$C$4,$C$9*SQRT($C$7))+
_xll.qlBlackFormula(IF(O446&lt;$C$4,"Put","Call"),O446-$C$14,$C$4,$C$9*SQRT($C$7)))/$C$14^2,"")</f>
        <v>7.146744269515351E-2</v>
      </c>
      <c r="T446" s="42">
        <f>IFERROR((_xll.qlBlackFormula(IF(O446&lt;$C$4,"Put","Call"),O446+$C$14,$C$4,$C$10*SQRT($C$7),,$C$11)-
2*_xll.qlBlackFormula(IF(O446&lt;$C$4,"Put","Call"),O446,$C$4,$C$10*SQRT($C$7),,$C$11)+
_xll.qlBlackFormula(IF(O446&lt;$C$4,"Put","Call"),O446-$C$14,$C$4,$C$10*SQRT($C$7),,$C$11))/$C$14^2,"")</f>
        <v>1.3544403580709045E-3</v>
      </c>
      <c r="U446" s="43">
        <f>IFERROR((_xll.qlBachelierBlackFormula(IF(O446&lt;$C$4,"Put","Call"),O446+$C$14,$C$4,$C$12*SQRT($C$7))-
2*_xll.qlBachelierBlackFormula(IF(O446&lt;$C$4,"Put","Call"),O446,$C$4,$C$12*SQRT($C$7))+
_xll.qlBachelierBlackFormula(IF(O446&lt;$C$4,"Put","Call"),O446-$C$14,$C$4,$C$12*SQRT($C$7)))/$C$14^2,"")</f>
        <v>2.3702674766788518E-17</v>
      </c>
      <c r="V446" s="61">
        <f>IFERROR(_xll.qlBachelierBlackFormulaImpliedVol(IF(O446&lt;$C$4,"Put","Call"),O446,$C$4,$C$7,P446),"")</f>
        <v>9.5030681614716138E-3</v>
      </c>
      <c r="W446" s="61">
        <f>IFERROR(_xll.qlBachelierBlackFormulaImpliedVol(IF(O446&lt;$C$4,"Put","Call"),O446,$C$4,$C$7,Q446),"")</f>
        <v>6.6873300304461361E-3</v>
      </c>
      <c r="X446" s="61">
        <f>IFERROR(_xll.qlBachelierBlackFormulaImpliedVol(IF(O446&lt;$C$4,"Put","Call"),O446,$C$4,$C$7,R446),"")</f>
        <v>3.7791417275986707E-3</v>
      </c>
      <c r="Y446" s="42"/>
    </row>
    <row r="447" spans="15:25">
      <c r="O447" s="37">
        <f t="shared" si="7"/>
        <v>3.4199999999999946E-2</v>
      </c>
      <c r="P447" s="38">
        <f>IFERROR(_xll.qlBlackFormula(IF(O447&lt;$C$4,"Put","Call"),O447,$C$4,$C$9*SQRT($C$7)),"")</f>
        <v>2.8677813590736984E-6</v>
      </c>
      <c r="Q447" s="39">
        <f>IFERROR(_xll.qlBlackFormula(IF(O447&lt;$C$4,"Put","Call"),O447,$C$4,$C$10*SQRT($C$7),,$C$11),"")</f>
        <v>9.1568344726235666E-9</v>
      </c>
      <c r="R447" s="40">
        <f>IFERROR(_xll.qlBachelierBlackFormula(IF(O447&lt;$C$4,"Put","Call"),O447,$C$4,$C$12*SQRT($C$7)),"")</f>
        <v>1.9259369458447065E-24</v>
      </c>
      <c r="S447" s="41">
        <f>IFERROR((_xll.qlBlackFormula(IF(O447&lt;$C$4,"Put","Call"),O447+$C$14,$C$4,$C$9*SQRT($C$7))-
2*_xll.qlBlackFormula(IF(O447&lt;$C$4,"Put","Call"),O447,$C$4,$C$9*SQRT($C$7))+
_xll.qlBlackFormula(IF(O447&lt;$C$4,"Put","Call"),O447-$C$14,$C$4,$C$9*SQRT($C$7)))/$C$14^2,"")</f>
        <v>7.0176745748588676E-2</v>
      </c>
      <c r="T447" s="42">
        <f>IFERROR((_xll.qlBlackFormula(IF(O447&lt;$C$4,"Put","Call"),O447+$C$14,$C$4,$C$10*SQRT($C$7),,$C$11)-
2*_xll.qlBlackFormula(IF(O447&lt;$C$4,"Put","Call"),O447,$C$4,$C$10*SQRT($C$7),,$C$11)+
_xll.qlBlackFormula(IF(O447&lt;$C$4,"Put","Call"),O447-$C$14,$C$4,$C$10*SQRT($C$7),,$C$11))/$C$14^2,"")</f>
        <v>1.3004312609529245E-3</v>
      </c>
      <c r="U447" s="43">
        <f>IFERROR((_xll.qlBachelierBlackFormula(IF(O447&lt;$C$4,"Put","Call"),O447+$C$14,$C$4,$C$12*SQRT($C$7))-
2*_xll.qlBachelierBlackFormula(IF(O447&lt;$C$4,"Put","Call"),O447,$C$4,$C$12*SQRT($C$7))+
_xll.qlBachelierBlackFormula(IF(O447&lt;$C$4,"Put","Call"),O447-$C$14,$C$4,$C$12*SQRT($C$7)))/$C$14^2,"")</f>
        <v>1.7613549283300226E-17</v>
      </c>
      <c r="V447" s="61">
        <f>IFERROR(_xll.qlBachelierBlackFormulaImpliedVol(IF(O447&lt;$C$4,"Put","Call"),O447,$C$4,$C$7,P447),"")</f>
        <v>9.5212158851781803E-3</v>
      </c>
      <c r="W447" s="61">
        <f>IFERROR(_xll.qlBachelierBlackFormulaImpliedVol(IF(O447&lt;$C$4,"Put","Call"),O447,$C$4,$C$7,Q447),"")</f>
        <v>6.6977653053216114E-3</v>
      </c>
      <c r="X447" s="61">
        <f>IFERROR(_xll.qlBachelierBlackFormulaImpliedVol(IF(O447&lt;$C$4,"Put","Call"),O447,$C$4,$C$7,R447),"")</f>
        <v>3.7921284689306253E-3</v>
      </c>
      <c r="Y447" s="42"/>
    </row>
    <row r="448" spans="15:25">
      <c r="O448" s="37">
        <f t="shared" si="7"/>
        <v>3.4299999999999949E-2</v>
      </c>
      <c r="P448" s="38">
        <f>IFERROR(_xll.qlBlackFormula(IF(O448&lt;$C$4,"Put","Call"),O448,$C$4,$C$9*SQRT($C$7)),"")</f>
        <v>2.8256066679952614E-6</v>
      </c>
      <c r="Q448" s="39">
        <f>IFERROR(_xll.qlBlackFormula(IF(O448&lt;$C$4,"Put","Call"),O448,$C$4,$C$10*SQRT($C$7),,$C$11),"")</f>
        <v>8.8224084153711622E-9</v>
      </c>
      <c r="R448" s="40">
        <f>IFERROR(_xll.qlBachelierBlackFormula(IF(O448&lt;$C$4,"Put","Call"),O448,$C$4,$C$12*SQRT($C$7)),"")</f>
        <v>1.4202817455446513E-24</v>
      </c>
      <c r="S448" s="41">
        <f>IFERROR((_xll.qlBlackFormula(IF(O448&lt;$C$4,"Put","Call"),O448+$C$14,$C$4,$C$9*SQRT($C$7))-
2*_xll.qlBlackFormula(IF(O448&lt;$C$4,"Put","Call"),O448,$C$4,$C$9*SQRT($C$7))+
_xll.qlBlackFormula(IF(O448&lt;$C$4,"Put","Call"),O448-$C$14,$C$4,$C$9*SQRT($C$7)))/$C$14^2,"")</f>
        <v>6.891152247087956E-2</v>
      </c>
      <c r="T448" s="42">
        <f>IFERROR((_xll.qlBlackFormula(IF(O448&lt;$C$4,"Put","Call"),O448+$C$14,$C$4,$C$10*SQRT($C$7),,$C$11)-
2*_xll.qlBlackFormula(IF(O448&lt;$C$4,"Put","Call"),O448,$C$4,$C$10*SQRT($C$7),,$C$11)+
_xll.qlBlackFormula(IF(O448&lt;$C$4,"Put","Call"),O448-$C$14,$C$4,$C$10*SQRT($C$7),,$C$11))/$C$14^2,"")</f>
        <v>1.2501386003003618E-3</v>
      </c>
      <c r="U448" s="43">
        <f>IFERROR((_xll.qlBachelierBlackFormula(IF(O448&lt;$C$4,"Put","Call"),O448+$C$14,$C$4,$C$12*SQRT($C$7))-
2*_xll.qlBachelierBlackFormula(IF(O448&lt;$C$4,"Put","Call"),O448,$C$4,$C$12*SQRT($C$7))+
_xll.qlBachelierBlackFormula(IF(O448&lt;$C$4,"Put","Call"),O448-$C$14,$C$4,$C$12*SQRT($C$7)))/$C$14^2,"")</f>
        <v>1.3075371163836294E-17</v>
      </c>
      <c r="V448" s="61">
        <f>IFERROR(_xll.qlBachelierBlackFormulaImpliedVol(IF(O448&lt;$C$4,"Put","Call"),O448,$C$4,$C$7,P448),"")</f>
        <v>9.5393508379946652E-3</v>
      </c>
      <c r="W448" s="61">
        <f>IFERROR(_xll.qlBachelierBlackFormulaImpliedVol(IF(O448&lt;$C$4,"Put","Call"),O448,$C$4,$C$7,Q448),"")</f>
        <v>6.7081935353619192E-3</v>
      </c>
      <c r="X448" s="61">
        <f>IFERROR(_xll.qlBachelierBlackFormulaImpliedVol(IF(O448&lt;$C$4,"Put","Call"),O448,$C$4,$C$7,R448),"")</f>
        <v>3.8051152102625795E-3</v>
      </c>
      <c r="Y448" s="42"/>
    </row>
    <row r="449" spans="15:25">
      <c r="O449" s="37">
        <f t="shared" si="7"/>
        <v>3.4399999999999951E-2</v>
      </c>
      <c r="P449" s="38">
        <f>IFERROR(_xll.qlBlackFormula(IF(O449&lt;$C$4,"Put","Call"),O449,$C$4,$C$9*SQRT($C$7)),"")</f>
        <v>2.784121110331681E-6</v>
      </c>
      <c r="Q449" s="39">
        <f>IFERROR(_xll.qlBlackFormula(IF(O449&lt;$C$4,"Put","Call"),O449,$C$4,$C$10*SQRT($C$7),,$C$11),"")</f>
        <v>8.5004857520389326E-9</v>
      </c>
      <c r="R449" s="40">
        <f>IFERROR(_xll.qlBachelierBlackFormula(IF(O449&lt;$C$4,"Put","Call"),O449,$C$4,$C$12*SQRT($C$7)),"")</f>
        <v>1.0463422788684241E-24</v>
      </c>
      <c r="S449" s="41">
        <f>IFERROR((_xll.qlBlackFormula(IF(O449&lt;$C$4,"Put","Call"),O449+$C$14,$C$4,$C$9*SQRT($C$7))-
2*_xll.qlBlackFormula(IF(O449&lt;$C$4,"Put","Call"),O449,$C$4,$C$9*SQRT($C$7))+
_xll.qlBlackFormula(IF(O449&lt;$C$4,"Put","Call"),O449-$C$14,$C$4,$C$9*SQRT($C$7)))/$C$14^2,"")</f>
        <v>6.7670356622938355E-2</v>
      </c>
      <c r="T449" s="42">
        <f>IFERROR((_xll.qlBlackFormula(IF(O449&lt;$C$4,"Put","Call"),O449+$C$14,$C$4,$C$10*SQRT($C$7),,$C$11)-
2*_xll.qlBlackFormula(IF(O449&lt;$C$4,"Put","Call"),O449,$C$4,$C$10*SQRT($C$7),,$C$11)+
_xll.qlBlackFormula(IF(O449&lt;$C$4,"Put","Call"),O449-$C$14,$C$4,$C$10*SQRT($C$7),,$C$11))/$C$14^2,"")</f>
        <v>1.2020574367939613E-3</v>
      </c>
      <c r="U449" s="43">
        <f>IFERROR((_xll.qlBachelierBlackFormula(IF(O449&lt;$C$4,"Put","Call"),O449+$C$14,$C$4,$C$12*SQRT($C$7))-
2*_xll.qlBachelierBlackFormula(IF(O449&lt;$C$4,"Put","Call"),O449,$C$4,$C$12*SQRT($C$7))+
_xll.qlBachelierBlackFormula(IF(O449&lt;$C$4,"Put","Call"),O449-$C$14,$C$4,$C$12*SQRT($C$7)))/$C$14^2,"")</f>
        <v>9.6965849563595731E-18</v>
      </c>
      <c r="V449" s="61">
        <f>IFERROR(_xll.qlBachelierBlackFormulaImpliedVol(IF(O449&lt;$C$4,"Put","Call"),O449,$C$4,$C$7,P449),"")</f>
        <v>9.5574730722481297E-3</v>
      </c>
      <c r="W449" s="61">
        <f>IFERROR(_xll.qlBachelierBlackFormulaImpliedVol(IF(O449&lt;$C$4,"Put","Call"),O449,$C$4,$C$7,Q449),"")</f>
        <v>6.7186147462587088E-3</v>
      </c>
      <c r="X449" s="61">
        <f>IFERROR(_xll.qlBachelierBlackFormulaImpliedVol(IF(O449&lt;$C$4,"Put","Call"),O449,$C$4,$C$7,R449),"")</f>
        <v>3.8181019515945345E-3</v>
      </c>
      <c r="Y449" s="42"/>
    </row>
    <row r="450" spans="15:25">
      <c r="O450" s="37">
        <f t="shared" si="7"/>
        <v>3.4499999999999954E-2</v>
      </c>
      <c r="P450" s="38">
        <f>IFERROR(_xll.qlBlackFormula(IF(O450&lt;$C$4,"Put","Call"),O450,$C$4,$C$9*SQRT($C$7)),"")</f>
        <v>2.7433122699144983E-6</v>
      </c>
      <c r="Q450" s="39">
        <f>IFERROR(_xll.qlBlackFormula(IF(O450&lt;$C$4,"Put","Call"),O450,$C$4,$C$10*SQRT($C$7),,$C$11),"")</f>
        <v>8.1905884543322318E-9</v>
      </c>
      <c r="R450" s="40">
        <f>IFERROR(_xll.qlBachelierBlackFormula(IF(O450&lt;$C$4,"Put","Call"),O450,$C$4,$C$12*SQRT($C$7)),"")</f>
        <v>7.7008703824849163E-25</v>
      </c>
      <c r="S450" s="41">
        <f>IFERROR((_xll.qlBlackFormula(IF(O450&lt;$C$4,"Put","Call"),O450+$C$14,$C$4,$C$9*SQRT($C$7))-
2*_xll.qlBlackFormula(IF(O450&lt;$C$4,"Put","Call"),O450,$C$4,$C$9*SQRT($C$7))+
_xll.qlBlackFormula(IF(O450&lt;$C$4,"Put","Call"),O450-$C$14,$C$4,$C$9*SQRT($C$7)))/$C$14^2,"")</f>
        <v>6.6451564303265931E-2</v>
      </c>
      <c r="T450" s="42">
        <f>IFERROR((_xll.qlBlackFormula(IF(O450&lt;$C$4,"Put","Call"),O450+$C$14,$C$4,$C$10*SQRT($C$7),,$C$11)-
2*_xll.qlBlackFormula(IF(O450&lt;$C$4,"Put","Call"),O450,$C$4,$C$10*SQRT($C$7),,$C$11)+
_xll.qlBlackFormula(IF(O450&lt;$C$4,"Put","Call"),O450-$C$14,$C$4,$C$10*SQRT($C$7),,$C$11))/$C$14^2,"")</f>
        <v>1.1574371440309238E-3</v>
      </c>
      <c r="U450" s="43">
        <f>IFERROR((_xll.qlBachelierBlackFormula(IF(O450&lt;$C$4,"Put","Call"),O450+$C$14,$C$4,$C$12*SQRT($C$7))-
2*_xll.qlBachelierBlackFormula(IF(O450&lt;$C$4,"Put","Call"),O450,$C$4,$C$12*SQRT($C$7))+
_xll.qlBachelierBlackFormula(IF(O450&lt;$C$4,"Put","Call"),O450-$C$14,$C$4,$C$12*SQRT($C$7)))/$C$14^2,"")</f>
        <v>7.1835847332281702E-18</v>
      </c>
      <c r="V450" s="61">
        <f>IFERROR(_xll.qlBachelierBlackFormulaImpliedVol(IF(O450&lt;$C$4,"Put","Call"),O450,$C$4,$C$7,P450),"")</f>
        <v>9.5755826398941889E-3</v>
      </c>
      <c r="W450" s="61">
        <f>IFERROR(_xll.qlBachelierBlackFormulaImpliedVol(IF(O450&lt;$C$4,"Put","Call"),O450,$C$4,$C$7,Q450),"")</f>
        <v>6.7290289634253046E-3</v>
      </c>
      <c r="X450" s="61">
        <f>IFERROR(_xll.qlBachelierBlackFormulaImpliedVol(IF(O450&lt;$C$4,"Put","Call"),O450,$C$4,$C$7,R450),"")</f>
        <v>3.831088692926489E-3</v>
      </c>
      <c r="Y450" s="42"/>
    </row>
    <row r="451" spans="15:25">
      <c r="O451" s="37">
        <f t="shared" si="7"/>
        <v>3.4599999999999957E-2</v>
      </c>
      <c r="P451" s="38">
        <f>IFERROR(_xll.qlBlackFormula(IF(O451&lt;$C$4,"Put","Call"),O451,$C$4,$C$9*SQRT($C$7)),"")</f>
        <v>2.7031679755413601E-6</v>
      </c>
      <c r="Q451" s="39">
        <f>IFERROR(_xll.qlBlackFormula(IF(O451&lt;$C$4,"Put","Call"),O451,$C$4,$C$10*SQRT($C$7),,$C$11),"")</f>
        <v>7.8922571589369658E-9</v>
      </c>
      <c r="R451" s="40">
        <f>IFERROR(_xll.qlBachelierBlackFormula(IF(O451&lt;$C$4,"Put","Call"),O451,$C$4,$C$12*SQRT($C$7)),"")</f>
        <v>5.6620352372365777E-25</v>
      </c>
      <c r="S451" s="41">
        <f>IFERROR((_xll.qlBlackFormula(IF(O451&lt;$C$4,"Put","Call"),O451+$C$14,$C$4,$C$9*SQRT($C$7))-
2*_xll.qlBlackFormula(IF(O451&lt;$C$4,"Put","Call"),O451,$C$4,$C$9*SQRT($C$7))+
_xll.qlBlackFormula(IF(O451&lt;$C$4,"Put","Call"),O451-$C$14,$C$4,$C$9*SQRT($C$7)))/$C$14^2,"")</f>
        <v>6.5259604293296636E-2</v>
      </c>
      <c r="T451" s="42">
        <f>IFERROR((_xll.qlBlackFormula(IF(O451&lt;$C$4,"Put","Call"),O451+$C$14,$C$4,$C$10*SQRT($C$7),,$C$11)-
2*_xll.qlBlackFormula(IF(O451&lt;$C$4,"Put","Call"),O451,$C$4,$C$10*SQRT($C$7),,$C$11)+
_xll.qlBlackFormula(IF(O451&lt;$C$4,"Put","Call"),O451-$C$14,$C$4,$C$10*SQRT($C$7),,$C$11))/$C$14^2,"")</f>
        <v>1.1098508198192872E-3</v>
      </c>
      <c r="U451" s="43">
        <f>IFERROR((_xll.qlBachelierBlackFormula(IF(O451&lt;$C$4,"Put","Call"),O451+$C$14,$C$4,$C$12*SQRT($C$7))-
2*_xll.qlBachelierBlackFormula(IF(O451&lt;$C$4,"Put","Call"),O451,$C$4,$C$12*SQRT($C$7))+
_xll.qlBachelierBlackFormula(IF(O451&lt;$C$4,"Put","Call"),O451-$C$14,$C$4,$C$12*SQRT($C$7)))/$C$14^2,"")</f>
        <v>5.3164442412037364E-18</v>
      </c>
      <c r="V451" s="61">
        <f>IFERROR(_xll.qlBachelierBlackFormulaImpliedVol(IF(O451&lt;$C$4,"Put","Call"),O451,$C$4,$C$7,P451),"")</f>
        <v>9.5936795925221138E-3</v>
      </c>
      <c r="W451" s="61">
        <f>IFERROR(_xll.qlBachelierBlackFormulaImpliedVol(IF(O451&lt;$C$4,"Put","Call"),O451,$C$4,$C$7,Q451),"")</f>
        <v>6.7394362123246055E-3</v>
      </c>
      <c r="X451" s="61">
        <f>IFERROR(_xll.qlBachelierBlackFormulaImpliedVol(IF(O451&lt;$C$4,"Put","Call"),O451,$C$4,$C$7,R451),"")</f>
        <v>3.8440754342584441E-3</v>
      </c>
      <c r="Y451" s="42"/>
    </row>
    <row r="452" spans="15:25">
      <c r="O452" s="37">
        <f t="shared" si="7"/>
        <v>3.469999999999996E-2</v>
      </c>
      <c r="P452" s="38">
        <f>IFERROR(_xll.qlBlackFormula(IF(O452&lt;$C$4,"Put","Call"),O452,$C$4,$C$9*SQRT($C$7)),"")</f>
        <v>2.6636762957182252E-6</v>
      </c>
      <c r="Q452" s="39">
        <f>IFERROR(_xll.qlBlackFormula(IF(O452&lt;$C$4,"Put","Call"),O452,$C$4,$C$10*SQRT($C$7),,$C$11),"")</f>
        <v>7.6050504256021238E-9</v>
      </c>
      <c r="R452" s="40">
        <f>IFERROR(_xll.qlBachelierBlackFormula(IF(O452&lt;$C$4,"Put","Call"),O452,$C$4,$C$12*SQRT($C$7)),"")</f>
        <v>4.1588377811518635E-25</v>
      </c>
      <c r="S452" s="41">
        <f>IFERROR((_xll.qlBlackFormula(IF(O452&lt;$C$4,"Put","Call"),O452+$C$14,$C$4,$C$9*SQRT($C$7))-
2*_xll.qlBlackFormula(IF(O452&lt;$C$4,"Put","Call"),O452,$C$4,$C$9*SQRT($C$7))+
_xll.qlBlackFormula(IF(O452&lt;$C$4,"Put","Call"),O452-$C$14,$C$4,$C$9*SQRT($C$7)))/$C$14^2,"")</f>
        <v>6.4091606845405158E-2</v>
      </c>
      <c r="T452" s="42">
        <f>IFERROR((_xll.qlBlackFormula(IF(O452&lt;$C$4,"Put","Call"),O452+$C$14,$C$4,$C$10*SQRT($C$7),,$C$11)-
2*_xll.qlBlackFormula(IF(O452&lt;$C$4,"Put","Call"),O452,$C$4,$C$10*SQRT($C$7),,$C$11)+
_xll.qlBlackFormula(IF(O452&lt;$C$4,"Put","Call"),O452-$C$14,$C$4,$C$10*SQRT($C$7),,$C$11))/$C$14^2,"")</f>
        <v>1.0688313170545869E-3</v>
      </c>
      <c r="U452" s="43">
        <f>IFERROR((_xll.qlBachelierBlackFormula(IF(O452&lt;$C$4,"Put","Call"),O452+$C$14,$C$4,$C$12*SQRT($C$7))-
2*_xll.qlBachelierBlackFormula(IF(O452&lt;$C$4,"Put","Call"),O452,$C$4,$C$12*SQRT($C$7))+
_xll.qlBachelierBlackFormula(IF(O452&lt;$C$4,"Put","Call"),O452-$C$14,$C$4,$C$12*SQRT($C$7)))/$C$14^2,"")</f>
        <v>3.9306007892873259E-18</v>
      </c>
      <c r="V452" s="61">
        <f>IFERROR(_xll.qlBachelierBlackFormulaImpliedVol(IF(O452&lt;$C$4,"Put","Call"),O452,$C$4,$C$7,P452),"")</f>
        <v>9.6117639813572339E-3</v>
      </c>
      <c r="W452" s="61">
        <f>IFERROR(_xll.qlBachelierBlackFormulaImpliedVol(IF(O452&lt;$C$4,"Put","Call"),O452,$C$4,$C$7,Q452),"")</f>
        <v>6.7498365181804616E-3</v>
      </c>
      <c r="X452" s="61">
        <f>IFERROR(_xll.qlBachelierBlackFormulaImpliedVol(IF(O452&lt;$C$4,"Put","Call"),O452,$C$4,$C$7,R452),"")</f>
        <v>3.8570621755903978E-3</v>
      </c>
      <c r="Y452" s="42"/>
    </row>
    <row r="453" spans="15:25">
      <c r="O453" s="37">
        <f t="shared" si="7"/>
        <v>3.4799999999999963E-2</v>
      </c>
      <c r="P453" s="38">
        <f>IFERROR(_xll.qlBlackFormula(IF(O453&lt;$C$4,"Put","Call"),O453,$C$4,$C$9*SQRT($C$7)),"")</f>
        <v>2.6248255335226829E-6</v>
      </c>
      <c r="Q453" s="39">
        <f>IFERROR(_xll.qlBlackFormula(IF(O453&lt;$C$4,"Put","Call"),O453,$C$4,$C$10*SQRT($C$7),,$C$11),"")</f>
        <v>7.3285440251314932E-9</v>
      </c>
      <c r="R453" s="40">
        <f>IFERROR(_xll.qlBachelierBlackFormula(IF(O453&lt;$C$4,"Put","Call"),O453,$C$4,$C$12*SQRT($C$7)),"")</f>
        <v>3.0516730105063303E-25</v>
      </c>
      <c r="S453" s="41">
        <f>IFERROR((_xll.qlBlackFormula(IF(O453&lt;$C$4,"Put","Call"),O453+$C$14,$C$4,$C$9*SQRT($C$7))-
2*_xll.qlBlackFormula(IF(O453&lt;$C$4,"Put","Call"),O453,$C$4,$C$9*SQRT($C$7))+
_xll.qlBlackFormula(IF(O453&lt;$C$4,"Put","Call"),O453-$C$14,$C$4,$C$9*SQRT($C$7)))/$C$14^2,"")</f>
        <v>6.2944232955713428E-2</v>
      </c>
      <c r="T453" s="42">
        <f>IFERROR((_xll.qlBlackFormula(IF(O453&lt;$C$4,"Put","Call"),O453+$C$14,$C$4,$C$10*SQRT($C$7),,$C$11)-
2*_xll.qlBlackFormula(IF(O453&lt;$C$4,"Put","Call"),O453,$C$4,$C$10*SQRT($C$7),,$C$11)+
_xll.qlBlackFormula(IF(O453&lt;$C$4,"Put","Call"),O453-$C$14,$C$4,$C$10*SQRT($C$7),,$C$11))/$C$14^2,"")</f>
        <v>1.0312829553077345E-3</v>
      </c>
      <c r="U453" s="43">
        <f>IFERROR((_xll.qlBachelierBlackFormula(IF(O453&lt;$C$4,"Put","Call"),O453+$C$14,$C$4,$C$12*SQRT($C$7))-
2*_xll.qlBachelierBlackFormula(IF(O453&lt;$C$4,"Put","Call"),O453,$C$4,$C$12*SQRT($C$7))+
_xll.qlBachelierBlackFormula(IF(O453&lt;$C$4,"Put","Call"),O453-$C$14,$C$4,$C$12*SQRT($C$7)))/$C$14^2,"")</f>
        <v>2.9030481741932852E-18</v>
      </c>
      <c r="V453" s="61">
        <f>IFERROR(_xll.qlBachelierBlackFormulaImpliedVol(IF(O453&lt;$C$4,"Put","Call"),O453,$C$4,$C$7,P453),"")</f>
        <v>9.6298358572658848E-3</v>
      </c>
      <c r="W453" s="61">
        <f>IFERROR(_xll.qlBachelierBlackFormulaImpliedVol(IF(O453&lt;$C$4,"Put","Call"),O453,$C$4,$C$7,Q453),"")</f>
        <v>6.7602299058255062E-3</v>
      </c>
      <c r="X453" s="61">
        <f>IFERROR(_xll.qlBachelierBlackFormulaImpliedVol(IF(O453&lt;$C$4,"Put","Call"),O453,$C$4,$C$7,R453),"")</f>
        <v>3.8700489169223528E-3</v>
      </c>
      <c r="Y453" s="42"/>
    </row>
    <row r="454" spans="15:25">
      <c r="O454" s="37">
        <f t="shared" si="7"/>
        <v>3.4899999999999966E-2</v>
      </c>
      <c r="P454" s="38">
        <f>IFERROR(_xll.qlBlackFormula(IF(O454&lt;$C$4,"Put","Call"),O454,$C$4,$C$9*SQRT($C$7)),"")</f>
        <v>2.5866042215841519E-6</v>
      </c>
      <c r="Q454" s="39">
        <f>IFERROR(_xll.qlBlackFormula(IF(O454&lt;$C$4,"Put","Call"),O454,$C$4,$C$10*SQRT($C$7),,$C$11),"")</f>
        <v>7.0623302537432446E-9</v>
      </c>
      <c r="R454" s="40">
        <f>IFERROR(_xll.qlBachelierBlackFormula(IF(O454&lt;$C$4,"Put","Call"),O454,$C$4,$C$12*SQRT($C$7)),"")</f>
        <v>2.2370235754582973E-25</v>
      </c>
      <c r="S454" s="41">
        <f>IFERROR((_xll.qlBlackFormula(IF(O454&lt;$C$4,"Put","Call"),O454+$C$14,$C$4,$C$9*SQRT($C$7))-
2*_xll.qlBlackFormula(IF(O454&lt;$C$4,"Put","Call"),O454,$C$4,$C$9*SQRT($C$7))+
_xll.qlBlackFormula(IF(O454&lt;$C$4,"Put","Call"),O454-$C$14,$C$4,$C$9*SQRT($C$7)))/$C$14^2,"")</f>
        <v>6.181746060136481E-2</v>
      </c>
      <c r="T454" s="42">
        <f>IFERROR((_xll.qlBlackFormula(IF(O454&lt;$C$4,"Put","Call"),O454+$C$14,$C$4,$C$10*SQRT($C$7),,$C$11)-
2*_xll.qlBlackFormula(IF(O454&lt;$C$4,"Put","Call"),O454,$C$4,$C$10*SQRT($C$7),,$C$11)+
_xll.qlBlackFormula(IF(O454&lt;$C$4,"Put","Call"),O454-$C$14,$C$4,$C$10*SQRT($C$7),,$C$11))/$C$14^2,"")</f>
        <v>9.8913636932759395E-4</v>
      </c>
      <c r="U454" s="43">
        <f>IFERROR((_xll.qlBachelierBlackFormula(IF(O454&lt;$C$4,"Put","Call"),O454+$C$14,$C$4,$C$12*SQRT($C$7))-
2*_xll.qlBachelierBlackFormula(IF(O454&lt;$C$4,"Put","Call"),O454,$C$4,$C$12*SQRT($C$7))+
_xll.qlBachelierBlackFormula(IF(O454&lt;$C$4,"Put","Call"),O454-$C$14,$C$4,$C$12*SQRT($C$7)))/$C$14^2,"")</f>
        <v>2.1419394063676094E-18</v>
      </c>
      <c r="V454" s="61">
        <f>IFERROR(_xll.qlBachelierBlackFormulaImpliedVol(IF(O454&lt;$C$4,"Put","Call"),O454,$C$4,$C$7,P454),"")</f>
        <v>9.6478952707574218E-3</v>
      </c>
      <c r="W454" s="61">
        <f>IFERROR(_xll.qlBachelierBlackFormulaImpliedVol(IF(O454&lt;$C$4,"Put","Call"),O454,$C$4,$C$7,Q454),"")</f>
        <v>6.7706164002708747E-3</v>
      </c>
      <c r="X454" s="61">
        <f>IFERROR(_xll.qlBachelierBlackFormulaImpliedVol(IF(O454&lt;$C$4,"Put","Call"),O454,$C$4,$C$7,R454),"")</f>
        <v>3.8830356582543074E-3</v>
      </c>
      <c r="Y454" s="42"/>
    </row>
    <row r="455" spans="15:25">
      <c r="O455" s="37">
        <f t="shared" si="7"/>
        <v>3.4999999999999969E-2</v>
      </c>
      <c r="P455" s="38">
        <f>IFERROR(_xll.qlBlackFormula(IF(O455&lt;$C$4,"Put","Call"),O455,$C$4,$C$9*SQRT($C$7)),"")</f>
        <v>2.5490011171808265E-6</v>
      </c>
      <c r="Q455" s="39">
        <f>IFERROR(_xll.qlBlackFormula(IF(O455&lt;$C$4,"Put","Call"),O455,$C$4,$C$10*SQRT($C$7),,$C$11),"")</f>
        <v>6.8060172775386802E-9</v>
      </c>
      <c r="R455" s="40">
        <f>IFERROR(_xll.qlBachelierBlackFormula(IF(O455&lt;$C$4,"Put","Call"),O455,$C$4,$C$12*SQRT($C$7)),"")</f>
        <v>1.6382101755863518E-25</v>
      </c>
      <c r="S455" s="41">
        <f>IFERROR((_xll.qlBlackFormula(IF(O455&lt;$C$4,"Put","Call"),O455+$C$14,$C$4,$C$9*SQRT($C$7))-
2*_xll.qlBlackFormula(IF(O455&lt;$C$4,"Put","Call"),O455,$C$4,$C$9*SQRT($C$7))+
_xll.qlBlackFormula(IF(O455&lt;$C$4,"Put","Call"),O455-$C$14,$C$4,$C$9*SQRT($C$7)))/$C$14^2,"")</f>
        <v>6.0716920857392664E-2</v>
      </c>
      <c r="T455" s="42">
        <f>IFERROR((_xll.qlBlackFormula(IF(O455&lt;$C$4,"Put","Call"),O455+$C$14,$C$4,$C$10*SQRT($C$7),,$C$11)-
2*_xll.qlBlackFormula(IF(O455&lt;$C$4,"Put","Call"),O455,$C$4,$C$10*SQRT($C$7),,$C$11)+
_xll.qlBlackFormula(IF(O455&lt;$C$4,"Put","Call"),O455-$C$14,$C$4,$C$10*SQRT($C$7),,$C$11))/$C$14^2,"")</f>
        <v>9.5202448101148378E-4</v>
      </c>
      <c r="U455" s="43">
        <f>IFERROR((_xll.qlBachelierBlackFormula(IF(O455&lt;$C$4,"Put","Call"),O455+$C$14,$C$4,$C$12*SQRT($C$7))-
2*_xll.qlBachelierBlackFormula(IF(O455&lt;$C$4,"Put","Call"),O455,$C$4,$C$12*SQRT($C$7))+
_xll.qlBachelierBlackFormula(IF(O455&lt;$C$4,"Put","Call"),O455-$C$14,$C$4,$C$12*SQRT($C$7)))/$C$14^2,"")</f>
        <v>1.5787659491766134E-18</v>
      </c>
      <c r="V455" s="61">
        <f>IFERROR(_xll.qlBachelierBlackFormulaImpliedVol(IF(O455&lt;$C$4,"Put","Call"),O455,$C$4,$C$7,P455),"")</f>
        <v>9.6659422719878301E-3</v>
      </c>
      <c r="W455" s="61">
        <f>IFERROR(_xll.qlBachelierBlackFormulaImpliedVol(IF(O455&lt;$C$4,"Put","Call"),O455,$C$4,$C$7,Q455),"")</f>
        <v>6.7809960263042765E-3</v>
      </c>
      <c r="X455" s="61">
        <f>IFERROR(_xll.qlBachelierBlackFormulaImpliedVol(IF(O455&lt;$C$4,"Put","Call"),O455,$C$4,$C$7,R455),"")</f>
        <v>3.8960223995862624E-3</v>
      </c>
      <c r="Y455" s="42"/>
    </row>
    <row r="456" spans="15:25">
      <c r="O456" s="37">
        <f t="shared" si="7"/>
        <v>3.5099999999999972E-2</v>
      </c>
      <c r="P456" s="38">
        <f>IFERROR(_xll.qlBlackFormula(IF(O456&lt;$C$4,"Put","Call"),O456,$C$4,$C$9*SQRT($C$7)),"")</f>
        <v>2.5120051974566252E-6</v>
      </c>
      <c r="Q456" s="39">
        <f>IFERROR(_xll.qlBlackFormula(IF(O456&lt;$C$4,"Put","Call"),O456,$C$4,$C$10*SQRT($C$7),,$C$11),"")</f>
        <v>6.5592284977823034E-9</v>
      </c>
      <c r="R456" s="40">
        <f>IFERROR(_xll.qlBachelierBlackFormula(IF(O456&lt;$C$4,"Put","Call"),O456,$C$4,$C$12*SQRT($C$7)),"")</f>
        <v>1.1984919385859027E-25</v>
      </c>
      <c r="S456" s="41">
        <f>IFERROR((_xll.qlBlackFormula(IF(O456&lt;$C$4,"Put","Call"),O456+$C$14,$C$4,$C$9*SQRT($C$7))-
2*_xll.qlBlackFormula(IF(O456&lt;$C$4,"Put","Call"),O456,$C$4,$C$9*SQRT($C$7))+
_xll.qlBlackFormula(IF(O456&lt;$C$4,"Put","Call"),O456-$C$14,$C$4,$C$9*SQRT($C$7)))/$C$14^2,"")</f>
        <v>5.963277120094989E-2</v>
      </c>
      <c r="T456" s="42">
        <f>IFERROR((_xll.qlBlackFormula(IF(O456&lt;$C$4,"Put","Call"),O456+$C$14,$C$4,$C$10*SQRT($C$7),,$C$11)-
2*_xll.qlBlackFormula(IF(O456&lt;$C$4,"Put","Call"),O456,$C$4,$C$10*SQRT($C$7),,$C$11)+
_xll.qlBlackFormula(IF(O456&lt;$C$4,"Put","Call"),O456-$C$14,$C$4,$C$10*SQRT($C$7),,$C$11))/$C$14^2,"")</f>
        <v>9.1688407511499785E-4</v>
      </c>
      <c r="U456" s="43">
        <f>IFERROR((_xll.qlBachelierBlackFormula(IF(O456&lt;$C$4,"Put","Call"),O456+$C$14,$C$4,$C$12*SQRT($C$7))-
2*_xll.qlBachelierBlackFormula(IF(O456&lt;$C$4,"Put","Call"),O456,$C$4,$C$12*SQRT($C$7))+
_xll.qlBachelierBlackFormula(IF(O456&lt;$C$4,"Put","Call"),O456-$C$14,$C$4,$C$12*SQRT($C$7)))/$C$14^2,"")</f>
        <v>1.1624812360374452E-18</v>
      </c>
      <c r="V456" s="61">
        <f>IFERROR(_xll.qlBachelierBlackFormulaImpliedVol(IF(O456&lt;$C$4,"Put","Call"),O456,$C$4,$C$7,P456),"")</f>
        <v>9.6839769107668287E-3</v>
      </c>
      <c r="W456" s="61">
        <f>IFERROR(_xll.qlBachelierBlackFormulaImpliedVol(IF(O456&lt;$C$4,"Put","Call"),O456,$C$4,$C$7,Q456),"")</f>
        <v>6.7913688083251697E-3</v>
      </c>
      <c r="X456" s="61">
        <f>IFERROR(_xll.qlBachelierBlackFormulaImpliedVol(IF(O456&lt;$C$4,"Put","Call"),O456,$C$4,$C$7,R456),"")</f>
        <v>3.9090091409182161E-3</v>
      </c>
      <c r="Y456" s="42"/>
    </row>
    <row r="457" spans="15:25">
      <c r="O457" s="37">
        <f t="shared" si="7"/>
        <v>3.5199999999999974E-2</v>
      </c>
      <c r="P457" s="38">
        <f>IFERROR(_xll.qlBlackFormula(IF(O457&lt;$C$4,"Put","Call"),O457,$C$4,$C$9*SQRT($C$7)),"")</f>
        <v>2.4756056547318255E-6</v>
      </c>
      <c r="Q457" s="39">
        <f>IFERROR(_xll.qlBlackFormula(IF(O457&lt;$C$4,"Put","Call"),O457,$C$4,$C$10*SQRT($C$7),,$C$11),"")</f>
        <v>6.3216019553836322E-9</v>
      </c>
      <c r="R457" s="40">
        <f>IFERROR(_xll.qlBachelierBlackFormula(IF(O457&lt;$C$4,"Put","Call"),O457,$C$4,$C$12*SQRT($C$7)),"")</f>
        <v>8.7592516082791028E-26</v>
      </c>
      <c r="S457" s="41">
        <f>IFERROR((_xll.qlBlackFormula(IF(O457&lt;$C$4,"Put","Call"),O457+$C$14,$C$4,$C$9*SQRT($C$7))-
2*_xll.qlBlackFormula(IF(O457&lt;$C$4,"Put","Call"),O457,$C$4,$C$9*SQRT($C$7))+
_xll.qlBlackFormula(IF(O457&lt;$C$4,"Put","Call"),O457-$C$14,$C$4,$C$9*SQRT($C$7)))/$C$14^2,"")</f>
        <v>5.8576377120122744E-2</v>
      </c>
      <c r="T457" s="42">
        <f>IFERROR((_xll.qlBlackFormula(IF(O457&lt;$C$4,"Put","Call"),O457+$C$14,$C$4,$C$10*SQRT($C$7),,$C$11)-
2*_xll.qlBlackFormula(IF(O457&lt;$C$4,"Put","Call"),O457,$C$4,$C$10*SQRT($C$7),,$C$11)+
_xll.qlBlackFormula(IF(O457&lt;$C$4,"Put","Call"),O457-$C$14,$C$4,$C$10*SQRT($C$7),,$C$11))/$C$14^2,"")</f>
        <v>8.8007979210763911E-4</v>
      </c>
      <c r="U457" s="43">
        <f>IFERROR((_xll.qlBachelierBlackFormula(IF(O457&lt;$C$4,"Put","Call"),O457+$C$14,$C$4,$C$12*SQRT($C$7))-
2*_xll.qlBachelierBlackFormula(IF(O457&lt;$C$4,"Put","Call"),O457,$C$4,$C$12*SQRT($C$7))+
_xll.qlBachelierBlackFormula(IF(O457&lt;$C$4,"Put","Call"),O457-$C$14,$C$4,$C$12*SQRT($C$7)))/$C$14^2,"")</f>
        <v>8.5508990704653443E-19</v>
      </c>
      <c r="V457" s="61">
        <f>IFERROR(_xll.qlBachelierBlackFormulaImpliedVol(IF(O457&lt;$C$4,"Put","Call"),O457,$C$4,$C$7,P457),"")</f>
        <v>9.7019992365539147E-3</v>
      </c>
      <c r="W457" s="61">
        <f>IFERROR(_xll.qlBachelierBlackFormulaImpliedVol(IF(O457&lt;$C$4,"Put","Call"),O457,$C$4,$C$7,Q457),"")</f>
        <v>6.8017347710033552E-3</v>
      </c>
      <c r="X457" s="61">
        <f>IFERROR(_xll.qlBachelierBlackFormulaImpliedVol(IF(O457&lt;$C$4,"Put","Call"),O457,$C$4,$C$7,R457),"")</f>
        <v>3.9219958822501707E-3</v>
      </c>
      <c r="Y457" s="42"/>
    </row>
    <row r="458" spans="15:25">
      <c r="O458" s="37">
        <f t="shared" si="7"/>
        <v>3.5299999999999977E-2</v>
      </c>
      <c r="P458" s="38">
        <f>IFERROR(_xll.qlBlackFormula(IF(O458&lt;$C$4,"Put","Call"),O458,$C$4,$C$9*SQRT($C$7)),"")</f>
        <v>2.4397918919463038E-6</v>
      </c>
      <c r="Q458" s="39">
        <f>IFERROR(_xll.qlBlackFormula(IF(O458&lt;$C$4,"Put","Call"),O458,$C$4,$C$10*SQRT($C$7),,$C$11),"")</f>
        <v>6.0927897377328109E-9</v>
      </c>
      <c r="R458" s="40">
        <f>IFERROR(_xll.qlBachelierBlackFormula(IF(O458&lt;$C$4,"Put","Call"),O458,$C$4,$C$12*SQRT($C$7)),"")</f>
        <v>6.3953632844141091E-26</v>
      </c>
      <c r="S458" s="41">
        <f>IFERROR((_xll.qlBlackFormula(IF(O458&lt;$C$4,"Put","Call"),O458+$C$14,$C$4,$C$9*SQRT($C$7))-
2*_xll.qlBlackFormula(IF(O458&lt;$C$4,"Put","Call"),O458,$C$4,$C$9*SQRT($C$7))+
_xll.qlBlackFormula(IF(O458&lt;$C$4,"Put","Call"),O458-$C$14,$C$4,$C$9*SQRT($C$7)))/$C$14^2,"")</f>
        <v>5.7537708050749842E-2</v>
      </c>
      <c r="T458" s="42">
        <f>IFERROR((_xll.qlBlackFormula(IF(O458&lt;$C$4,"Put","Call"),O458+$C$14,$C$4,$C$10*SQRT($C$7),,$C$11)-
2*_xll.qlBlackFormula(IF(O458&lt;$C$4,"Put","Call"),O458,$C$4,$C$10*SQRT($C$7),,$C$11)+
_xll.qlBlackFormula(IF(O458&lt;$C$4,"Put","Call"),O458-$C$14,$C$4,$C$10*SQRT($C$7),,$C$11))/$C$14^2,"")</f>
        <v>8.4802847566512016E-4</v>
      </c>
      <c r="U458" s="43">
        <f>IFERROR((_xll.qlBachelierBlackFormula(IF(O458&lt;$C$4,"Put","Call"),O458+$C$14,$C$4,$C$12*SQRT($C$7))-
2*_xll.qlBachelierBlackFormula(IF(O458&lt;$C$4,"Put","Call"),O458,$C$4,$C$12*SQRT($C$7))+
_xll.qlBachelierBlackFormula(IF(O458&lt;$C$4,"Put","Call"),O458-$C$14,$C$4,$C$12*SQRT($C$7)))/$C$14^2,"")</f>
        <v>6.2834077455937526E-19</v>
      </c>
      <c r="V458" s="61">
        <f>IFERROR(_xll.qlBachelierBlackFormulaImpliedVol(IF(O458&lt;$C$4,"Put","Call"),O458,$C$4,$C$7,P458),"")</f>
        <v>9.7200092984711974E-3</v>
      </c>
      <c r="W458" s="61">
        <f>IFERROR(_xll.qlBachelierBlackFormulaImpliedVol(IF(O458&lt;$C$4,"Put","Call"),O458,$C$4,$C$7,Q458),"")</f>
        <v>6.8120939383458203E-3</v>
      </c>
      <c r="X458" s="61">
        <f>IFERROR(_xll.qlBachelierBlackFormulaImpliedVol(IF(O458&lt;$C$4,"Put","Call"),O458,$C$4,$C$7,R458),"")</f>
        <v>3.9349826235821261E-3</v>
      </c>
      <c r="Y458" s="42"/>
    </row>
    <row r="459" spans="15:25">
      <c r="O459" s="37">
        <f t="shared" si="7"/>
        <v>3.539999999999998E-2</v>
      </c>
      <c r="P459" s="38">
        <f>IFERROR(_xll.qlBlackFormula(IF(O459&lt;$C$4,"Put","Call"),O459,$C$4,$C$9*SQRT($C$7)),"")</f>
        <v>2.4045535181826804E-6</v>
      </c>
      <c r="Q459" s="39">
        <f>IFERROR(_xll.qlBlackFormula(IF(O459&lt;$C$4,"Put","Call"),O459,$C$4,$C$10*SQRT($C$7),,$C$11),"")</f>
        <v>5.8724574370839211E-9</v>
      </c>
      <c r="R459" s="40">
        <f>IFERROR(_xll.qlBachelierBlackFormula(IF(O459&lt;$C$4,"Put","Call"),O459,$C$4,$C$12*SQRT($C$7)),"")</f>
        <v>4.6647644417808709E-26</v>
      </c>
      <c r="S459" s="41">
        <f>IFERROR((_xll.qlBlackFormula(IF(O459&lt;$C$4,"Put","Call"),O459+$C$14,$C$4,$C$9*SQRT($C$7))-
2*_xll.qlBlackFormula(IF(O459&lt;$C$4,"Put","Call"),O459,$C$4,$C$9*SQRT($C$7))+
_xll.qlBlackFormula(IF(O459&lt;$C$4,"Put","Call"),O459-$C$14,$C$4,$C$9*SQRT($C$7)))/$C$14^2,"")</f>
        <v>5.6518495328175371E-2</v>
      </c>
      <c r="T459" s="42">
        <f>IFERROR((_xll.qlBlackFormula(IF(O459&lt;$C$4,"Put","Call"),O459+$C$14,$C$4,$C$10*SQRT($C$7),,$C$11)-
2*_xll.qlBlackFormula(IF(O459&lt;$C$4,"Put","Call"),O459,$C$4,$C$10*SQRT($C$7),,$C$11)+
_xll.qlBlackFormula(IF(O459&lt;$C$4,"Put","Call"),O459-$C$14,$C$4,$C$10*SQRT($C$7),,$C$11))/$C$14^2,"")</f>
        <v>8.1376210189108226E-4</v>
      </c>
      <c r="U459" s="43">
        <f>IFERROR((_xll.qlBachelierBlackFormula(IF(O459&lt;$C$4,"Put","Call"),O459+$C$14,$C$4,$C$12*SQRT($C$7))-
2*_xll.qlBachelierBlackFormula(IF(O459&lt;$C$4,"Put","Call"),O459,$C$4,$C$12*SQRT($C$7))+
_xll.qlBachelierBlackFormula(IF(O459&lt;$C$4,"Put","Call"),O459-$C$14,$C$4,$C$12*SQRT($C$7)))/$C$14^2,"")</f>
        <v>4.6124995520695646E-19</v>
      </c>
      <c r="V459" s="61">
        <f>IFERROR(_xll.qlBachelierBlackFormulaImpliedVol(IF(O459&lt;$C$4,"Put","Call"),O459,$C$4,$C$7,P459),"")</f>
        <v>9.7380071452972429E-3</v>
      </c>
      <c r="W459" s="61">
        <f>IFERROR(_xll.qlBachelierBlackFormulaImpliedVol(IF(O459&lt;$C$4,"Put","Call"),O459,$C$4,$C$7,Q459),"")</f>
        <v>6.82244633462834E-3</v>
      </c>
      <c r="X459" s="61">
        <f>IFERROR(_xll.qlBachelierBlackFormulaImpliedVol(IF(O459&lt;$C$4,"Put","Call"),O459,$C$4,$C$7,R459),"")</f>
        <v>3.9479693649140807E-3</v>
      </c>
      <c r="Y459" s="42"/>
    </row>
    <row r="460" spans="15:25">
      <c r="O460" s="37">
        <f t="shared" si="7"/>
        <v>3.5499999999999983E-2</v>
      </c>
      <c r="P460" s="38">
        <f>IFERROR(_xll.qlBlackFormula(IF(O460&lt;$C$4,"Put","Call"),O460,$C$4,$C$9*SQRT($C$7)),"")</f>
        <v>2.3698803443080504E-6</v>
      </c>
      <c r="Q460" s="39">
        <f>IFERROR(_xll.qlBlackFormula(IF(O460&lt;$C$4,"Put","Call"),O460,$C$4,$C$10*SQRT($C$7),,$C$11),"")</f>
        <v>5.6602835990793713E-9</v>
      </c>
      <c r="R460" s="40">
        <f>IFERROR(_xll.qlBachelierBlackFormula(IF(O460&lt;$C$4,"Put","Call"),O460,$C$4,$C$12*SQRT($C$7)),"")</f>
        <v>3.3990726358521492E-26</v>
      </c>
      <c r="S460" s="41">
        <f>IFERROR((_xll.qlBlackFormula(IF(O460&lt;$C$4,"Put","Call"),O460+$C$14,$C$4,$C$9*SQRT($C$7))-
2*_xll.qlBlackFormula(IF(O460&lt;$C$4,"Put","Call"),O460,$C$4,$C$9*SQRT($C$7))+
_xll.qlBlackFormula(IF(O460&lt;$C$4,"Put","Call"),O460-$C$14,$C$4,$C$9*SQRT($C$7)))/$C$14^2,"")</f>
        <v>5.5520566849499506E-2</v>
      </c>
      <c r="T460" s="42">
        <f>IFERROR((_xll.qlBlackFormula(IF(O460&lt;$C$4,"Put","Call"),O460+$C$14,$C$4,$C$10*SQRT($C$7),,$C$11)-
2*_xll.qlBlackFormula(IF(O460&lt;$C$4,"Put","Call"),O460,$C$4,$C$10*SQRT($C$7),,$C$11)+
_xll.qlBlackFormula(IF(O460&lt;$C$4,"Put","Call"),O460-$C$14,$C$4,$C$10*SQRT($C$7),,$C$11))/$C$14^2,"")</f>
        <v>7.8823587728795732E-4</v>
      </c>
      <c r="U460" s="43">
        <f>IFERROR((_xll.qlBachelierBlackFormula(IF(O460&lt;$C$4,"Put","Call"),O460+$C$14,$C$4,$C$12*SQRT($C$7))-
2*_xll.qlBachelierBlackFormula(IF(O460&lt;$C$4,"Put","Call"),O460,$C$4,$C$12*SQRT($C$7))+
_xll.qlBachelierBlackFormula(IF(O460&lt;$C$4,"Put","Call"),O460-$C$14,$C$4,$C$12*SQRT($C$7)))/$C$14^2,"")</f>
        <v>3.3824786321279585E-19</v>
      </c>
      <c r="V460" s="61">
        <f>IFERROR(_xll.qlBachelierBlackFormulaImpliedVol(IF(O460&lt;$C$4,"Put","Call"),O460,$C$4,$C$7,P460),"")</f>
        <v>9.7559928254785516E-3</v>
      </c>
      <c r="W460" s="61">
        <f>IFERROR(_xll.qlBachelierBlackFormulaImpliedVol(IF(O460&lt;$C$4,"Put","Call"),O460,$C$4,$C$7,Q460),"")</f>
        <v>6.8327919836959706E-3</v>
      </c>
      <c r="X460" s="61">
        <f>IFERROR(_xll.qlBachelierBlackFormulaImpliedVol(IF(O460&lt;$C$4,"Put","Call"),O460,$C$4,$C$7,R460),"")</f>
        <v>3.9609561062460344E-3</v>
      </c>
      <c r="Y460" s="42"/>
    </row>
    <row r="461" spans="15:25">
      <c r="O461" s="37">
        <f t="shared" si="7"/>
        <v>3.5599999999999986E-2</v>
      </c>
      <c r="P461" s="38">
        <f>IFERROR(_xll.qlBlackFormula(IF(O461&lt;$C$4,"Put","Call"),O461,$C$4,$C$9*SQRT($C$7)),"")</f>
        <v>2.335762378710943E-6</v>
      </c>
      <c r="Q461" s="39">
        <f>IFERROR(_xll.qlBlackFormula(IF(O461&lt;$C$4,"Put","Call"),O461,$C$4,$C$10*SQRT($C$7),,$C$11),"")</f>
        <v>5.4559592305492421E-9</v>
      </c>
      <c r="R461" s="40">
        <f>IFERROR(_xll.qlBachelierBlackFormula(IF(O461&lt;$C$4,"Put","Call"),O461,$C$4,$C$12*SQRT($C$7)),"")</f>
        <v>2.4743284557645745E-26</v>
      </c>
      <c r="S461" s="41">
        <f>IFERROR((_xll.qlBlackFormula(IF(O461&lt;$C$4,"Put","Call"),O461+$C$14,$C$4,$C$9*SQRT($C$7))-
2*_xll.qlBlackFormula(IF(O461&lt;$C$4,"Put","Call"),O461,$C$4,$C$9*SQRT($C$7))+
_xll.qlBlackFormula(IF(O461&lt;$C$4,"Put","Call"),O461-$C$14,$C$4,$C$9*SQRT($C$7)))/$C$14^2,"")</f>
        <v>5.4538740467150945E-2</v>
      </c>
      <c r="T461" s="42">
        <f>IFERROR((_xll.qlBlackFormula(IF(O461&lt;$C$4,"Put","Call"),O461+$C$14,$C$4,$C$10*SQRT($C$7),,$C$11)-
2*_xll.qlBlackFormula(IF(O461&lt;$C$4,"Put","Call"),O461,$C$4,$C$10*SQRT($C$7),,$C$11)+
_xll.qlBlackFormula(IF(O461&lt;$C$4,"Put","Call"),O461-$C$14,$C$4,$C$10*SQRT($C$7),,$C$11))/$C$14^2,"")</f>
        <v>7.5380987750803133E-4</v>
      </c>
      <c r="U461" s="43">
        <f>IFERROR((_xll.qlBachelierBlackFormula(IF(O461&lt;$C$4,"Put","Call"),O461+$C$14,$C$4,$C$12*SQRT($C$7))-
2*_xll.qlBachelierBlackFormula(IF(O461&lt;$C$4,"Put","Call"),O461,$C$4,$C$12*SQRT($C$7))+
_xll.qlBachelierBlackFormula(IF(O461&lt;$C$4,"Put","Call"),O461-$C$14,$C$4,$C$12*SQRT($C$7)))/$C$14^2,"")</f>
        <v>2.4779436013089387E-19</v>
      </c>
      <c r="V461" s="61">
        <f>IFERROR(_xll.qlBachelierBlackFormulaImpliedVol(IF(O461&lt;$C$4,"Put","Call"),O461,$C$4,$C$7,P461),"")</f>
        <v>9.7739663871260554E-3</v>
      </c>
      <c r="W461" s="61">
        <f>IFERROR(_xll.qlBachelierBlackFormulaImpliedVol(IF(O461&lt;$C$4,"Put","Call"),O461,$C$4,$C$7,Q461),"")</f>
        <v>6.8431309095299446E-3</v>
      </c>
      <c r="X461" s="61">
        <f>IFERROR(_xll.qlBachelierBlackFormulaImpliedVol(IF(O461&lt;$C$4,"Put","Call"),O461,$C$4,$C$7,R461),"")</f>
        <v>3.973942847577989E-3</v>
      </c>
      <c r="Y461" s="42"/>
    </row>
    <row r="462" spans="15:25">
      <c r="O462" s="37">
        <f t="shared" si="7"/>
        <v>3.5699999999999989E-2</v>
      </c>
      <c r="P462" s="38">
        <f>IFERROR(_xll.qlBlackFormula(IF(O462&lt;$C$4,"Put","Call"),O462,$C$4,$C$9*SQRT($C$7)),"")</f>
        <v>2.3021898231352523E-6</v>
      </c>
      <c r="Q462" s="39">
        <f>IFERROR(_xll.qlBlackFormula(IF(O462&lt;$C$4,"Put","Call"),O462,$C$4,$C$10*SQRT($C$7),,$C$11),"")</f>
        <v>5.2591872869878495E-9</v>
      </c>
      <c r="R462" s="40">
        <f>IFERROR(_xll.qlBachelierBlackFormula(IF(O462&lt;$C$4,"Put","Call"),O462,$C$4,$C$12*SQRT($C$7)),"")</f>
        <v>1.7993696051958106E-26</v>
      </c>
      <c r="S462" s="41">
        <f>IFERROR((_xll.qlBlackFormula(IF(O462&lt;$C$4,"Put","Call"),O462+$C$14,$C$4,$C$9*SQRT($C$7))-
2*_xll.qlBlackFormula(IF(O462&lt;$C$4,"Put","Call"),O462,$C$4,$C$9*SQRT($C$7))+
_xll.qlBlackFormula(IF(O462&lt;$C$4,"Put","Call"),O462-$C$14,$C$4,$C$9*SQRT($C$7)))/$C$14^2,"")</f>
        <v>5.3576936249609582E-2</v>
      </c>
      <c r="T462" s="42">
        <f>IFERROR((_xll.qlBlackFormula(IF(O462&lt;$C$4,"Put","Call"),O462+$C$14,$C$4,$C$10*SQRT($C$7),,$C$11)-
2*_xll.qlBlackFormula(IF(O462&lt;$C$4,"Put","Call"),O462,$C$4,$C$10*SQRT($C$7),,$C$11)+
_xll.qlBlackFormula(IF(O462&lt;$C$4,"Put","Call"),O462-$C$14,$C$4,$C$10*SQRT($C$7),,$C$11))/$C$14^2,"")</f>
        <v>7.2598843184586365E-4</v>
      </c>
      <c r="U462" s="43">
        <f>IFERROR((_xll.qlBachelierBlackFormula(IF(O462&lt;$C$4,"Put","Call"),O462+$C$14,$C$4,$C$12*SQRT($C$7))-
2*_xll.qlBachelierBlackFormula(IF(O462&lt;$C$4,"Put","Call"),O462,$C$4,$C$12*SQRT($C$7))+
_xll.qlBachelierBlackFormula(IF(O462&lt;$C$4,"Put","Call"),O462-$C$14,$C$4,$C$12*SQRT($C$7)))/$C$14^2,"")</f>
        <v>1.8134492519660123E-19</v>
      </c>
      <c r="V462" s="61">
        <f>IFERROR(_xll.qlBachelierBlackFormulaImpliedVol(IF(O462&lt;$C$4,"Put","Call"),O462,$C$4,$C$7,P462),"")</f>
        <v>9.7919278780243205E-3</v>
      </c>
      <c r="W462" s="61">
        <f>IFERROR(_xll.qlBachelierBlackFormulaImpliedVol(IF(O462&lt;$C$4,"Put","Call"),O462,$C$4,$C$7,Q462),"")</f>
        <v>6.8534631357326688E-3</v>
      </c>
      <c r="X462" s="61">
        <f>IFERROR(_xll.qlBachelierBlackFormulaImpliedVol(IF(O462&lt;$C$4,"Put","Call"),O462,$C$4,$C$7,R462),"")</f>
        <v>3.9869295889099444E-3</v>
      </c>
      <c r="Y462" s="42"/>
    </row>
    <row r="463" spans="15:25">
      <c r="O463" s="37">
        <f t="shared" si="7"/>
        <v>3.5799999999999992E-2</v>
      </c>
      <c r="P463" s="38">
        <f>IFERROR(_xll.qlBlackFormula(IF(O463&lt;$C$4,"Put","Call"),O463,$C$4,$C$9*SQRT($C$7)),"")</f>
        <v>2.2691530686040952E-6</v>
      </c>
      <c r="Q463" s="39">
        <f>IFERROR(_xll.qlBlackFormula(IF(O463&lt;$C$4,"Put","Call"),O463,$C$4,$C$10*SQRT($C$7),,$C$11),"")</f>
        <v>5.0696822108342856E-9</v>
      </c>
      <c r="R463" s="40">
        <f>IFERROR(_xll.qlBachelierBlackFormula(IF(O463&lt;$C$4,"Put","Call"),O463,$C$4,$C$12*SQRT($C$7)),"")</f>
        <v>1.3072224139730616E-26</v>
      </c>
      <c r="S463" s="41">
        <f>IFERROR((_xll.qlBlackFormula(IF(O463&lt;$C$4,"Put","Call"),O463+$C$14,$C$4,$C$9*SQRT($C$7))-
2*_xll.qlBlackFormula(IF(O463&lt;$C$4,"Put","Call"),O463,$C$4,$C$9*SQRT($C$7))+
_xll.qlBlackFormula(IF(O463&lt;$C$4,"Put","Call"),O463-$C$14,$C$4,$C$9*SQRT($C$7)))/$C$14^2,"")</f>
        <v>5.2636609399478798E-2</v>
      </c>
      <c r="T463" s="42">
        <f>IFERROR((_xll.qlBlackFormula(IF(O463&lt;$C$4,"Put","Call"),O463+$C$14,$C$4,$C$10*SQRT($C$7),,$C$11)-
2*_xll.qlBlackFormula(IF(O463&lt;$C$4,"Put","Call"),O463,$C$4,$C$10*SQRT($C$7),,$C$11)+
_xll.qlBlackFormula(IF(O463&lt;$C$4,"Put","Call"),O463-$C$14,$C$4,$C$10*SQRT($C$7),,$C$11))/$C$14^2,"")</f>
        <v>7.0176081462999785E-4</v>
      </c>
      <c r="U463" s="43">
        <f>IFERROR((_xll.qlBachelierBlackFormula(IF(O463&lt;$C$4,"Put","Call"),O463+$C$14,$C$4,$C$12*SQRT($C$7))-
2*_xll.qlBachelierBlackFormula(IF(O463&lt;$C$4,"Put","Call"),O463,$C$4,$C$12*SQRT($C$7))+
_xll.qlBachelierBlackFormula(IF(O463&lt;$C$4,"Put","Call"),O463-$C$14,$C$4,$C$12*SQRT($C$7)))/$C$14^2,"")</f>
        <v>1.3257969872409507E-19</v>
      </c>
      <c r="V463" s="61">
        <f>IFERROR(_xll.qlBachelierBlackFormulaImpliedVol(IF(O463&lt;$C$4,"Put","Call"),O463,$C$4,$C$7,P463),"")</f>
        <v>9.8098773456289576E-3</v>
      </c>
      <c r="W463" s="61">
        <f>IFERROR(_xll.qlBachelierBlackFormulaImpliedVol(IF(O463&lt;$C$4,"Put","Call"),O463,$C$4,$C$7,Q463),"")</f>
        <v>6.8637886857358943E-3</v>
      </c>
      <c r="X463" s="61">
        <f>IFERROR(_xll.qlBachelierBlackFormulaImpliedVol(IF(O463&lt;$C$4,"Put","Call"),O463,$C$4,$C$7,R463),"")</f>
        <v>3.999916330241899E-3</v>
      </c>
      <c r="Y463" s="42"/>
    </row>
    <row r="464" spans="15:25">
      <c r="O464" s="37">
        <f t="shared" si="7"/>
        <v>3.5899999999999994E-2</v>
      </c>
      <c r="P464" s="38">
        <f>IFERROR(_xll.qlBlackFormula(IF(O464&lt;$C$4,"Put","Call"),O464,$C$4,$C$9*SQRT($C$7)),"")</f>
        <v>2.2366426914537893E-6</v>
      </c>
      <c r="Q464" s="39">
        <f>IFERROR(_xll.qlBlackFormula(IF(O464&lt;$C$4,"Put","Call"),O464,$C$4,$C$10*SQRT($C$7),,$C$11),"")</f>
        <v>4.8871694812324784E-9</v>
      </c>
      <c r="R464" s="40">
        <f>IFERROR(_xll.qlBachelierBlackFormula(IF(O464&lt;$C$4,"Put","Call"),O464,$C$4,$C$12*SQRT($C$7)),"")</f>
        <v>9.4873433113624176E-27</v>
      </c>
      <c r="S464" s="41">
        <f>IFERROR((_xll.qlBlackFormula(IF(O464&lt;$C$4,"Put","Call"),O464+$C$14,$C$4,$C$9*SQRT($C$7))-
2*_xll.qlBlackFormula(IF(O464&lt;$C$4,"Put","Call"),O464,$C$4,$C$9*SQRT($C$7))+
_xll.qlBlackFormula(IF(O464&lt;$C$4,"Put","Call"),O464-$C$14,$C$4,$C$9*SQRT($C$7)))/$C$14^2,"")</f>
        <v>5.1713299441258354E-2</v>
      </c>
      <c r="T464" s="42">
        <f>IFERROR((_xll.qlBlackFormula(IF(O464&lt;$C$4,"Put","Call"),O464+$C$14,$C$4,$C$10*SQRT($C$7),,$C$11)-
2*_xll.qlBlackFormula(IF(O464&lt;$C$4,"Put","Call"),O464,$C$4,$C$10*SQRT($C$7),,$C$11)+
_xll.qlBlackFormula(IF(O464&lt;$C$4,"Put","Call"),O464-$C$14,$C$4,$C$10*SQRT($C$7),,$C$11))/$C$14^2,"")</f>
        <v>6.7189194475052866E-4</v>
      </c>
      <c r="U464" s="43">
        <f>IFERROR((_xll.qlBachelierBlackFormula(IF(O464&lt;$C$4,"Put","Call"),O464+$C$14,$C$4,$C$12*SQRT($C$7))-
2*_xll.qlBachelierBlackFormula(IF(O464&lt;$C$4,"Put","Call"),O464,$C$4,$C$12*SQRT($C$7))+
_xll.qlBachelierBlackFormula(IF(O464&lt;$C$4,"Put","Call"),O464-$C$14,$C$4,$C$12*SQRT($C$7)))/$C$14^2,"")</f>
        <v>9.682918423938042E-20</v>
      </c>
      <c r="V464" s="61">
        <f>IFERROR(_xll.qlBachelierBlackFormulaImpliedVol(IF(O464&lt;$C$4,"Put","Call"),O464,$C$4,$C$7,P464),"")</f>
        <v>9.8278148370756595E-3</v>
      </c>
      <c r="W464" s="61">
        <f>IFERROR(_xll.qlBachelierBlackFormulaImpliedVol(IF(O464&lt;$C$4,"Put","Call"),O464,$C$4,$C$7,Q464),"")</f>
        <v>6.8741075833112352E-3</v>
      </c>
      <c r="X464" s="61">
        <f>IFERROR(_xll.qlBachelierBlackFormulaImpliedVol(IF(O464&lt;$C$4,"Put","Call"),O464,$C$4,$C$7,R464),"")</f>
        <v>4.0129030715738527E-3</v>
      </c>
      <c r="Y464" s="42"/>
    </row>
    <row r="465" spans="15:25">
      <c r="O465" s="37">
        <f t="shared" ref="O465:O528" si="8">O464+0.01%</f>
        <v>3.5999999999999997E-2</v>
      </c>
      <c r="P465" s="38">
        <f>IFERROR(_xll.qlBlackFormula(IF(O465&lt;$C$4,"Put","Call"),O465,$C$4,$C$9*SQRT($C$7)),"")</f>
        <v>2.2046494494344383E-6</v>
      </c>
      <c r="Q465" s="39">
        <f>IFERROR(_xll.qlBlackFormula(IF(O465&lt;$C$4,"Put","Call"),O465,$C$4,$C$10*SQRT($C$7),,$C$11),"")</f>
        <v>4.7113851694979915E-9</v>
      </c>
      <c r="R465" s="40">
        <f>IFERROR(_xll.qlBachelierBlackFormula(IF(O465&lt;$C$4,"Put","Call"),O465,$C$4,$C$12*SQRT($C$7)),"")</f>
        <v>6.8786897521430225E-27</v>
      </c>
      <c r="S465" s="41">
        <f>IFERROR((_xll.qlBlackFormula(IF(O465&lt;$C$4,"Put","Call"),O465+$C$14,$C$4,$C$9*SQRT($C$7))-
2*_xll.qlBlackFormula(IF(O465&lt;$C$4,"Put","Call"),O465,$C$4,$C$9*SQRT($C$7))+
_xll.qlBlackFormula(IF(O465&lt;$C$4,"Put","Call"),O465-$C$14,$C$4,$C$9*SQRT($C$7)))/$C$14^2,"")</f>
        <v>5.0805397012348465E-2</v>
      </c>
      <c r="T465" s="42">
        <f>IFERROR((_xll.qlBlackFormula(IF(O465&lt;$C$4,"Put","Call"),O465+$C$14,$C$4,$C$10*SQRT($C$7),,$C$11)-
2*_xll.qlBlackFormula(IF(O465&lt;$C$4,"Put","Call"),O465,$C$4,$C$10*SQRT($C$7),,$C$11)+
_xll.qlBlackFormula(IF(O465&lt;$C$4,"Put","Call"),O465-$C$14,$C$4,$C$10*SQRT($C$7),,$C$11))/$C$14^2,"")</f>
        <v>6.5028707241160724E-4</v>
      </c>
      <c r="U465" s="43">
        <f>IFERROR((_xll.qlBachelierBlackFormula(IF(O465&lt;$C$4,"Put","Call"),O465+$C$14,$C$4,$C$12*SQRT($C$7))-
2*_xll.qlBachelierBlackFormula(IF(O465&lt;$C$4,"Put","Call"),O465,$C$4,$C$12*SQRT($C$7))+
_xll.qlBachelierBlackFormula(IF(O465&lt;$C$4,"Put","Call"),O465-$C$14,$C$4,$C$12*SQRT($C$7)))/$C$14^2,"")</f>
        <v>7.0646907243611168E-20</v>
      </c>
      <c r="V465" s="61">
        <f>IFERROR(_xll.qlBachelierBlackFormulaImpliedVol(IF(O465&lt;$C$4,"Put","Call"),O465,$C$4,$C$7,P465),"")</f>
        <v>9.8457403991793237E-3</v>
      </c>
      <c r="W465" s="61">
        <f>IFERROR(_xll.qlBachelierBlackFormulaImpliedVol(IF(O465&lt;$C$4,"Put","Call"),O465,$C$4,$C$7,Q465),"")</f>
        <v>6.8844198511560564E-3</v>
      </c>
      <c r="X465" s="61">
        <f>IFERROR(_xll.qlBachelierBlackFormulaImpliedVol(IF(O465&lt;$C$4,"Put","Call"),O465,$C$4,$C$7,R465),"")</f>
        <v>4.0258898129058081E-3</v>
      </c>
      <c r="Y465" s="42"/>
    </row>
    <row r="466" spans="15:25">
      <c r="O466" s="37">
        <f t="shared" si="8"/>
        <v>3.61E-2</v>
      </c>
      <c r="P466" s="38">
        <f>IFERROR(_xll.qlBlackFormula(IF(O466&lt;$C$4,"Put","Call"),O466,$C$4,$C$9*SQRT($C$7)),"")</f>
        <v>2.1731642779147521E-6</v>
      </c>
      <c r="Q466" s="39">
        <f>IFERROR(_xll.qlBlackFormula(IF(O466&lt;$C$4,"Put","Call"),O466,$C$4,$C$10*SQRT($C$7),,$C$11),"")</f>
        <v>4.542075531704944E-9</v>
      </c>
      <c r="R466" s="40">
        <f>IFERROR(_xll.qlBachelierBlackFormula(IF(O466&lt;$C$4,"Put","Call"),O466,$C$4,$C$12*SQRT($C$7)),"")</f>
        <v>4.9823330297619004E-27</v>
      </c>
      <c r="S466" s="41">
        <f>IFERROR((_xll.qlBlackFormula(IF(O466&lt;$C$4,"Put","Call"),O466+$C$14,$C$4,$C$9*SQRT($C$7))-
2*_xll.qlBlackFormula(IF(O466&lt;$C$4,"Put","Call"),O466,$C$4,$C$9*SQRT($C$7))+
_xll.qlBlackFormula(IF(O466&lt;$C$4,"Put","Call"),O466-$C$14,$C$4,$C$9*SQRT($C$7)))/$C$14^2,"")</f>
        <v>4.9914816407209926E-2</v>
      </c>
      <c r="T466" s="42">
        <f>IFERROR((_xll.qlBlackFormula(IF(O466&lt;$C$4,"Put","Call"),O466+$C$14,$C$4,$C$10*SQRT($C$7),,$C$11)-
2*_xll.qlBlackFormula(IF(O466&lt;$C$4,"Put","Call"),O466,$C$4,$C$10*SQRT($C$7),,$C$11)+
_xll.qlBlackFormula(IF(O466&lt;$C$4,"Put","Call"),O466-$C$14,$C$4,$C$10*SQRT($C$7),,$C$11))/$C$14^2,"")</f>
        <v>6.2377102363516659E-4</v>
      </c>
      <c r="U466" s="43">
        <f>IFERROR((_xll.qlBachelierBlackFormula(IF(O466&lt;$C$4,"Put","Call"),O466+$C$14,$C$4,$C$12*SQRT($C$7))-
2*_xll.qlBachelierBlackFormula(IF(O466&lt;$C$4,"Put","Call"),O466,$C$4,$C$12*SQRT($C$7))+
_xll.qlBachelierBlackFormula(IF(O466&lt;$C$4,"Put","Call"),O466-$C$14,$C$4,$C$12*SQRT($C$7)))/$C$14^2,"")</f>
        <v>5.1491751915611361E-20</v>
      </c>
      <c r="V466" s="61">
        <f>IFERROR(_xll.qlBachelierBlackFormulaImpliedVol(IF(O466&lt;$C$4,"Put","Call"),O466,$C$4,$C$7,P466),"")</f>
        <v>9.8636540784364599E-3</v>
      </c>
      <c r="W466" s="61">
        <f>IFERROR(_xll.qlBachelierBlackFormulaImpliedVol(IF(O466&lt;$C$4,"Put","Call"),O466,$C$4,$C$7,Q466),"")</f>
        <v>6.8947255128899891E-3</v>
      </c>
      <c r="X466" s="61">
        <f>IFERROR(_xll.qlBachelierBlackFormulaImpliedVol(IF(O466&lt;$C$4,"Put","Call"),O466,$C$4,$C$7,R466),"")</f>
        <v>4.0388765542377627E-3</v>
      </c>
      <c r="Y466" s="42"/>
    </row>
    <row r="467" spans="15:25">
      <c r="O467" s="37">
        <f t="shared" si="8"/>
        <v>3.6200000000000003E-2</v>
      </c>
      <c r="P467" s="38">
        <f>IFERROR(_xll.qlBlackFormula(IF(O467&lt;$C$4,"Put","Call"),O467,$C$4,$C$9*SQRT($C$7)),"")</f>
        <v>2.1421782861694826E-6</v>
      </c>
      <c r="Q467" s="39">
        <f>IFERROR(_xll.qlBlackFormula(IF(O467&lt;$C$4,"Put","Call"),O467,$C$4,$C$10*SQRT($C$7),,$C$11),"")</f>
        <v>4.378996598219945E-9</v>
      </c>
      <c r="R467" s="40">
        <f>IFERROR(_xll.qlBachelierBlackFormula(IF(O467&lt;$C$4,"Put","Call"),O467,$C$4,$C$12*SQRT($C$7)),"")</f>
        <v>3.6051692766198314E-27</v>
      </c>
      <c r="S467" s="41">
        <f>IFERROR((_xll.qlBlackFormula(IF(O467&lt;$C$4,"Put","Call"),O467+$C$14,$C$4,$C$9*SQRT($C$7))-
2*_xll.qlBlackFormula(IF(O467&lt;$C$4,"Put","Call"),O467,$C$4,$C$9*SQRT($C$7))+
_xll.qlBlackFormula(IF(O467&lt;$C$4,"Put","Call"),O467-$C$14,$C$4,$C$9*SQRT($C$7)))/$C$14^2,"")</f>
        <v>4.9046927814728331E-2</v>
      </c>
      <c r="T467" s="42">
        <f>IFERROR((_xll.qlBlackFormula(IF(O467&lt;$C$4,"Put","Call"),O467+$C$14,$C$4,$C$10*SQRT($C$7),,$C$11)-
2*_xll.qlBlackFormula(IF(O467&lt;$C$4,"Put","Call"),O467,$C$4,$C$10*SQRT($C$7),,$C$11)+
_xll.qlBlackFormula(IF(O467&lt;$C$4,"Put","Call"),O467-$C$14,$C$4,$C$10*SQRT($C$7),,$C$11))/$C$14^2,"")</f>
        <v>5.9717952275197136E-4</v>
      </c>
      <c r="U467" s="43">
        <f>IFERROR((_xll.qlBachelierBlackFormula(IF(O467&lt;$C$4,"Put","Call"),O467+$C$14,$C$4,$C$12*SQRT($C$7))-
2*_xll.qlBachelierBlackFormula(IF(O467&lt;$C$4,"Put","Call"),O467,$C$4,$C$12*SQRT($C$7))+
_xll.qlBachelierBlackFormula(IF(O467&lt;$C$4,"Put","Call"),O467-$C$14,$C$4,$C$12*SQRT($C$7)))/$C$14^2,"")</f>
        <v>3.749210386418343E-20</v>
      </c>
      <c r="V467" s="61">
        <f>IFERROR(_xll.qlBachelierBlackFormulaImpliedVol(IF(O467&lt;$C$4,"Put","Call"),O467,$C$4,$C$7,P467),"")</f>
        <v>9.8815559210306755E-3</v>
      </c>
      <c r="W467" s="61">
        <f>IFERROR(_xll.qlBachelierBlackFormulaImpliedVol(IF(O467&lt;$C$4,"Put","Call"),O467,$C$4,$C$7,Q467),"")</f>
        <v>6.9050245912923199E-3</v>
      </c>
      <c r="X467" s="61">
        <f>IFERROR(_xll.qlBachelierBlackFormulaImpliedVol(IF(O467&lt;$C$4,"Put","Call"),O467,$C$4,$C$7,R467),"")</f>
        <v>4.0518632955697173E-3</v>
      </c>
      <c r="Y467" s="42"/>
    </row>
    <row r="468" spans="15:25">
      <c r="O468" s="37">
        <f t="shared" si="8"/>
        <v>3.6300000000000006E-2</v>
      </c>
      <c r="P468" s="38">
        <f>IFERROR(_xll.qlBlackFormula(IF(O468&lt;$C$4,"Put","Call"),O468,$C$4,$C$9*SQRT($C$7)),"")</f>
        <v>2.1116827537537958E-6</v>
      </c>
      <c r="Q468" s="39">
        <f>IFERROR(_xll.qlBlackFormula(IF(O468&lt;$C$4,"Put","Call"),O468,$C$4,$C$10*SQRT($C$7),,$C$11),"")</f>
        <v>4.2219137954435702E-9</v>
      </c>
      <c r="R468" s="40">
        <f>IFERROR(_xll.qlBachelierBlackFormula(IF(O468&lt;$C$4,"Put","Call"),O468,$C$4,$C$12*SQRT($C$7)),"")</f>
        <v>2.6060599223934599E-27</v>
      </c>
      <c r="S468" s="41">
        <f>IFERROR((_xll.qlBlackFormula(IF(O468&lt;$C$4,"Put","Call"),O468+$C$14,$C$4,$C$9*SQRT($C$7))-
2*_xll.qlBlackFormula(IF(O468&lt;$C$4,"Put","Call"),O468,$C$4,$C$9*SQRT($C$7))+
_xll.qlBlackFormula(IF(O468&lt;$C$4,"Put","Call"),O468-$C$14,$C$4,$C$9*SQRT($C$7)))/$C$14^2,"")</f>
        <v>4.818943401057544E-2</v>
      </c>
      <c r="T468" s="42">
        <f>IFERROR((_xll.qlBlackFormula(IF(O468&lt;$C$4,"Put","Call"),O468+$C$14,$C$4,$C$10*SQRT($C$7),,$C$11)-
2*_xll.qlBlackFormula(IF(O468&lt;$C$4,"Put","Call"),O468,$C$4,$C$10*SQRT($C$7),,$C$11)+
_xll.qlBlackFormula(IF(O468&lt;$C$4,"Put","Call"),O468-$C$14,$C$4,$C$10*SQRT($C$7),,$C$11))/$C$14^2,"")</f>
        <v>5.7559022787834549E-4</v>
      </c>
      <c r="U468" s="43">
        <f>IFERROR((_xll.qlBachelierBlackFormula(IF(O468&lt;$C$4,"Put","Call"),O468+$C$14,$C$4,$C$12*SQRT($C$7))-
2*_xll.qlBachelierBlackFormula(IF(O468&lt;$C$4,"Put","Call"),O468,$C$4,$C$12*SQRT($C$7))+
_xll.qlBachelierBlackFormula(IF(O468&lt;$C$4,"Put","Call"),O468-$C$14,$C$4,$C$12*SQRT($C$7)))/$C$14^2,"")</f>
        <v>2.7270907365018065E-20</v>
      </c>
      <c r="V468" s="61">
        <f>IFERROR(_xll.qlBachelierBlackFormulaImpliedVol(IF(O468&lt;$C$4,"Put","Call"),O468,$C$4,$C$7,P468),"")</f>
        <v>9.8994459728376887E-3</v>
      </c>
      <c r="W468" s="61">
        <f>IFERROR(_xll.qlBachelierBlackFormulaImpliedVol(IF(O468&lt;$C$4,"Put","Call"),O468,$C$4,$C$7,Q468),"")</f>
        <v>6.9153171092467113E-3</v>
      </c>
      <c r="X468" s="61">
        <f>IFERROR(_xll.qlBachelierBlackFormulaImpliedVol(IF(O468&lt;$C$4,"Put","Call"),O468,$C$4,$C$7,R468),"")</f>
        <v>4.0648500369016719E-3</v>
      </c>
      <c r="Y468" s="42"/>
    </row>
    <row r="469" spans="15:25">
      <c r="O469" s="37">
        <f t="shared" si="8"/>
        <v>3.6400000000000009E-2</v>
      </c>
      <c r="P469" s="38">
        <f>IFERROR(_xll.qlBlackFormula(IF(O469&lt;$C$4,"Put","Call"),O469,$C$4,$C$9*SQRT($C$7)),"")</f>
        <v>2.0816691269452929E-6</v>
      </c>
      <c r="Q469" s="39">
        <f>IFERROR(_xll.qlBlackFormula(IF(O469&lt;$C$4,"Put","Call"),O469,$C$4,$C$10*SQRT($C$7),,$C$11),"")</f>
        <v>4.0706015737579292E-9</v>
      </c>
      <c r="R469" s="40">
        <f>IFERROR(_xll.qlBachelierBlackFormula(IF(O469&lt;$C$4,"Put","Call"),O469,$C$4,$C$12*SQRT($C$7)),"")</f>
        <v>1.8819536081548824E-27</v>
      </c>
      <c r="S469" s="41">
        <f>IFERROR((_xll.qlBlackFormula(IF(O469&lt;$C$4,"Put","Call"),O469+$C$14,$C$4,$C$9*SQRT($C$7))-
2*_xll.qlBlackFormula(IF(O469&lt;$C$4,"Put","Call"),O469,$C$4,$C$9*SQRT($C$7))+
_xll.qlBlackFormula(IF(O469&lt;$C$4,"Put","Call"),O469-$C$14,$C$4,$C$9*SQRT($C$7)))/$C$14^2,"")</f>
        <v>4.7352119919357935E-2</v>
      </c>
      <c r="T469" s="42">
        <f>IFERROR((_xll.qlBlackFormula(IF(O469&lt;$C$4,"Put","Call"),O469+$C$14,$C$4,$C$10*SQRT($C$7),,$C$11)-
2*_xll.qlBlackFormula(IF(O469&lt;$C$4,"Put","Call"),O469,$C$4,$C$10*SQRT($C$7),,$C$11)+
_xll.qlBlackFormula(IF(O469&lt;$C$4,"Put","Call"),O469-$C$14,$C$4,$C$10*SQRT($C$7),,$C$11))/$C$14^2,"")</f>
        <v>5.5648985991088769E-4</v>
      </c>
      <c r="U469" s="43">
        <f>IFERROR((_xll.qlBachelierBlackFormula(IF(O469&lt;$C$4,"Put","Call"),O469+$C$14,$C$4,$C$12*SQRT($C$7))-
2*_xll.qlBachelierBlackFormula(IF(O469&lt;$C$4,"Put","Call"),O469,$C$4,$C$12*SQRT($C$7))+
_xll.qlBachelierBlackFormula(IF(O469&lt;$C$4,"Put","Call"),O469-$C$14,$C$4,$C$12*SQRT($C$7)))/$C$14^2,"")</f>
        <v>1.9816045687886574E-20</v>
      </c>
      <c r="V469" s="61">
        <f>IFERROR(_xll.qlBachelierBlackFormulaImpliedVol(IF(O469&lt;$C$4,"Put","Call"),O469,$C$4,$C$7,P469),"")</f>
        <v>9.9173242794210262E-3</v>
      </c>
      <c r="W469" s="61">
        <f>IFERROR(_xll.qlBachelierBlackFormulaImpliedVol(IF(O469&lt;$C$4,"Put","Call"),O469,$C$4,$C$7,Q469),"")</f>
        <v>6.9256030894543404E-3</v>
      </c>
      <c r="X469" s="61">
        <f>IFERROR(_xll.qlBachelierBlackFormulaImpliedVol(IF(O469&lt;$C$4,"Put","Call"),O469,$C$4,$C$7,R469),"")</f>
        <v>4.0778367782336265E-3</v>
      </c>
      <c r="Y469" s="42"/>
    </row>
    <row r="470" spans="15:25">
      <c r="O470" s="37">
        <f t="shared" si="8"/>
        <v>3.6500000000000012E-2</v>
      </c>
      <c r="P470" s="38">
        <f>IFERROR(_xll.qlBlackFormula(IF(O470&lt;$C$4,"Put","Call"),O470,$C$4,$C$9*SQRT($C$7)),"")</f>
        <v>2.0521290152891967E-6</v>
      </c>
      <c r="Q470" s="39">
        <f>IFERROR(_xll.qlBlackFormula(IF(O470&lt;$C$4,"Put","Call"),O470,$C$4,$C$10*SQRT($C$7),,$C$11),"")</f>
        <v>3.9248430579175023E-9</v>
      </c>
      <c r="R470" s="40">
        <f>IFERROR(_xll.qlBachelierBlackFormula(IF(O470&lt;$C$4,"Put","Call"),O470,$C$4,$C$12*SQRT($C$7)),"")</f>
        <v>1.3576854435033437E-27</v>
      </c>
      <c r="S470" s="41">
        <f>IFERROR((_xll.qlBlackFormula(IF(O470&lt;$C$4,"Put","Call"),O470+$C$14,$C$4,$C$9*SQRT($C$7))-
2*_xll.qlBlackFormula(IF(O470&lt;$C$4,"Put","Call"),O470,$C$4,$C$9*SQRT($C$7))+
_xll.qlBlackFormula(IF(O470&lt;$C$4,"Put","Call"),O470-$C$14,$C$4,$C$9*SQRT($C$7)))/$C$14^2,"")</f>
        <v>4.6529603493728963E-2</v>
      </c>
      <c r="T470" s="42">
        <f>IFERROR((_xll.qlBlackFormula(IF(O470&lt;$C$4,"Put","Call"),O470+$C$14,$C$4,$C$10*SQRT($C$7),,$C$11)-
2*_xll.qlBlackFormula(IF(O470&lt;$C$4,"Put","Call"),O470,$C$4,$C$10*SQRT($C$7),,$C$11)+
_xll.qlBlackFormula(IF(O470&lt;$C$4,"Put","Call"),O470-$C$14,$C$4,$C$10*SQRT($C$7),,$C$11))/$C$14^2,"")</f>
        <v>5.3232728556094813E-4</v>
      </c>
      <c r="U470" s="43">
        <f>IFERROR((_xll.qlBachelierBlackFormula(IF(O470&lt;$C$4,"Put","Call"),O470+$C$14,$C$4,$C$12*SQRT($C$7))-
2*_xll.qlBachelierBlackFormula(IF(O470&lt;$C$4,"Put","Call"),O470,$C$4,$C$12*SQRT($C$7))+
_xll.qlBachelierBlackFormula(IF(O470&lt;$C$4,"Put","Call"),O470-$C$14,$C$4,$C$12*SQRT($C$7)))/$C$14^2,"")</f>
        <v>1.4384409278176773E-20</v>
      </c>
      <c r="V470" s="61">
        <f>IFERROR(_xll.qlBachelierBlackFormulaImpliedVol(IF(O470&lt;$C$4,"Put","Call"),O470,$C$4,$C$7,P470),"")</f>
        <v>9.9351908860430566E-3</v>
      </c>
      <c r="W470" s="61">
        <f>IFERROR(_xll.qlBachelierBlackFormulaImpliedVol(IF(O470&lt;$C$4,"Put","Call"),O470,$C$4,$C$7,Q470),"")</f>
        <v>6.9358825543579701E-3</v>
      </c>
      <c r="X470" s="61">
        <f>IFERROR(_xll.qlBachelierBlackFormulaImpliedVol(IF(O470&lt;$C$4,"Put","Call"),O470,$C$4,$C$7,R470),"")</f>
        <v>4.0908235195655819E-3</v>
      </c>
      <c r="Y470" s="42"/>
    </row>
    <row r="471" spans="15:25">
      <c r="O471" s="37">
        <f t="shared" si="8"/>
        <v>3.6600000000000014E-2</v>
      </c>
      <c r="P471" s="38">
        <f>IFERROR(_xll.qlBlackFormula(IF(O471&lt;$C$4,"Put","Call"),O471,$C$4,$C$9*SQRT($C$7)),"")</f>
        <v>2.0230541881988439E-6</v>
      </c>
      <c r="Q471" s="39">
        <f>IFERROR(_xll.qlBlackFormula(IF(O471&lt;$C$4,"Put","Call"),O471,$C$4,$C$10*SQRT($C$7),,$C$11),"")</f>
        <v>3.7844296976174905E-9</v>
      </c>
      <c r="R471" s="40">
        <f>IFERROR(_xll.qlBachelierBlackFormula(IF(O471&lt;$C$4,"Put","Call"),O471,$C$4,$C$12*SQRT($C$7)),"")</f>
        <v>9.7848707828556717E-28</v>
      </c>
      <c r="S471" s="41">
        <f>IFERROR((_xll.qlBlackFormula(IF(O471&lt;$C$4,"Put","Call"),O471+$C$14,$C$4,$C$9*SQRT($C$7))-
2*_xll.qlBlackFormula(IF(O471&lt;$C$4,"Put","Call"),O471,$C$4,$C$9*SQRT($C$7))+
_xll.qlBlackFormula(IF(O471&lt;$C$4,"Put","Call"),O471-$C$14,$C$4,$C$9*SQRT($C$7)))/$C$14^2,"")</f>
        <v>4.5722611487957268E-2</v>
      </c>
      <c r="T471" s="42">
        <f>IFERROR((_xll.qlBlackFormula(IF(O471&lt;$C$4,"Put","Call"),O471+$C$14,$C$4,$C$10*SQRT($C$7),,$C$11)-
2*_xll.qlBlackFormula(IF(O471&lt;$C$4,"Put","Call"),O471,$C$4,$C$10*SQRT($C$7),,$C$11)+
_xll.qlBlackFormula(IF(O471&lt;$C$4,"Put","Call"),O471-$C$14,$C$4,$C$10*SQRT($C$7),,$C$11))/$C$14^2,"")</f>
        <v>5.1722597851315956E-4</v>
      </c>
      <c r="U471" s="43">
        <f>IFERROR((_xll.qlBachelierBlackFormula(IF(O471&lt;$C$4,"Put","Call"),O471+$C$14,$C$4,$C$12*SQRT($C$7))-
2*_xll.qlBachelierBlackFormula(IF(O471&lt;$C$4,"Put","Call"),O471,$C$4,$C$12*SQRT($C$7))+
_xll.qlBachelierBlackFormula(IF(O471&lt;$C$4,"Put","Call"),O471-$C$14,$C$4,$C$12*SQRT($C$7)))/$C$14^2,"")</f>
        <v>1.0430970135622509E-20</v>
      </c>
      <c r="V471" s="61">
        <f>IFERROR(_xll.qlBachelierBlackFormulaImpliedVol(IF(O471&lt;$C$4,"Put","Call"),O471,$C$4,$C$7,P471),"")</f>
        <v>9.9530458376616004E-3</v>
      </c>
      <c r="W471" s="61">
        <f>IFERROR(_xll.qlBachelierBlackFormulaImpliedVol(IF(O471&lt;$C$4,"Put","Call"),O471,$C$4,$C$7,Q471),"")</f>
        <v>6.9461555262993148E-3</v>
      </c>
      <c r="X471" s="61">
        <f>IFERROR(_xll.qlBachelierBlackFormulaImpliedVol(IF(O471&lt;$C$4,"Put","Call"),O471,$C$4,$C$7,R471),"")</f>
        <v>4.1038102608975356E-3</v>
      </c>
      <c r="Y471" s="42"/>
    </row>
    <row r="472" spans="15:25">
      <c r="O472" s="37">
        <f t="shared" si="8"/>
        <v>3.6700000000000017E-2</v>
      </c>
      <c r="P472" s="38">
        <f>IFERROR(_xll.qlBlackFormula(IF(O472&lt;$C$4,"Put","Call"),O472,$C$4,$C$9*SQRT($C$7)),"")</f>
        <v>1.9944365716481341E-6</v>
      </c>
      <c r="Q472" s="39">
        <f>IFERROR(_xll.qlBlackFormula(IF(O472&lt;$C$4,"Put","Call"),O472,$C$4,$C$10*SQRT($C$7),,$C$11),"")</f>
        <v>3.6491609540334246E-9</v>
      </c>
      <c r="R472" s="40">
        <f>IFERROR(_xll.qlBachelierBlackFormula(IF(O472&lt;$C$4,"Put","Call"),O472,$C$4,$C$12*SQRT($C$7)),"")</f>
        <v>7.0449297346142916E-28</v>
      </c>
      <c r="S472" s="41">
        <f>IFERROR((_xll.qlBlackFormula(IF(O472&lt;$C$4,"Put","Call"),O472+$C$14,$C$4,$C$9*SQRT($C$7))-
2*_xll.qlBlackFormula(IF(O472&lt;$C$4,"Put","Call"),O472,$C$4,$C$9*SQRT($C$7))+
_xll.qlBlackFormula(IF(O472&lt;$C$4,"Put","Call"),O472-$C$14,$C$4,$C$9*SQRT($C$7)))/$C$14^2,"")</f>
        <v>4.492840459749143E-2</v>
      </c>
      <c r="T472" s="42">
        <f>IFERROR((_xll.qlBlackFormula(IF(O472&lt;$C$4,"Put","Call"),O472+$C$14,$C$4,$C$10*SQRT($C$7),,$C$11)-
2*_xll.qlBlackFormula(IF(O472&lt;$C$4,"Put","Call"),O472,$C$4,$C$10*SQRT($C$7),,$C$11)+
_xll.qlBlackFormula(IF(O472&lt;$C$4,"Put","Call"),O472-$C$14,$C$4,$C$10*SQRT($C$7),,$C$11))/$C$14^2,"")</f>
        <v>4.9329846904097292E-4</v>
      </c>
      <c r="U472" s="43">
        <f>IFERROR((_xll.qlBachelierBlackFormula(IF(O472&lt;$C$4,"Put","Call"),O472+$C$14,$C$4,$C$12*SQRT($C$7))-
2*_xll.qlBachelierBlackFormula(IF(O472&lt;$C$4,"Put","Call"),O472,$C$4,$C$12*SQRT($C$7))+
_xll.qlBachelierBlackFormula(IF(O472&lt;$C$4,"Put","Call"),O472-$C$14,$C$4,$C$12*SQRT($C$7)))/$C$14^2,"")</f>
        <v>7.5564010857853839E-21</v>
      </c>
      <c r="V472" s="61">
        <f>IFERROR(_xll.qlBachelierBlackFormulaImpliedVol(IF(O472&lt;$C$4,"Put","Call"),O472,$C$4,$C$7,P472),"")</f>
        <v>9.9708891789381283E-3</v>
      </c>
      <c r="W472" s="61">
        <f>IFERROR(_xll.qlBachelierBlackFormulaImpliedVol(IF(O472&lt;$C$4,"Put","Call"),O472,$C$4,$C$7,Q472),"")</f>
        <v>6.9564220280668625E-3</v>
      </c>
      <c r="X472" s="61">
        <f>IFERROR(_xll.qlBachelierBlackFormulaImpliedVol(IF(O472&lt;$C$4,"Put","Call"),O472,$C$4,$C$7,R472),"")</f>
        <v>4.1167970022294902E-3</v>
      </c>
      <c r="Y472" s="42"/>
    </row>
    <row r="473" spans="15:25">
      <c r="O473" s="37">
        <f t="shared" si="8"/>
        <v>3.680000000000002E-2</v>
      </c>
      <c r="P473" s="38">
        <f>IFERROR(_xll.qlBlackFormula(IF(O473&lt;$C$4,"Put","Call"),O473,$C$4,$C$9*SQRT($C$7)),"")</f>
        <v>1.9662682449278548E-6</v>
      </c>
      <c r="Q473" s="39">
        <f>IFERROR(_xll.qlBlackFormula(IF(O473&lt;$C$4,"Put","Call"),O473,$C$4,$C$10*SQRT($C$7),,$C$11),"")</f>
        <v>3.5188439662325649E-9</v>
      </c>
      <c r="R473" s="40">
        <f>IFERROR(_xll.qlBachelierBlackFormula(IF(O473&lt;$C$4,"Put","Call"),O473,$C$4,$C$12*SQRT($C$7)),"")</f>
        <v>5.0671507891827235E-28</v>
      </c>
      <c r="S473" s="41">
        <f>IFERROR((_xll.qlBlackFormula(IF(O473&lt;$C$4,"Put","Call"),O473+$C$14,$C$4,$C$9*SQRT($C$7))-
2*_xll.qlBlackFormula(IF(O473&lt;$C$4,"Put","Call"),O473,$C$4,$C$9*SQRT($C$7))+
_xll.qlBlackFormula(IF(O473&lt;$C$4,"Put","Call"),O473-$C$14,$C$4,$C$9*SQRT($C$7)))/$C$14^2,"")</f>
        <v>4.415214294704612E-2</v>
      </c>
      <c r="T473" s="42">
        <f>IFERROR((_xll.qlBlackFormula(IF(O473&lt;$C$4,"Put","Call"),O473+$C$14,$C$4,$C$10*SQRT($C$7),,$C$11)-
2*_xll.qlBlackFormula(IF(O473&lt;$C$4,"Put","Call"),O473,$C$4,$C$10*SQRT($C$7),,$C$11)+
_xll.qlBlackFormula(IF(O473&lt;$C$4,"Put","Call"),O473-$C$14,$C$4,$C$10*SQRT($C$7),,$C$11))/$C$14^2,"")</f>
        <v>4.7879783408424079E-4</v>
      </c>
      <c r="U473" s="43">
        <f>IFERROR((_xll.qlBachelierBlackFormula(IF(O473&lt;$C$4,"Put","Call"),O473+$C$14,$C$4,$C$12*SQRT($C$7))-
2*_xll.qlBachelierBlackFormula(IF(O473&lt;$C$4,"Put","Call"),O473,$C$4,$C$12*SQRT($C$7))+
_xll.qlBachelierBlackFormula(IF(O473&lt;$C$4,"Put","Call"),O473-$C$14,$C$4,$C$12*SQRT($C$7)))/$C$14^2,"")</f>
        <v>5.4684334695701197E-21</v>
      </c>
      <c r="V473" s="61">
        <f>IFERROR(_xll.qlBachelierBlackFormulaImpliedVol(IF(O473&lt;$C$4,"Put","Call"),O473,$C$4,$C$7,P473),"")</f>
        <v>9.9887209542352442E-3</v>
      </c>
      <c r="W473" s="61">
        <f>IFERROR(_xll.qlBachelierBlackFormulaImpliedVol(IF(O473&lt;$C$4,"Put","Call"),O473,$C$4,$C$7,Q473),"")</f>
        <v>6.9666820815093766E-3</v>
      </c>
      <c r="X473" s="61">
        <f>IFERROR(_xll.qlBachelierBlackFormulaImpliedVol(IF(O473&lt;$C$4,"Put","Call"),O473,$C$4,$C$7,R473),"")</f>
        <v>4.1297837435614448E-3</v>
      </c>
      <c r="Y473" s="42"/>
    </row>
    <row r="474" spans="15:25">
      <c r="O474" s="37">
        <f t="shared" si="8"/>
        <v>3.6900000000000023E-2</v>
      </c>
      <c r="P474" s="38">
        <f>IFERROR(_xll.qlBlackFormula(IF(O474&lt;$C$4,"Put","Call"),O474,$C$4,$C$9*SQRT($C$7)),"")</f>
        <v>1.9385414374878169E-6</v>
      </c>
      <c r="Q474" s="39">
        <f>IFERROR(_xll.qlBlackFormula(IF(O474&lt;$C$4,"Put","Call"),O474,$C$4,$C$10*SQRT($C$7),,$C$11),"")</f>
        <v>3.3932932754221266E-9</v>
      </c>
      <c r="R474" s="40">
        <f>IFERROR(_xll.qlBachelierBlackFormula(IF(O474&lt;$C$4,"Put","Call"),O474,$C$4,$C$12*SQRT($C$7)),"")</f>
        <v>3.6409652669255353E-28</v>
      </c>
      <c r="S474" s="41">
        <f>IFERROR((_xll.qlBlackFormula(IF(O474&lt;$C$4,"Put","Call"),O474+$C$14,$C$4,$C$9*SQRT($C$7))-
2*_xll.qlBlackFormula(IF(O474&lt;$C$4,"Put","Call"),O474,$C$4,$C$9*SQRT($C$7))+
_xll.qlBlackFormula(IF(O474&lt;$C$4,"Put","Call"),O474-$C$14,$C$4,$C$9*SQRT($C$7)))/$C$14^2,"")</f>
        <v>4.3385983011529766E-2</v>
      </c>
      <c r="T474" s="42">
        <f>IFERROR((_xll.qlBlackFormula(IF(O474&lt;$C$4,"Put","Call"),O474+$C$14,$C$4,$C$10*SQRT($C$7),,$C$11)-
2*_xll.qlBlackFormula(IF(O474&lt;$C$4,"Put","Call"),O474,$C$4,$C$10*SQRT($C$7),,$C$11)+
_xll.qlBlackFormula(IF(O474&lt;$C$4,"Put","Call"),O474-$C$14,$C$4,$C$10*SQRT($C$7),,$C$11))/$C$14^2,"")</f>
        <v>4.574569051526177E-4</v>
      </c>
      <c r="U474" s="43">
        <f>IFERROR((_xll.qlBachelierBlackFormula(IF(O474&lt;$C$4,"Put","Call"),O474+$C$14,$C$4,$C$12*SQRT($C$7))-
2*_xll.qlBachelierBlackFormula(IF(O474&lt;$C$4,"Put","Call"),O474,$C$4,$C$12*SQRT($C$7))+
_xll.qlBachelierBlackFormula(IF(O474&lt;$C$4,"Put","Call"),O474-$C$14,$C$4,$C$12*SQRT($C$7)))/$C$14^2,"")</f>
        <v>3.9533794150434491E-21</v>
      </c>
      <c r="V474" s="61">
        <f>IFERROR(_xll.qlBachelierBlackFormulaImpliedVol(IF(O474&lt;$C$4,"Put","Call"),O474,$C$4,$C$7,P474),"")</f>
        <v>1.0006541207623528E-2</v>
      </c>
      <c r="W474" s="61">
        <f>IFERROR(_xll.qlBachelierBlackFormulaImpliedVol(IF(O474&lt;$C$4,"Put","Call"),O474,$C$4,$C$7,Q474),"")</f>
        <v>6.9769357086824297E-3</v>
      </c>
      <c r="X474" s="61">
        <f>IFERROR(_xll.qlBachelierBlackFormulaImpliedVol(IF(O474&lt;$C$4,"Put","Call"),O474,$C$4,$C$7,R474),"")</f>
        <v>4.1427704848934002E-3</v>
      </c>
      <c r="Y474" s="42"/>
    </row>
    <row r="475" spans="15:25">
      <c r="O475" s="37">
        <f t="shared" si="8"/>
        <v>3.7000000000000026E-2</v>
      </c>
      <c r="P475" s="38">
        <f>IFERROR(_xll.qlBlackFormula(IF(O475&lt;$C$4,"Put","Call"),O475,$C$4,$C$9*SQRT($C$7)),"")</f>
        <v>1.9112485258290709E-6</v>
      </c>
      <c r="Q475" s="39">
        <f>IFERROR(_xll.qlBlackFormula(IF(O475&lt;$C$4,"Put","Call"),O475,$C$4,$C$10*SQRT($C$7),,$C$11),"")</f>
        <v>3.2723305122272835E-9</v>
      </c>
      <c r="R475" s="40">
        <f>IFERROR(_xll.qlBachelierBlackFormula(IF(O475&lt;$C$4,"Put","Call"),O475,$C$4,$C$12*SQRT($C$7)),"")</f>
        <v>2.6135736515313078E-28</v>
      </c>
      <c r="S475" s="41">
        <f>IFERROR((_xll.qlBlackFormula(IF(O475&lt;$C$4,"Put","Call"),O475+$C$14,$C$4,$C$9*SQRT($C$7))-
2*_xll.qlBlackFormula(IF(O475&lt;$C$4,"Put","Call"),O475,$C$4,$C$9*SQRT($C$7))+
_xll.qlBlackFormula(IF(O475&lt;$C$4,"Put","Call"),O475-$C$14,$C$4,$C$9*SQRT($C$7)))/$C$14^2,"")</f>
        <v>4.2638637371837824E-2</v>
      </c>
      <c r="T475" s="42">
        <f>IFERROR((_xll.qlBlackFormula(IF(O475&lt;$C$4,"Put","Call"),O475+$C$14,$C$4,$C$10*SQRT($C$7),,$C$11)-
2*_xll.qlBlackFormula(IF(O475&lt;$C$4,"Put","Call"),O475,$C$4,$C$10*SQRT($C$7),,$C$11)+
_xll.qlBlackFormula(IF(O475&lt;$C$4,"Put","Call"),O475-$C$14,$C$4,$C$10*SQRT($C$7),,$C$11))/$C$14^2,"")</f>
        <v>4.4129954654294998E-4</v>
      </c>
      <c r="U475" s="43">
        <f>IFERROR((_xll.qlBachelierBlackFormula(IF(O475&lt;$C$4,"Put","Call"),O475+$C$14,$C$4,$C$12*SQRT($C$7))-
2*_xll.qlBachelierBlackFormula(IF(O475&lt;$C$4,"Put","Call"),O475,$C$4,$C$12*SQRT($C$7))+
_xll.qlBachelierBlackFormula(IF(O475&lt;$C$4,"Put","Call"),O475-$C$14,$C$4,$C$12*SQRT($C$7)))/$C$14^2,"")</f>
        <v>2.8551681641649947E-21</v>
      </c>
      <c r="V475" s="61">
        <f>IFERROR(_xll.qlBachelierBlackFormulaImpliedVol(IF(O475&lt;$C$4,"Put","Call"),O475,$C$4,$C$7,P475),"")</f>
        <v>1.0024349982881431E-2</v>
      </c>
      <c r="W475" s="61">
        <f>IFERROR(_xll.qlBachelierBlackFormulaImpliedVol(IF(O475&lt;$C$4,"Put","Call"),O475,$C$4,$C$7,Q475),"")</f>
        <v>6.9871829313986767E-3</v>
      </c>
      <c r="X475" s="61">
        <f>IFERROR(_xll.qlBachelierBlackFormulaImpliedVol(IF(O475&lt;$C$4,"Put","Call"),O475,$C$4,$C$7,R475),"")</f>
        <v>4.1557572262253539E-3</v>
      </c>
      <c r="Y475" s="42"/>
    </row>
    <row r="476" spans="15:25">
      <c r="O476" s="37">
        <f t="shared" si="8"/>
        <v>3.7100000000000029E-2</v>
      </c>
      <c r="P476" s="38">
        <f>IFERROR(_xll.qlBlackFormula(IF(O476&lt;$C$4,"Put","Call"),O476,$C$4,$C$9*SQRT($C$7)),"")</f>
        <v>1.8843820304842372E-6</v>
      </c>
      <c r="Q476" s="39">
        <f>IFERROR(_xll.qlBlackFormula(IF(O476&lt;$C$4,"Put","Call"),O476,$C$4,$C$10*SQRT($C$7),,$C$11),"")</f>
        <v>3.1557841379092616E-9</v>
      </c>
      <c r="R476" s="40">
        <f>IFERROR(_xll.qlBachelierBlackFormula(IF(O476&lt;$C$4,"Put","Call"),O476,$C$4,$C$12*SQRT($C$7)),"")</f>
        <v>1.8742106636468095E-28</v>
      </c>
      <c r="S476" s="41">
        <f>IFERROR((_xll.qlBlackFormula(IF(O476&lt;$C$4,"Put","Call"),O476+$C$14,$C$4,$C$9*SQRT($C$7))-
2*_xll.qlBlackFormula(IF(O476&lt;$C$4,"Put","Call"),O476,$C$4,$C$9*SQRT($C$7))+
_xll.qlBlackFormula(IF(O476&lt;$C$4,"Put","Call"),O476-$C$14,$C$4,$C$9*SQRT($C$7)))/$C$14^2,"")</f>
        <v>4.1907251526938048E-2</v>
      </c>
      <c r="T476" s="42">
        <f>IFERROR((_xll.qlBlackFormula(IF(O476&lt;$C$4,"Put","Call"),O476+$C$14,$C$4,$C$10*SQRT($C$7),,$C$11)-
2*_xll.qlBlackFormula(IF(O476&lt;$C$4,"Put","Call"),O476,$C$4,$C$10*SQRT($C$7),,$C$11)+
_xll.qlBlackFormula(IF(O476&lt;$C$4,"Put","Call"),O476-$C$14,$C$4,$C$10*SQRT($C$7),,$C$11))/$C$14^2,"")</f>
        <v>4.2554826743959682E-4</v>
      </c>
      <c r="U476" s="43">
        <f>IFERROR((_xll.qlBachelierBlackFormula(IF(O476&lt;$C$4,"Put","Call"),O476+$C$14,$C$4,$C$12*SQRT($C$7))-
2*_xll.qlBachelierBlackFormula(IF(O476&lt;$C$4,"Put","Call"),O476,$C$4,$C$12*SQRT($C$7))+
_xll.qlBachelierBlackFormula(IF(O476&lt;$C$4,"Put","Call"),O476-$C$14,$C$4,$C$12*SQRT($C$7)))/$C$14^2,"")</f>
        <v>2.0599302507176672E-21</v>
      </c>
      <c r="V476" s="61">
        <f>IFERROR(_xll.qlBachelierBlackFormulaImpliedVol(IF(O476&lt;$C$4,"Put","Call"),O476,$C$4,$C$7,P476),"")</f>
        <v>1.0042147323501085E-2</v>
      </c>
      <c r="W476" s="61">
        <f>IFERROR(_xll.qlBachelierBlackFormulaImpliedVol(IF(O476&lt;$C$4,"Put","Call"),O476,$C$4,$C$7,Q476),"")</f>
        <v>6.9974237717848192E-3</v>
      </c>
      <c r="X476" s="61">
        <f>IFERROR(_xll.qlBachelierBlackFormulaImpliedVol(IF(O476&lt;$C$4,"Put","Call"),O476,$C$4,$C$7,R476),"")</f>
        <v>4.1687439675573085E-3</v>
      </c>
      <c r="Y476" s="42"/>
    </row>
    <row r="477" spans="15:25">
      <c r="O477" s="37">
        <f t="shared" si="8"/>
        <v>3.7200000000000032E-2</v>
      </c>
      <c r="P477" s="38">
        <f>IFERROR(_xll.qlBlackFormula(IF(O477&lt;$C$4,"Put","Call"),O477,$C$4,$C$9*SQRT($C$7)),"")</f>
        <v>1.857934613062731E-6</v>
      </c>
      <c r="Q477" s="39">
        <f>IFERROR(_xll.qlBlackFormula(IF(O477&lt;$C$4,"Put","Call"),O477,$C$4,$C$10*SQRT($C$7),,$C$11),"")</f>
        <v>3.0434891652663882E-9</v>
      </c>
      <c r="R477" s="40">
        <f>IFERROR(_xll.qlBachelierBlackFormula(IF(O477&lt;$C$4,"Put","Call"),O477,$C$4,$C$12*SQRT($C$7)),"")</f>
        <v>1.3426644032832302E-28</v>
      </c>
      <c r="S477" s="41">
        <f>IFERROR((_xll.qlBlackFormula(IF(O477&lt;$C$4,"Put","Call"),O477+$C$14,$C$4,$C$9*SQRT($C$7))-
2*_xll.qlBlackFormula(IF(O477&lt;$C$4,"Put","Call"),O477,$C$4,$C$9*SQRT($C$7))+
_xll.qlBlackFormula(IF(O477&lt;$C$4,"Put","Call"),O477-$C$14,$C$4,$C$9*SQRT($C$7)))/$C$14^2,"")</f>
        <v>4.1186665352115764E-2</v>
      </c>
      <c r="T477" s="42">
        <f>IFERROR((_xll.qlBlackFormula(IF(O477&lt;$C$4,"Put","Call"),O477+$C$14,$C$4,$C$10*SQRT($C$7),,$C$11)-
2*_xll.qlBlackFormula(IF(O477&lt;$C$4,"Put","Call"),O477,$C$4,$C$10*SQRT($C$7),,$C$11)+
_xll.qlBlackFormula(IF(O477&lt;$C$4,"Put","Call"),O477-$C$14,$C$4,$C$10*SQRT($C$7),,$C$11))/$C$14^2,"")</f>
        <v>4.0661608183428327E-4</v>
      </c>
      <c r="U477" s="43">
        <f>IFERROR((_xll.qlBachelierBlackFormula(IF(O477&lt;$C$4,"Put","Call"),O477+$C$14,$C$4,$C$12*SQRT($C$7))-
2*_xll.qlBachelierBlackFormula(IF(O477&lt;$C$4,"Put","Call"),O477,$C$4,$C$12*SQRT($C$7))+
_xll.qlBachelierBlackFormula(IF(O477&lt;$C$4,"Put","Call"),O477-$C$14,$C$4,$C$12*SQRT($C$7)))/$C$14^2,"")</f>
        <v>1.4846735608719275E-21</v>
      </c>
      <c r="V477" s="61">
        <f>IFERROR(_xll.qlBachelierBlackFormulaImpliedVol(IF(O477&lt;$C$4,"Put","Call"),O477,$C$4,$C$7,P477),"")</f>
        <v>1.0059933272688736E-2</v>
      </c>
      <c r="W477" s="61">
        <f>IFERROR(_xll.qlBachelierBlackFormulaImpliedVol(IF(O477&lt;$C$4,"Put","Call"),O477,$C$4,$C$7,Q477),"")</f>
        <v>7.0076582512915916E-3</v>
      </c>
      <c r="X477" s="61">
        <f>IFERROR(_xll.qlBachelierBlackFormulaImpliedVol(IF(O477&lt;$C$4,"Put","Call"),O477,$C$4,$C$7,R477),"")</f>
        <v>4.181730708889264E-3</v>
      </c>
      <c r="Y477" s="42"/>
    </row>
    <row r="478" spans="15:25">
      <c r="O478" s="37">
        <f t="shared" si="8"/>
        <v>3.7300000000000035E-2</v>
      </c>
      <c r="P478" s="38">
        <f>IFERROR(_xll.qlBlackFormula(IF(O478&lt;$C$4,"Put","Call"),O478,$C$4,$C$9*SQRT($C$7)),"")</f>
        <v>1.8318990733440755E-6</v>
      </c>
      <c r="Q478" s="39">
        <f>IFERROR(_xll.qlBlackFormula(IF(O478&lt;$C$4,"Put","Call"),O478,$C$4,$C$10*SQRT($C$7),,$C$11),"")</f>
        <v>2.9352869069742773E-9</v>
      </c>
      <c r="R478" s="40">
        <f>IFERROR(_xll.qlBachelierBlackFormula(IF(O478&lt;$C$4,"Put","Call"),O478,$C$4,$C$12*SQRT($C$7)),"")</f>
        <v>9.6090822352117347E-29</v>
      </c>
      <c r="S478" s="41">
        <f>IFERROR((_xll.qlBlackFormula(IF(O478&lt;$C$4,"Put","Call"),O478+$C$14,$C$4,$C$9*SQRT($C$7))-
2*_xll.qlBlackFormula(IF(O478&lt;$C$4,"Put","Call"),O478,$C$4,$C$9*SQRT($C$7))+
_xll.qlBlackFormula(IF(O478&lt;$C$4,"Put","Call"),O478-$C$14,$C$4,$C$9*SQRT($C$7)))/$C$14^2,"")</f>
        <v>4.0479967129496662E-2</v>
      </c>
      <c r="T478" s="42">
        <f>IFERROR((_xll.qlBlackFormula(IF(O478&lt;$C$4,"Put","Call"),O478+$C$14,$C$4,$C$10*SQRT($C$7),,$C$11)-
2*_xll.qlBlackFormula(IF(O478&lt;$C$4,"Put","Call"),O478,$C$4,$C$10*SQRT($C$7),,$C$11)+
_xll.qlBlackFormula(IF(O478&lt;$C$4,"Put","Call"),O478-$C$14,$C$4,$C$10*SQRT($C$7),,$C$11))/$C$14^2,"")</f>
        <v>3.9139808276312057E-4</v>
      </c>
      <c r="U478" s="43">
        <f>IFERROR((_xll.qlBachelierBlackFormula(IF(O478&lt;$C$4,"Put","Call"),O478+$C$14,$C$4,$C$12*SQRT($C$7))-
2*_xll.qlBachelierBlackFormula(IF(O478&lt;$C$4,"Put","Call"),O478,$C$4,$C$12*SQRT($C$7))+
_xll.qlBachelierBlackFormula(IF(O478&lt;$C$4,"Put","Call"),O478-$C$14,$C$4,$C$12*SQRT($C$7)))/$C$14^2,"")</f>
        <v>1.0689737977711491E-21</v>
      </c>
      <c r="V478" s="61">
        <f>IFERROR(_xll.qlBachelierBlackFormulaImpliedVol(IF(O478&lt;$C$4,"Put","Call"),O478,$C$4,$C$7,P478),"")</f>
        <v>1.007770787336839E-2</v>
      </c>
      <c r="W478" s="61">
        <f>IFERROR(_xll.qlBachelierBlackFormulaImpliedVol(IF(O478&lt;$C$4,"Put","Call"),O478,$C$4,$C$7,Q478),"")</f>
        <v>7.0178863912063903E-3</v>
      </c>
      <c r="X478" s="61">
        <f>IFERROR(_xll.qlBachelierBlackFormulaImpliedVol(IF(O478&lt;$C$4,"Put","Call"),O478,$C$4,$C$7,R478),"")</f>
        <v>4.1947174502212185E-3</v>
      </c>
      <c r="Y478" s="42"/>
    </row>
    <row r="479" spans="15:25">
      <c r="O479" s="37">
        <f t="shared" si="8"/>
        <v>3.7400000000000037E-2</v>
      </c>
      <c r="P479" s="38">
        <f>IFERROR(_xll.qlBlackFormula(IF(O479&lt;$C$4,"Put","Call"),O479,$C$4,$C$9*SQRT($C$7)),"")</f>
        <v>1.8062683464601626E-6</v>
      </c>
      <c r="Q479" s="39">
        <f>IFERROR(_xll.qlBlackFormula(IF(O479&lt;$C$4,"Put","Call"),O479,$C$4,$C$10*SQRT($C$7),,$C$11),"")</f>
        <v>2.8310247308871096E-9</v>
      </c>
      <c r="R479" s="40">
        <f>IFERROR(_xll.qlBachelierBlackFormula(IF(O479&lt;$C$4,"Put","Call"),O479,$C$4,$C$12*SQRT($C$7)),"")</f>
        <v>6.8700779624929993E-29</v>
      </c>
      <c r="S479" s="41">
        <f>IFERROR((_xll.qlBlackFormula(IF(O479&lt;$C$4,"Put","Call"),O479+$C$14,$C$4,$C$9*SQRT($C$7))-
2*_xll.qlBlackFormula(IF(O479&lt;$C$4,"Put","Call"),O479,$C$4,$C$9*SQRT($C$7))+
_xll.qlBlackFormula(IF(O479&lt;$C$4,"Put","Call"),O479-$C$14,$C$4,$C$9*SQRT($C$7)))/$C$14^2,"")</f>
        <v>3.9787016251611497E-2</v>
      </c>
      <c r="T479" s="42">
        <f>IFERROR((_xll.qlBlackFormula(IF(O479&lt;$C$4,"Put","Call"),O479+$C$14,$C$4,$C$10*SQRT($C$7),,$C$11)-
2*_xll.qlBlackFormula(IF(O479&lt;$C$4,"Put","Call"),O479,$C$4,$C$10*SQRT($C$7),,$C$11)+
_xll.qlBlackFormula(IF(O479&lt;$C$4,"Put","Call"),O479-$C$14,$C$4,$C$10*SQRT($C$7),,$C$11))/$C$14^2,"")</f>
        <v>3.7799874283905171E-4</v>
      </c>
      <c r="U479" s="43">
        <f>IFERROR((_xll.qlBachelierBlackFormula(IF(O479&lt;$C$4,"Put","Call"),O479+$C$14,$C$4,$C$12*SQRT($C$7))-
2*_xll.qlBachelierBlackFormula(IF(O479&lt;$C$4,"Put","Call"),O479,$C$4,$C$12*SQRT($C$7))+
_xll.qlBachelierBlackFormula(IF(O479&lt;$C$4,"Put","Call"),O479-$C$14,$C$4,$C$12*SQRT($C$7)))/$C$14^2,"")</f>
        <v>7.6888392129289833E-22</v>
      </c>
      <c r="V479" s="61">
        <f>IFERROR(_xll.qlBachelierBlackFormulaImpliedVol(IF(O479&lt;$C$4,"Put","Call"),O479,$C$4,$C$7,P479),"")</f>
        <v>1.0095471168181901E-2</v>
      </c>
      <c r="W479" s="61">
        <f>IFERROR(_xll.qlBachelierBlackFormulaImpliedVol(IF(O479&lt;$C$4,"Put","Call"),O479,$C$4,$C$7,Q479),"")</f>
        <v>7.0281082131485734E-3</v>
      </c>
      <c r="X479" s="61">
        <f>IFERROR(_xll.qlBachelierBlackFormulaImpliedVol(IF(O479&lt;$C$4,"Put","Call"),O479,$C$4,$C$7,R479),"")</f>
        <v>4.2077041915531722E-3</v>
      </c>
      <c r="Y479" s="42"/>
    </row>
    <row r="480" spans="15:25">
      <c r="O480" s="37">
        <f t="shared" si="8"/>
        <v>3.750000000000004E-2</v>
      </c>
      <c r="P480" s="38">
        <f>IFERROR(_xll.qlBlackFormula(IF(O480&lt;$C$4,"Put","Call"),O480,$C$4,$C$9*SQRT($C$7)),"")</f>
        <v>1.781035500122697E-6</v>
      </c>
      <c r="Q480" s="39">
        <f>IFERROR(_xll.qlBlackFormula(IF(O480&lt;$C$4,"Put","Call"),O480,$C$4,$C$10*SQRT($C$7),,$C$11),"")</f>
        <v>2.7305558264467315E-9</v>
      </c>
      <c r="R480" s="40">
        <f>IFERROR(_xll.qlBachelierBlackFormula(IF(O480&lt;$C$4,"Put","Call"),O480,$C$4,$C$12*SQRT($C$7)),"")</f>
        <v>4.9068942375966377E-29</v>
      </c>
      <c r="S480" s="41">
        <f>IFERROR((_xll.qlBlackFormula(IF(O480&lt;$C$4,"Put","Call"),O480+$C$14,$C$4,$C$9*SQRT($C$7))-
2*_xll.qlBlackFormula(IF(O480&lt;$C$4,"Put","Call"),O480,$C$4,$C$9*SQRT($C$7))+
_xll.qlBlackFormula(IF(O480&lt;$C$4,"Put","Call"),O480-$C$14,$C$4,$C$9*SQRT($C$7)))/$C$14^2,"")</f>
        <v>3.9103819805146912E-2</v>
      </c>
      <c r="T480" s="42">
        <f>IFERROR((_xll.qlBlackFormula(IF(O480&lt;$C$4,"Put","Call"),O480+$C$14,$C$4,$C$10*SQRT($C$7),,$C$11)-
2*_xll.qlBlackFormula(IF(O480&lt;$C$4,"Put","Call"),O480,$C$4,$C$10*SQRT($C$7),,$C$11)+
_xll.qlBlackFormula(IF(O480&lt;$C$4,"Put","Call"),O480-$C$14,$C$4,$C$10*SQRT($C$7),,$C$11))/$C$14^2,"")</f>
        <v>3.6699998693173009E-4</v>
      </c>
      <c r="U480" s="43">
        <f>IFERROR((_xll.qlBachelierBlackFormula(IF(O480&lt;$C$4,"Put","Call"),O480+$C$14,$C$4,$C$12*SQRT($C$7))-
2*_xll.qlBachelierBlackFormula(IF(O480&lt;$C$4,"Put","Call"),O480,$C$4,$C$12*SQRT($C$7))+
_xll.qlBachelierBlackFormula(IF(O480&lt;$C$4,"Put","Call"),O480-$C$14,$C$4,$C$12*SQRT($C$7)))/$C$14^2,"")</f>
        <v>5.5247436380788711E-22</v>
      </c>
      <c r="V480" s="61">
        <f>IFERROR(_xll.qlBachelierBlackFormulaImpliedVol(IF(O480&lt;$C$4,"Put","Call"),O480,$C$4,$C$7,P480),"")</f>
        <v>1.0113223199496986E-2</v>
      </c>
      <c r="W480" s="61">
        <f>IFERROR(_xll.qlBachelierBlackFormulaImpliedVol(IF(O480&lt;$C$4,"Put","Call"),O480,$C$4,$C$7,Q480),"")</f>
        <v>7.038323738452504E-3</v>
      </c>
      <c r="X480" s="61">
        <f>IFERROR(_xll.qlBachelierBlackFormulaImpliedVol(IF(O480&lt;$C$4,"Put","Call"),O480,$C$4,$C$7,R480),"")</f>
        <v>4.2206909328851268E-3</v>
      </c>
      <c r="Y480" s="42"/>
    </row>
    <row r="481" spans="15:25">
      <c r="O481" s="37">
        <f t="shared" si="8"/>
        <v>3.7600000000000043E-2</v>
      </c>
      <c r="P481" s="38">
        <f>IFERROR(_xll.qlBlackFormula(IF(O481&lt;$C$4,"Put","Call"),O481,$C$4,$C$9*SQRT($C$7)),"")</f>
        <v>1.7561937319177115E-6</v>
      </c>
      <c r="Q481" s="39">
        <f>IFERROR(_xll.qlBlackFormula(IF(O481&lt;$C$4,"Put","Call"),O481,$C$4,$C$10*SQRT($C$7),,$C$11),"")</f>
        <v>2.6337389736008237E-9</v>
      </c>
      <c r="R481" s="40">
        <f>IFERROR(_xll.qlBachelierBlackFormula(IF(O481&lt;$C$4,"Put","Call"),O481,$C$4,$C$12*SQRT($C$7)),"")</f>
        <v>3.5012003417494669E-29</v>
      </c>
      <c r="S481" s="41">
        <f>IFERROR((_xll.qlBlackFormula(IF(O481&lt;$C$4,"Put","Call"),O481+$C$14,$C$4,$C$9*SQRT($C$7))-
2*_xll.qlBlackFormula(IF(O481&lt;$C$4,"Put","Call"),O481,$C$4,$C$9*SQRT($C$7))+
_xll.qlBlackFormula(IF(O481&lt;$C$4,"Put","Call"),O481-$C$14,$C$4,$C$9*SQRT($C$7)))/$C$14^2,"")</f>
        <v>3.8439593508569035E-2</v>
      </c>
      <c r="T481" s="42">
        <f>IFERROR((_xll.qlBlackFormula(IF(O481&lt;$C$4,"Put","Call"),O481+$C$14,$C$4,$C$10*SQRT($C$7),,$C$11)-
2*_xll.qlBlackFormula(IF(O481&lt;$C$4,"Put","Call"),O481,$C$4,$C$10*SQRT($C$7),,$C$11)+
_xll.qlBlackFormula(IF(O481&lt;$C$4,"Put","Call"),O481-$C$14,$C$4,$C$10*SQRT($C$7),,$C$11))/$C$14^2,"")</f>
        <v>3.5121405888687831E-4</v>
      </c>
      <c r="U481" s="43">
        <f>IFERROR((_xll.qlBachelierBlackFormula(IF(O481&lt;$C$4,"Put","Call"),O481+$C$14,$C$4,$C$12*SQRT($C$7))-
2*_xll.qlBachelierBlackFormula(IF(O481&lt;$C$4,"Put","Call"),O481,$C$4,$C$12*SQRT($C$7))+
_xll.qlBachelierBlackFormula(IF(O481&lt;$C$4,"Put","Call"),O481-$C$14,$C$4,$C$12*SQRT($C$7)))/$C$14^2,"")</f>
        <v>3.9657114743334731E-22</v>
      </c>
      <c r="V481" s="61">
        <f>IFERROR(_xll.qlBachelierBlackFormulaImpliedVol(IF(O481&lt;$C$4,"Put","Call"),O481,$C$4,$C$7,P481),"")</f>
        <v>1.0130964009401945E-2</v>
      </c>
      <c r="W481" s="61">
        <f>IFERROR(_xll.qlBachelierBlackFormulaImpliedVol(IF(O481&lt;$C$4,"Put","Call"),O481,$C$4,$C$7,Q481),"")</f>
        <v>7.0485329884110567E-3</v>
      </c>
      <c r="X481" s="61">
        <f>IFERROR(_xll.qlBachelierBlackFormulaImpliedVol(IF(O481&lt;$C$4,"Put","Call"),O481,$C$4,$C$7,R481),"")</f>
        <v>4.2336776742170823E-3</v>
      </c>
      <c r="Y481" s="42"/>
    </row>
    <row r="482" spans="15:25">
      <c r="O482" s="37">
        <f t="shared" si="8"/>
        <v>3.7700000000000046E-2</v>
      </c>
      <c r="P482" s="38">
        <f>IFERROR(_xll.qlBlackFormula(IF(O482&lt;$C$4,"Put","Call"),O482,$C$4,$C$9*SQRT($C$7)),"")</f>
        <v>1.7317363666653425E-6</v>
      </c>
      <c r="Q482" s="39">
        <f>IFERROR(_xll.qlBlackFormula(IF(O482&lt;$C$4,"Put","Call"),O482,$C$4,$C$10*SQRT($C$7),,$C$11),"")</f>
        <v>2.5404383242499584E-9</v>
      </c>
      <c r="R482" s="40">
        <f>IFERROR(_xll.qlBachelierBlackFormula(IF(O482&lt;$C$4,"Put","Call"),O482,$C$4,$C$12*SQRT($C$7)),"")</f>
        <v>2.4957002173017216E-29</v>
      </c>
      <c r="S482" s="41">
        <f>IFERROR((_xll.qlBlackFormula(IF(O482&lt;$C$4,"Put","Call"),O482+$C$14,$C$4,$C$9*SQRT($C$7))-
2*_xll.qlBlackFormula(IF(O482&lt;$C$4,"Put","Call"),O482,$C$4,$C$9*SQRT($C$7))+
_xll.qlBlackFormula(IF(O482&lt;$C$4,"Put","Call"),O482-$C$14,$C$4,$C$9*SQRT($C$7)))/$C$14^2,"")</f>
        <v>3.7783890057506431E-2</v>
      </c>
      <c r="T482" s="42">
        <f>IFERROR((_xll.qlBlackFormula(IF(O482&lt;$C$4,"Put","Call"),O482+$C$14,$C$4,$C$10*SQRT($C$7),,$C$11)-
2*_xll.qlBlackFormula(IF(O482&lt;$C$4,"Put","Call"),O482,$C$4,$C$10*SQRT($C$7),,$C$11)+
_xll.qlBlackFormula(IF(O482&lt;$C$4,"Put","Call"),O482-$C$14,$C$4,$C$10*SQRT($C$7),,$C$11))/$C$14^2,"")</f>
        <v>3.381653178110788E-4</v>
      </c>
      <c r="U482" s="43">
        <f>IFERROR((_xll.qlBachelierBlackFormula(IF(O482&lt;$C$4,"Put","Call"),O482+$C$14,$C$4,$C$12*SQRT($C$7))-
2*_xll.qlBachelierBlackFormula(IF(O482&lt;$C$4,"Put","Call"),O482,$C$4,$C$12*SQRT($C$7))+
_xll.qlBachelierBlackFormula(IF(O482&lt;$C$4,"Put","Call"),O482-$C$14,$C$4,$C$12*SQRT($C$7)))/$C$14^2,"")</f>
        <v>2.8437258573842862E-22</v>
      </c>
      <c r="V482" s="61">
        <f>IFERROR(_xll.qlBachelierBlackFormulaImpliedVol(IF(O482&lt;$C$4,"Put","Call"),O482,$C$4,$C$7,P482),"")</f>
        <v>1.0148693639718123E-2</v>
      </c>
      <c r="W482" s="61">
        <f>IFERROR(_xll.qlBachelierBlackFormulaImpliedVol(IF(O482&lt;$C$4,"Put","Call"),O482,$C$4,$C$7,Q482),"")</f>
        <v>7.0587359838425196E-3</v>
      </c>
      <c r="X482" s="61">
        <f>IFERROR(_xll.qlBachelierBlackFormulaImpliedVol(IF(O482&lt;$C$4,"Put","Call"),O482,$C$4,$C$7,R482),"")</f>
        <v>4.2466644155490368E-3</v>
      </c>
      <c r="Y482" s="42"/>
    </row>
    <row r="483" spans="15:25">
      <c r="O483" s="37">
        <f t="shared" si="8"/>
        <v>3.7800000000000049E-2</v>
      </c>
      <c r="P483" s="38">
        <f>IFERROR(_xll.qlBlackFormula(IF(O483&lt;$C$4,"Put","Call"),O483,$C$4,$C$9*SQRT($C$7)),"")</f>
        <v>1.7076568538226908E-6</v>
      </c>
      <c r="Q483" s="39">
        <f>IFERROR(_xll.qlBlackFormula(IF(O483&lt;$C$4,"Put","Call"),O483,$C$4,$C$10*SQRT($C$7),,$C$11),"")</f>
        <v>2.4505231990045908E-9</v>
      </c>
      <c r="R483" s="40">
        <f>IFERROR(_xll.qlBachelierBlackFormula(IF(O483&lt;$C$4,"Put","Call"),O483,$C$4,$C$12*SQRT($C$7)),"")</f>
        <v>1.7771865530482164E-29</v>
      </c>
      <c r="S483" s="41">
        <f>IFERROR((_xll.qlBlackFormula(IF(O483&lt;$C$4,"Put","Call"),O483+$C$14,$C$4,$C$9*SQRT($C$7))-
2*_xll.qlBlackFormula(IF(O483&lt;$C$4,"Put","Call"),O483,$C$4,$C$9*SQRT($C$7))+
_xll.qlBlackFormula(IF(O483&lt;$C$4,"Put","Call"),O483-$C$14,$C$4,$C$9*SQRT($C$7)))/$C$14^2,"")</f>
        <v>3.7145056114621343E-2</v>
      </c>
      <c r="T483" s="42">
        <f>IFERROR((_xll.qlBlackFormula(IF(O483&lt;$C$4,"Put","Call"),O483+$C$14,$C$4,$C$10*SQRT($C$7),,$C$11)-
2*_xll.qlBlackFormula(IF(O483&lt;$C$4,"Put","Call"),O483,$C$4,$C$10*SQRT($C$7),,$C$11)+
_xll.qlBlackFormula(IF(O483&lt;$C$4,"Put","Call"),O483-$C$14,$C$4,$C$10*SQRT($C$7),,$C$11))/$C$14^2,"")</f>
        <v>3.2261225765227295E-4</v>
      </c>
      <c r="U483" s="43">
        <f>IFERROR((_xll.qlBachelierBlackFormula(IF(O483&lt;$C$4,"Put","Call"),O483+$C$14,$C$4,$C$12*SQRT($C$7))-
2*_xll.qlBachelierBlackFormula(IF(O483&lt;$C$4,"Put","Call"),O483,$C$4,$C$12*SQRT($C$7))+
_xll.qlBachelierBlackFormula(IF(O483&lt;$C$4,"Put","Call"),O483-$C$14,$C$4,$C$12*SQRT($C$7)))/$C$14^2,"")</f>
        <v>2.0370982223048433E-22</v>
      </c>
      <c r="V483" s="61">
        <f>IFERROR(_xll.qlBachelierBlackFormulaImpliedVol(IF(O483&lt;$C$4,"Put","Call"),O483,$C$4,$C$7,P483),"")</f>
        <v>1.0166412131990809E-2</v>
      </c>
      <c r="W483" s="61">
        <f>IFERROR(_xll.qlBachelierBlackFormulaImpliedVol(IF(O483&lt;$C$4,"Put","Call"),O483,$C$4,$C$7,Q483),"")</f>
        <v>7.0689327456018042E-3</v>
      </c>
      <c r="X483" s="61">
        <f>IFERROR(_xll.qlBachelierBlackFormulaImpliedVol(IF(O483&lt;$C$4,"Put","Call"),O483,$C$4,$C$7,R483),"")</f>
        <v>4.2596511568809906E-3</v>
      </c>
      <c r="Y483" s="42"/>
    </row>
    <row r="484" spans="15:25">
      <c r="O484" s="37">
        <f t="shared" si="8"/>
        <v>3.7900000000000052E-2</v>
      </c>
      <c r="P484" s="38">
        <f>IFERROR(_xll.qlBlackFormula(IF(O484&lt;$C$4,"Put","Call"),O484,$C$4,$C$9*SQRT($C$7)),"")</f>
        <v>1.6839487649631615E-6</v>
      </c>
      <c r="Q484" s="39">
        <f>IFERROR(_xll.qlBlackFormula(IF(O484&lt;$C$4,"Put","Call"),O484,$C$4,$C$10*SQRT($C$7),,$C$11),"")</f>
        <v>2.3638678794346122E-9</v>
      </c>
      <c r="R484" s="40">
        <f>IFERROR(_xll.qlBachelierBlackFormula(IF(O484&lt;$C$4,"Put","Call"),O484,$C$4,$C$12*SQRT($C$7)),"")</f>
        <v>1.2642667750957167E-29</v>
      </c>
      <c r="S484" s="41">
        <f>IFERROR((_xll.qlBlackFormula(IF(O484&lt;$C$4,"Put","Call"),O484+$C$14,$C$4,$C$9*SQRT($C$7))-
2*_xll.qlBlackFormula(IF(O484&lt;$C$4,"Put","Call"),O484,$C$4,$C$9*SQRT($C$7))+
_xll.qlBlackFormula(IF(O484&lt;$C$4,"Put","Call"),O484-$C$14,$C$4,$C$9*SQRT($C$7)))/$C$14^2,"")</f>
        <v>3.6509417180013298E-2</v>
      </c>
      <c r="T484" s="42">
        <f>IFERROR((_xll.qlBlackFormula(IF(O484&lt;$C$4,"Put","Call"),O484+$C$14,$C$4,$C$10*SQRT($C$7),,$C$11)-
2*_xll.qlBlackFormula(IF(O484&lt;$C$4,"Put","Call"),O484,$C$4,$C$10*SQRT($C$7),,$C$11)+
_xll.qlBlackFormula(IF(O484&lt;$C$4,"Put","Call"),O484-$C$14,$C$4,$C$10*SQRT($C$7),,$C$11))/$C$14^2,"")</f>
        <v>3.1730613225076172E-4</v>
      </c>
      <c r="U484" s="43">
        <f>IFERROR((_xll.qlBachelierBlackFormula(IF(O484&lt;$C$4,"Put","Call"),O484+$C$14,$C$4,$C$12*SQRT($C$7))-
2*_xll.qlBachelierBlackFormula(IF(O484&lt;$C$4,"Put","Call"),O484,$C$4,$C$12*SQRT($C$7))+
_xll.qlBachelierBlackFormula(IF(O484&lt;$C$4,"Put","Call"),O484-$C$14,$C$4,$C$12*SQRT($C$7)))/$C$14^2,"")</f>
        <v>1.4577862394545469E-22</v>
      </c>
      <c r="V484" s="61">
        <f>IFERROR(_xll.qlBachelierBlackFormulaImpliedVol(IF(O484&lt;$C$4,"Put","Call"),O484,$C$4,$C$7,P484),"")</f>
        <v>1.0184119527505765E-2</v>
      </c>
      <c r="W484" s="61">
        <f>IFERROR(_xll.qlBachelierBlackFormulaImpliedVol(IF(O484&lt;$C$4,"Put","Call"),O484,$C$4,$C$7,Q484),"")</f>
        <v>7.0791232943663374E-3</v>
      </c>
      <c r="X484" s="61">
        <f>IFERROR(_xll.qlBachelierBlackFormulaImpliedVol(IF(O484&lt;$C$4,"Put","Call"),O484,$C$4,$C$7,R484),"")</f>
        <v>4.2726378982129451E-3</v>
      </c>
      <c r="Y484" s="42"/>
    </row>
    <row r="485" spans="15:25">
      <c r="O485" s="37">
        <f t="shared" si="8"/>
        <v>3.8000000000000055E-2</v>
      </c>
      <c r="P485" s="38">
        <f>IFERROR(_xll.qlBlackFormula(IF(O485&lt;$C$4,"Put","Call"),O485,$C$4,$C$9*SQRT($C$7)),"")</f>
        <v>1.6606057912891696E-6</v>
      </c>
      <c r="Q485" s="39">
        <f>IFERROR(_xll.qlBlackFormula(IF(O485&lt;$C$4,"Put","Call"),O485,$C$4,$C$10*SQRT($C$7),,$C$11),"")</f>
        <v>2.2803514288515907E-9</v>
      </c>
      <c r="R485" s="40">
        <f>IFERROR(_xll.qlBachelierBlackFormula(IF(O485&lt;$C$4,"Put","Call"),O485,$C$4,$C$12*SQRT($C$7)),"")</f>
        <v>8.984822332206822E-30</v>
      </c>
      <c r="S485" s="41">
        <f>IFERROR((_xll.qlBlackFormula(IF(O485&lt;$C$4,"Put","Call"),O485+$C$14,$C$4,$C$9*SQRT($C$7))-
2*_xll.qlBlackFormula(IF(O485&lt;$C$4,"Put","Call"),O485,$C$4,$C$9*SQRT($C$7))+
_xll.qlBlackFormula(IF(O485&lt;$C$4,"Put","Call"),O485-$C$14,$C$4,$C$9*SQRT($C$7)))/$C$14^2,"")</f>
        <v>3.5892573906504827E-2</v>
      </c>
      <c r="T485" s="42">
        <f>IFERROR((_xll.qlBlackFormula(IF(O485&lt;$C$4,"Put","Call"),O485+$C$14,$C$4,$C$10*SQRT($C$7),,$C$11)-
2*_xll.qlBlackFormula(IF(O485&lt;$C$4,"Put","Call"),O485,$C$4,$C$10*SQRT($C$7),,$C$11)+
_xll.qlBlackFormula(IF(O485&lt;$C$4,"Put","Call"),O485-$C$14,$C$4,$C$10*SQRT($C$7),,$C$11))/$C$14^2,"")</f>
        <v>3.0089364467040305E-4</v>
      </c>
      <c r="U485" s="43">
        <f>IFERROR((_xll.qlBachelierBlackFormula(IF(O485&lt;$C$4,"Put","Call"),O485+$C$14,$C$4,$C$12*SQRT($C$7))-
2*_xll.qlBachelierBlackFormula(IF(O485&lt;$C$4,"Put","Call"),O485,$C$4,$C$12*SQRT($C$7))+
_xll.qlBachelierBlackFormula(IF(O485&lt;$C$4,"Put","Call"),O485-$C$14,$C$4,$C$12*SQRT($C$7)))/$C$14^2,"")</f>
        <v>1.0421574881511728E-22</v>
      </c>
      <c r="V485" s="61">
        <f>IFERROR(_xll.qlBachelierBlackFormulaImpliedVol(IF(O485&lt;$C$4,"Put","Call"),O485,$C$4,$C$7,P485),"")</f>
        <v>1.0201815867274137E-2</v>
      </c>
      <c r="W485" s="61">
        <f>IFERROR(_xll.qlBachelierBlackFormulaImpliedVol(IF(O485&lt;$C$4,"Put","Call"),O485,$C$4,$C$7,Q485),"")</f>
        <v>7.0893076514294846E-3</v>
      </c>
      <c r="X485" s="61">
        <f>IFERROR(_xll.qlBachelierBlackFormulaImpliedVol(IF(O485&lt;$C$4,"Put","Call"),O485,$C$4,$C$7,R485),"")</f>
        <v>4.2856246395449006E-3</v>
      </c>
      <c r="Y485" s="42"/>
    </row>
    <row r="486" spans="15:25">
      <c r="O486" s="37">
        <f t="shared" si="8"/>
        <v>3.8100000000000057E-2</v>
      </c>
      <c r="P486" s="38">
        <f>IFERROR(_xll.qlBlackFormula(IF(O486&lt;$C$4,"Put","Call"),O486,$C$4,$C$9*SQRT($C$7)),"")</f>
        <v>1.6376217412265231E-6</v>
      </c>
      <c r="Q486" s="39">
        <f>IFERROR(_xll.qlBlackFormula(IF(O486&lt;$C$4,"Put","Call"),O486,$C$4,$C$10*SQRT($C$7),,$C$11),"")</f>
        <v>2.1998574878833847E-9</v>
      </c>
      <c r="R486" s="40">
        <f>IFERROR(_xll.qlBachelierBlackFormula(IF(O486&lt;$C$4,"Put","Call"),O486,$C$4,$C$12*SQRT($C$7)),"")</f>
        <v>6.3788925013168168E-30</v>
      </c>
      <c r="S486" s="41">
        <f>IFERROR((_xll.qlBlackFormula(IF(O486&lt;$C$4,"Put","Call"),O486+$C$14,$C$4,$C$9*SQRT($C$7))-
2*_xll.qlBlackFormula(IF(O486&lt;$C$4,"Put","Call"),O486,$C$4,$C$9*SQRT($C$7))+
_xll.qlBlackFormula(IF(O486&lt;$C$4,"Put","Call"),O486-$C$14,$C$4,$C$9*SQRT($C$7)))/$C$14^2,"")</f>
        <v>3.528508865299762E-2</v>
      </c>
      <c r="T486" s="42">
        <f>IFERROR((_xll.qlBlackFormula(IF(O486&lt;$C$4,"Put","Call"),O486+$C$14,$C$4,$C$10*SQRT($C$7),,$C$11)-
2*_xll.qlBlackFormula(IF(O486&lt;$C$4,"Put","Call"),O486,$C$4,$C$10*SQRT($C$7),,$C$11)+
_xll.qlBlackFormula(IF(O486&lt;$C$4,"Put","Call"),O486-$C$14,$C$4,$C$10*SQRT($C$7),,$C$11))/$C$14^2,"")</f>
        <v>2.8995383696225446E-4</v>
      </c>
      <c r="U486" s="43">
        <f>IFERROR((_xll.qlBachelierBlackFormula(IF(O486&lt;$C$4,"Put","Call"),O486+$C$14,$C$4,$C$12*SQRT($C$7))-
2*_xll.qlBachelierBlackFormula(IF(O486&lt;$C$4,"Put","Call"),O486,$C$4,$C$12*SQRT($C$7))+
_xll.qlBachelierBlackFormula(IF(O486&lt;$C$4,"Put","Call"),O486-$C$14,$C$4,$C$12*SQRT($C$7)))/$C$14^2,"")</f>
        <v>7.4426996013987973E-23</v>
      </c>
      <c r="V486" s="61">
        <f>IFERROR(_xll.qlBachelierBlackFormulaImpliedVol(IF(O486&lt;$C$4,"Put","Call"),O486,$C$4,$C$7,P486),"")</f>
        <v>1.0219501192052536E-2</v>
      </c>
      <c r="W486" s="61">
        <f>IFERROR(_xll.qlBachelierBlackFormulaImpliedVol(IF(O486&lt;$C$4,"Put","Call"),O486,$C$4,$C$7,Q486),"")</f>
        <v>7.0994858367481673E-3</v>
      </c>
      <c r="X486" s="61">
        <f>IFERROR(_xll.qlBachelierBlackFormulaImpliedVol(IF(O486&lt;$C$4,"Put","Call"),O486,$C$4,$C$7,R486),"")</f>
        <v>4.2986113808768552E-3</v>
      </c>
      <c r="Y486" s="42"/>
    </row>
    <row r="487" spans="15:25">
      <c r="O487" s="37">
        <f t="shared" si="8"/>
        <v>3.820000000000006E-2</v>
      </c>
      <c r="P487" s="38">
        <f>IFERROR(_xll.qlBlackFormula(IF(O487&lt;$C$4,"Put","Call"),O487,$C$4,$C$9*SQRT($C$7)),"")</f>
        <v>1.6149905380440457E-6</v>
      </c>
      <c r="Q487" s="39">
        <f>IFERROR(_xll.qlBlackFormula(IF(O487&lt;$C$4,"Put","Call"),O487,$C$4,$C$10*SQRT($C$7),,$C$11),"")</f>
        <v>2.1222741116266394E-9</v>
      </c>
      <c r="R487" s="40">
        <f>IFERROR(_xll.qlBachelierBlackFormula(IF(O487&lt;$C$4,"Put","Call"),O487,$C$4,$C$12*SQRT($C$7)),"")</f>
        <v>4.5242443476067257E-30</v>
      </c>
      <c r="S487" s="41">
        <f>IFERROR((_xll.qlBlackFormula(IF(O487&lt;$C$4,"Put","Call"),O487+$C$14,$C$4,$C$9*SQRT($C$7))-
2*_xll.qlBlackFormula(IF(O487&lt;$C$4,"Put","Call"),O487,$C$4,$C$9*SQRT($C$7))+
_xll.qlBlackFormula(IF(O487&lt;$C$4,"Put","Call"),O487-$C$14,$C$4,$C$9*SQRT($C$7)))/$C$14^2,"")</f>
        <v>3.4687632269585905E-2</v>
      </c>
      <c r="T487" s="42">
        <f>IFERROR((_xll.qlBlackFormula(IF(O487&lt;$C$4,"Put","Call"),O487+$C$14,$C$4,$C$10*SQRT($C$7),,$C$11)-
2*_xll.qlBlackFormula(IF(O487&lt;$C$4,"Put","Call"),O487,$C$4,$C$10*SQRT($C$7),,$C$11)+
_xll.qlBlackFormula(IF(O487&lt;$C$4,"Put","Call"),O487-$C$14,$C$4,$C$10*SQRT($C$7),,$C$11))/$C$14^2,"")</f>
        <v>2.8019471377323951E-4</v>
      </c>
      <c r="U487" s="43">
        <f>IFERROR((_xll.qlBachelierBlackFormula(IF(O487&lt;$C$4,"Put","Call"),O487+$C$14,$C$4,$C$12*SQRT($C$7))-
2*_xll.qlBachelierBlackFormula(IF(O487&lt;$C$4,"Put","Call"),O487,$C$4,$C$12*SQRT($C$7))+
_xll.qlBachelierBlackFormula(IF(O487&lt;$C$4,"Put","Call"),O487-$C$14,$C$4,$C$12*SQRT($C$7)))/$C$14^2,"")</f>
        <v>5.3098867659275457E-23</v>
      </c>
      <c r="V487" s="61">
        <f>IFERROR(_xll.qlBachelierBlackFormulaImpliedVol(IF(O487&lt;$C$4,"Put","Call"),O487,$C$4,$C$7,P487),"")</f>
        <v>1.0237175542332897E-2</v>
      </c>
      <c r="W487" s="61">
        <f>IFERROR(_xll.qlBachelierBlackFormulaImpliedVol(IF(O487&lt;$C$4,"Put","Call"),O487,$C$4,$C$7,Q487),"")</f>
        <v>7.1096578708446075E-3</v>
      </c>
      <c r="X487" s="61">
        <f>IFERROR(_xll.qlBachelierBlackFormulaImpliedVol(IF(O487&lt;$C$4,"Put","Call"),O487,$C$4,$C$7,R487),"")</f>
        <v>4.3115981222088089E-3</v>
      </c>
      <c r="Y487" s="42"/>
    </row>
    <row r="488" spans="15:25">
      <c r="O488" s="37">
        <f t="shared" si="8"/>
        <v>3.8300000000000063E-2</v>
      </c>
      <c r="P488" s="38">
        <f>IFERROR(_xll.qlBlackFormula(IF(O488&lt;$C$4,"Put","Call"),O488,$C$4,$C$9*SQRT($C$7)),"")</f>
        <v>1.5927062175433522E-6</v>
      </c>
      <c r="Q488" s="39">
        <f>IFERROR(_xll.qlBlackFormula(IF(O488&lt;$C$4,"Put","Call"),O488,$C$4,$C$10*SQRT($C$7),,$C$11),"")</f>
        <v>2.0474935934877297E-9</v>
      </c>
      <c r="R488" s="40">
        <f>IFERROR(_xll.qlBachelierBlackFormula(IF(O488&lt;$C$4,"Put","Call"),O488,$C$4,$C$12*SQRT($C$7)),"")</f>
        <v>3.2056179402126554E-30</v>
      </c>
      <c r="S488" s="41">
        <f>IFERROR((_xll.qlBlackFormula(IF(O488&lt;$C$4,"Put","Call"),O488+$C$14,$C$4,$C$9*SQRT($C$7))-
2*_xll.qlBlackFormula(IF(O488&lt;$C$4,"Put","Call"),O488,$C$4,$C$9*SQRT($C$7))+
_xll.qlBlackFormula(IF(O488&lt;$C$4,"Put","Call"),O488-$C$14,$C$4,$C$9*SQRT($C$7)))/$C$14^2,"")</f>
        <v>3.4099513577384721E-2</v>
      </c>
      <c r="T488" s="42">
        <f>IFERROR((_xll.qlBlackFormula(IF(O488&lt;$C$4,"Put","Call"),O488+$C$14,$C$4,$C$10*SQRT($C$7),,$C$11)-
2*_xll.qlBlackFormula(IF(O488&lt;$C$4,"Put","Call"),O488,$C$4,$C$10*SQRT($C$7),,$C$11)+
_xll.qlBlackFormula(IF(O488&lt;$C$4,"Put","Call"),O488-$C$14,$C$4,$C$10*SQRT($C$7),,$C$11))/$C$14^2,"")</f>
        <v>2.6931317266743913E-4</v>
      </c>
      <c r="U488" s="43">
        <f>IFERROR((_xll.qlBachelierBlackFormula(IF(O488&lt;$C$4,"Put","Call"),O488+$C$14,$C$4,$C$12*SQRT($C$7))-
2*_xll.qlBachelierBlackFormula(IF(O488&lt;$C$4,"Put","Call"),O488,$C$4,$C$12*SQRT($C$7))+
_xll.qlBachelierBlackFormula(IF(O488&lt;$C$4,"Put","Call"),O488-$C$14,$C$4,$C$12*SQRT($C$7)))/$C$14^2,"")</f>
        <v>3.7844054648703273E-23</v>
      </c>
      <c r="V488" s="61">
        <f>IFERROR(_xll.qlBachelierBlackFormulaImpliedVol(IF(O488&lt;$C$4,"Put","Call"),O488,$C$4,$C$7,P488),"")</f>
        <v>1.0254838958352344E-2</v>
      </c>
      <c r="W488" s="61">
        <f>IFERROR(_xll.qlBachelierBlackFormulaImpliedVol(IF(O488&lt;$C$4,"Put","Call"),O488,$C$4,$C$7,Q488),"")</f>
        <v>7.1198237746973592E-3</v>
      </c>
      <c r="X488" s="61">
        <f>IFERROR(_xll.qlBachelierBlackFormulaImpliedVol(IF(O488&lt;$C$4,"Put","Call"),O488,$C$4,$C$7,R488),"")</f>
        <v>4.3245848635407643E-3</v>
      </c>
      <c r="Y488" s="42"/>
    </row>
    <row r="489" spans="15:25">
      <c r="O489" s="37">
        <f t="shared" si="8"/>
        <v>3.8400000000000066E-2</v>
      </c>
      <c r="P489" s="38">
        <f>IFERROR(_xll.qlBlackFormula(IF(O489&lt;$C$4,"Put","Call"),O489,$C$4,$C$9*SQRT($C$7)),"")</f>
        <v>1.5707629257884694E-6</v>
      </c>
      <c r="Q489" s="39">
        <f>IFERROR(_xll.qlBlackFormula(IF(O489&lt;$C$4,"Put","Call"),O489,$C$4,$C$10*SQRT($C$7),,$C$11),"")</f>
        <v>1.9754123045223224E-9</v>
      </c>
      <c r="R489" s="40">
        <f>IFERROR(_xll.qlBachelierBlackFormula(IF(O489&lt;$C$4,"Put","Call"),O489,$C$4,$C$12*SQRT($C$7)),"")</f>
        <v>2.2690411136068259E-30</v>
      </c>
      <c r="S489" s="41">
        <f>IFERROR((_xll.qlBlackFormula(IF(O489&lt;$C$4,"Put","Call"),O489+$C$14,$C$4,$C$9*SQRT($C$7))-
2*_xll.qlBlackFormula(IF(O489&lt;$C$4,"Put","Call"),O489,$C$4,$C$9*SQRT($C$7))+
_xll.qlBlackFormula(IF(O489&lt;$C$4,"Put","Call"),O489-$C$14,$C$4,$C$9*SQRT($C$7)))/$C$14^2,"")</f>
        <v>3.3528125479957704E-2</v>
      </c>
      <c r="T489" s="42">
        <f>IFERROR((_xll.qlBlackFormula(IF(O489&lt;$C$4,"Put","Call"),O489+$C$14,$C$4,$C$10*SQRT($C$7),,$C$11)-
2*_xll.qlBlackFormula(IF(O489&lt;$C$4,"Put","Call"),O489,$C$4,$C$10*SQRT($C$7),,$C$11)+
_xll.qlBlackFormula(IF(O489&lt;$C$4,"Put","Call"),O489-$C$14,$C$4,$C$10*SQRT($C$7),,$C$11))/$C$14^2,"")</f>
        <v>2.5944822991702152E-4</v>
      </c>
      <c r="U489" s="43">
        <f>IFERROR((_xll.qlBachelierBlackFormula(IF(O489&lt;$C$4,"Put","Call"),O489+$C$14,$C$4,$C$12*SQRT($C$7))-
2*_xll.qlBachelierBlackFormula(IF(O489&lt;$C$4,"Put","Call"),O489,$C$4,$C$12*SQRT($C$7))+
_xll.qlBachelierBlackFormula(IF(O489&lt;$C$4,"Put","Call"),O489-$C$14,$C$4,$C$12*SQRT($C$7)))/$C$14^2,"")</f>
        <v>2.6944348883892516E-23</v>
      </c>
      <c r="V489" s="61">
        <f>IFERROR(_xll.qlBachelierBlackFormulaImpliedVol(IF(O489&lt;$C$4,"Put","Call"),O489,$C$4,$C$7,P489),"")</f>
        <v>1.0272491480087317E-2</v>
      </c>
      <c r="W489" s="61">
        <f>IFERROR(_xll.qlBachelierBlackFormulaImpliedVol(IF(O489&lt;$C$4,"Put","Call"),O489,$C$4,$C$7,Q489),"")</f>
        <v>7.1299835679121491E-3</v>
      </c>
      <c r="X489" s="61">
        <f>IFERROR(_xll.qlBachelierBlackFormulaImpliedVol(IF(O489&lt;$C$4,"Put","Call"),O489,$C$4,$C$7,R489),"")</f>
        <v>4.3375716048727189E-3</v>
      </c>
      <c r="Y489" s="42"/>
    </row>
    <row r="490" spans="15:25">
      <c r="O490" s="37">
        <f t="shared" si="8"/>
        <v>3.8500000000000069E-2</v>
      </c>
      <c r="P490" s="38">
        <f>IFERROR(_xll.qlBlackFormula(IF(O490&lt;$C$4,"Put","Call"),O490,$C$4,$C$9*SQRT($C$7)),"")</f>
        <v>1.5491549168980674E-6</v>
      </c>
      <c r="Q490" s="39">
        <f>IFERROR(_xll.qlBlackFormula(IF(O490&lt;$C$4,"Put","Call"),O490,$C$4,$C$10*SQRT($C$7),,$C$11),"")</f>
        <v>1.9059305266244227E-9</v>
      </c>
      <c r="R490" s="40">
        <f>IFERROR(_xll.qlBachelierBlackFormula(IF(O490&lt;$C$4,"Put","Call"),O490,$C$4,$C$12*SQRT($C$7)),"")</f>
        <v>1.6044930029837122E-30</v>
      </c>
      <c r="S490" s="41">
        <f>IFERROR((_xll.qlBlackFormula(IF(O490&lt;$C$4,"Put","Call"),O490+$C$14,$C$4,$C$9*SQRT($C$7))-
2*_xll.qlBlackFormula(IF(O490&lt;$C$4,"Put","Call"),O490,$C$4,$C$9*SQRT($C$7))+
_xll.qlBlackFormula(IF(O490&lt;$C$4,"Put","Call"),O490-$C$14,$C$4,$C$9*SQRT($C$7)))/$C$14^2,"")</f>
        <v>3.2961658643954235E-2</v>
      </c>
      <c r="T490" s="42">
        <f>IFERROR((_xll.qlBlackFormula(IF(O490&lt;$C$4,"Put","Call"),O490+$C$14,$C$4,$C$10*SQRT($C$7),,$C$11)-
2*_xll.qlBlackFormula(IF(O490&lt;$C$4,"Put","Call"),O490,$C$4,$C$10*SQRT($C$7),,$C$11)+
_xll.qlBlackFormula(IF(O490&lt;$C$4,"Put","Call"),O490-$C$14,$C$4,$C$10*SQRT($C$7),,$C$11))/$C$14^2,"")</f>
        <v>2.5126905809392982E-4</v>
      </c>
      <c r="U490" s="43">
        <f>IFERROR((_xll.qlBachelierBlackFormula(IF(O490&lt;$C$4,"Put","Call"),O490+$C$14,$C$4,$C$12*SQRT($C$7))-
2*_xll.qlBachelierBlackFormula(IF(O490&lt;$C$4,"Put","Call"),O490,$C$4,$C$12*SQRT($C$7))+
_xll.qlBachelierBlackFormula(IF(O490&lt;$C$4,"Put","Call"),O490-$C$14,$C$4,$C$12*SQRT($C$7)))/$C$14^2,"")</f>
        <v>1.9164405727040894E-23</v>
      </c>
      <c r="V490" s="61">
        <f>IFERROR(_xll.qlBachelierBlackFormulaImpliedVol(IF(O490&lt;$C$4,"Put","Call"),O490,$C$4,$C$7,P490),"")</f>
        <v>1.0290133147268775E-2</v>
      </c>
      <c r="W490" s="61">
        <f>IFERROR(_xll.qlBachelierBlackFormulaImpliedVol(IF(O490&lt;$C$4,"Put","Call"),O490,$C$4,$C$7,Q490),"")</f>
        <v>7.1401372701327525E-3</v>
      </c>
      <c r="X490" s="61">
        <f>IFERROR(_xll.qlBachelierBlackFormulaImpliedVol(IF(O490&lt;$C$4,"Put","Call"),O490,$C$4,$C$7,R490),"")</f>
        <v>4.3505583462046735E-3</v>
      </c>
      <c r="Y490" s="42"/>
    </row>
    <row r="491" spans="15:25">
      <c r="O491" s="37">
        <f t="shared" si="8"/>
        <v>3.8600000000000072E-2</v>
      </c>
      <c r="P491" s="38">
        <f>IFERROR(_xll.qlBlackFormula(IF(O491&lt;$C$4,"Put","Call"),O491,$C$4,$C$9*SQRT($C$7)),"")</f>
        <v>1.5278765508670526E-6</v>
      </c>
      <c r="Q491" s="39">
        <f>IFERROR(_xll.qlBlackFormula(IF(O491&lt;$C$4,"Put","Call"),O491,$C$4,$C$10*SQRT($C$7),,$C$11),"")</f>
        <v>1.838952315291698E-9</v>
      </c>
      <c r="R491" s="40">
        <f>IFERROR(_xll.qlBachelierBlackFormula(IF(O491&lt;$C$4,"Put","Call"),O491,$C$4,$C$12*SQRT($C$7)),"")</f>
        <v>1.1334388829930871E-30</v>
      </c>
      <c r="S491" s="41">
        <f>IFERROR((_xll.qlBlackFormula(IF(O491&lt;$C$4,"Put","Call"),O491+$C$14,$C$4,$C$9*SQRT($C$7))-
2*_xll.qlBlackFormula(IF(O491&lt;$C$4,"Put","Call"),O491,$C$4,$C$9*SQRT($C$7))+
_xll.qlBlackFormula(IF(O491&lt;$C$4,"Put","Call"),O491-$C$14,$C$4,$C$9*SQRT($C$7)))/$C$14^2,"")</f>
        <v>3.2409713340798493E-2</v>
      </c>
      <c r="T491" s="42">
        <f>IFERROR((_xll.qlBlackFormula(IF(O491&lt;$C$4,"Put","Call"),O491+$C$14,$C$4,$C$10*SQRT($C$7),,$C$11)-
2*_xll.qlBlackFormula(IF(O491&lt;$C$4,"Put","Call"),O491,$C$4,$C$10*SQRT($C$7),,$C$11)+
_xll.qlBlackFormula(IF(O491&lt;$C$4,"Put","Call"),O491-$C$14,$C$4,$C$10*SQRT($C$7),,$C$11))/$C$14^2,"")</f>
        <v>2.4415814040111366E-4</v>
      </c>
      <c r="U491" s="43">
        <f>IFERROR((_xll.qlBachelierBlackFormula(IF(O491&lt;$C$4,"Put","Call"),O491+$C$14,$C$4,$C$12*SQRT($C$7))-
2*_xll.qlBachelierBlackFormula(IF(O491&lt;$C$4,"Put","Call"),O491,$C$4,$C$12*SQRT($C$7))+
_xll.qlBachelierBlackFormula(IF(O491&lt;$C$4,"Put","Call"),O491-$C$14,$C$4,$C$12*SQRT($C$7)))/$C$14^2,"")</f>
        <v>1.3616975275786233E-23</v>
      </c>
      <c r="V491" s="61">
        <f>IFERROR(_xll.qlBachelierBlackFormulaImpliedVol(IF(O491&lt;$C$4,"Put","Call"),O491,$C$4,$C$7,P491),"")</f>
        <v>1.0307763999369144E-2</v>
      </c>
      <c r="W491" s="61">
        <f>IFERROR(_xll.qlBachelierBlackFormulaImpliedVol(IF(O491&lt;$C$4,"Put","Call"),O491,$C$4,$C$7,Q491),"")</f>
        <v>7.1502849020253527E-3</v>
      </c>
      <c r="X491" s="61">
        <f>IFERROR(_xll.qlBachelierBlackFormulaImpliedVol(IF(O491&lt;$C$4,"Put","Call"),O491,$C$4,$C$7,R491),"")</f>
        <v>4.3635450875366272E-3</v>
      </c>
      <c r="Y491" s="42"/>
    </row>
    <row r="492" spans="15:25">
      <c r="O492" s="37">
        <f t="shared" si="8"/>
        <v>3.8700000000000075E-2</v>
      </c>
      <c r="P492" s="38">
        <f>IFERROR(_xll.qlBlackFormula(IF(O492&lt;$C$4,"Put","Call"),O492,$C$4,$C$9*SQRT($C$7)),"")</f>
        <v>1.506922291453008E-6</v>
      </c>
      <c r="Q492" s="39">
        <f>IFERROR(_xll.qlBlackFormula(IF(O492&lt;$C$4,"Put","Call"),O492,$C$4,$C$10*SQRT($C$7),,$C$11),"")</f>
        <v>1.7743853456430704E-9</v>
      </c>
      <c r="R492" s="40">
        <f>IFERROR(_xll.qlBachelierBlackFormula(IF(O492&lt;$C$4,"Put","Call"),O492,$C$4,$C$12*SQRT($C$7)),"")</f>
        <v>7.9987691756103606E-31</v>
      </c>
      <c r="S492" s="41">
        <f>IFERROR((_xll.qlBlackFormula(IF(O492&lt;$C$4,"Put","Call"),O492+$C$14,$C$4,$C$9*SQRT($C$7))-
2*_xll.qlBlackFormula(IF(O492&lt;$C$4,"Put","Call"),O492,$C$4,$C$9*SQRT($C$7))+
_xll.qlBlackFormula(IF(O492&lt;$C$4,"Put","Call"),O492-$C$14,$C$4,$C$9*SQRT($C$7)))/$C$14^2,"")</f>
        <v>3.1865862284486714E-2</v>
      </c>
      <c r="T492" s="42">
        <f>IFERROR((_xll.qlBlackFormula(IF(O492&lt;$C$4,"Put","Call"),O492+$C$14,$C$4,$C$10*SQRT($C$7),,$C$11)-
2*_xll.qlBlackFormula(IF(O492&lt;$C$4,"Put","Call"),O492,$C$4,$C$10*SQRT($C$7),,$C$11)+
_xll.qlBlackFormula(IF(O492&lt;$C$4,"Put","Call"),O492-$C$14,$C$4,$C$10*SQRT($C$7),,$C$11))/$C$14^2,"")</f>
        <v>2.3133184142691944E-4</v>
      </c>
      <c r="U492" s="43">
        <f>IFERROR((_xll.qlBachelierBlackFormula(IF(O492&lt;$C$4,"Put","Call"),O492+$C$14,$C$4,$C$12*SQRT($C$7))-
2*_xll.qlBachelierBlackFormula(IF(O492&lt;$C$4,"Put","Call"),O492,$C$4,$C$12*SQRT($C$7))+
_xll.qlBachelierBlackFormula(IF(O492&lt;$C$4,"Put","Call"),O492-$C$14,$C$4,$C$12*SQRT($C$7)))/$C$14^2,"")</f>
        <v>9.6654833765017964E-24</v>
      </c>
      <c r="V492" s="61">
        <f>IFERROR(_xll.qlBachelierBlackFormulaImpliedVol(IF(O492&lt;$C$4,"Put","Call"),O492,$C$4,$C$7,P492),"")</f>
        <v>1.0325384075615762E-2</v>
      </c>
      <c r="W492" s="61">
        <f>IFERROR(_xll.qlBachelierBlackFormulaImpliedVol(IF(O492&lt;$C$4,"Put","Call"),O492,$C$4,$C$7,Q492),"")</f>
        <v>7.160426483330617E-3</v>
      </c>
      <c r="X492" s="61">
        <f>IFERROR(_xll.qlBachelierBlackFormulaImpliedVol(IF(O492&lt;$C$4,"Put","Call"),O492,$C$4,$C$7,R492),"")</f>
        <v>4.3765318288685826E-3</v>
      </c>
      <c r="Y492" s="42"/>
    </row>
    <row r="493" spans="15:25">
      <c r="O493" s="37">
        <f t="shared" si="8"/>
        <v>3.8800000000000077E-2</v>
      </c>
      <c r="P493" s="38">
        <f>IFERROR(_xll.qlBlackFormula(IF(O493&lt;$C$4,"Put","Call"),O493,$C$4,$C$9*SQRT($C$7)),"")</f>
        <v>1.4862867040955476E-6</v>
      </c>
      <c r="Q493" s="39">
        <f>IFERROR(_xll.qlBlackFormula(IF(O493&lt;$C$4,"Put","Call"),O493,$C$4,$C$10*SQRT($C$7),,$C$11),"")</f>
        <v>1.7121407685948912E-9</v>
      </c>
      <c r="R493" s="40">
        <f>IFERROR(_xll.qlBachelierBlackFormula(IF(O493&lt;$C$4,"Put","Call"),O493,$C$4,$C$12*SQRT($C$7)),"")</f>
        <v>5.6391410754722682E-31</v>
      </c>
      <c r="S493" s="41">
        <f>IFERROR((_xll.qlBlackFormula(IF(O493&lt;$C$4,"Put","Call"),O493+$C$14,$C$4,$C$9*SQRT($C$7))-
2*_xll.qlBlackFormula(IF(O493&lt;$C$4,"Put","Call"),O493,$C$4,$C$9*SQRT($C$7))+
_xll.qlBlackFormula(IF(O493&lt;$C$4,"Put","Call"),O493-$C$14,$C$4,$C$9*SQRT($C$7)))/$C$14^2,"")</f>
        <v>3.1333876465700072E-2</v>
      </c>
      <c r="T493" s="42">
        <f>IFERROR((_xll.qlBlackFormula(IF(O493&lt;$C$4,"Put","Call"),O493+$C$14,$C$4,$C$10*SQRT($C$7),,$C$11)-
2*_xll.qlBlackFormula(IF(O493&lt;$C$4,"Put","Call"),O493,$C$4,$C$10*SQRT($C$7),,$C$11)+
_xll.qlBlackFormula(IF(O493&lt;$C$4,"Put","Call"),O493-$C$14,$C$4,$C$10*SQRT($C$7),,$C$11))/$C$14^2,"")</f>
        <v>2.2483715343812053E-4</v>
      </c>
      <c r="U493" s="43">
        <f>IFERROR((_xll.qlBachelierBlackFormula(IF(O493&lt;$C$4,"Put","Call"),O493+$C$14,$C$4,$C$12*SQRT($C$7))-
2*_xll.qlBachelierBlackFormula(IF(O493&lt;$C$4,"Put","Call"),O493,$C$4,$C$12*SQRT($C$7))+
_xll.qlBachelierBlackFormula(IF(O493&lt;$C$4,"Put","Call"),O493-$C$14,$C$4,$C$12*SQRT($C$7)))/$C$14^2,"")</f>
        <v>6.8536849279848575E-24</v>
      </c>
      <c r="V493" s="61">
        <f>IFERROR(_xll.qlBachelierBlackFormulaImpliedVol(IF(O493&lt;$C$4,"Put","Call"),O493,$C$4,$C$7,P493),"")</f>
        <v>1.0342993414989128E-2</v>
      </c>
      <c r="W493" s="61">
        <f>IFERROR(_xll.qlBachelierBlackFormulaImpliedVol(IF(O493&lt;$C$4,"Put","Call"),O493,$C$4,$C$7,Q493),"")</f>
        <v>7.1705620335320991E-3</v>
      </c>
      <c r="X493" s="61">
        <f>IFERROR(_xll.qlBachelierBlackFormulaImpliedVol(IF(O493&lt;$C$4,"Put","Call"),O493,$C$4,$C$7,R493),"")</f>
        <v>4.3895185702005372E-3</v>
      </c>
      <c r="Y493" s="42"/>
    </row>
    <row r="494" spans="15:25">
      <c r="O494" s="37">
        <f t="shared" si="8"/>
        <v>3.890000000000008E-2</v>
      </c>
      <c r="P494" s="38">
        <f>IFERROR(_xll.qlBlackFormula(IF(O494&lt;$C$4,"Put","Call"),O494,$C$4,$C$9*SQRT($C$7)),"")</f>
        <v>1.4659644538955126E-6</v>
      </c>
      <c r="Q494" s="39">
        <f>IFERROR(_xll.qlBlackFormula(IF(O494&lt;$C$4,"Put","Call"),O494,$C$4,$C$10*SQRT($C$7),,$C$11),"")</f>
        <v>1.6521330910900918E-9</v>
      </c>
      <c r="R494" s="40">
        <f>IFERROR(_xll.qlBachelierBlackFormula(IF(O494&lt;$C$4,"Put","Call"),O494,$C$4,$C$12*SQRT($C$7)),"")</f>
        <v>3.9716178487279117E-31</v>
      </c>
      <c r="S494" s="41">
        <f>IFERROR((_xll.qlBlackFormula(IF(O494&lt;$C$4,"Put","Call"),O494+$C$14,$C$4,$C$9*SQRT($C$7))-
2*_xll.qlBlackFormula(IF(O494&lt;$C$4,"Put","Call"),O494,$C$4,$C$9*SQRT($C$7))+
_xll.qlBlackFormula(IF(O494&lt;$C$4,"Put","Call"),O494-$C$14,$C$4,$C$9*SQRT($C$7)))/$C$14^2,"")</f>
        <v>3.0806571350979958E-2</v>
      </c>
      <c r="T494" s="42">
        <f>IFERROR((_xll.qlBlackFormula(IF(O494&lt;$C$4,"Put","Call"),O494+$C$14,$C$4,$C$10*SQRT($C$7),,$C$11)-
2*_xll.qlBlackFormula(IF(O494&lt;$C$4,"Put","Call"),O494,$C$4,$C$10*SQRT($C$7),,$C$11)+
_xll.qlBlackFormula(IF(O494&lt;$C$4,"Put","Call"),O494-$C$14,$C$4,$C$10*SQRT($C$7),,$C$11))/$C$14^2,"")</f>
        <v>2.143453169712286E-4</v>
      </c>
      <c r="U494" s="43">
        <f>IFERROR((_xll.qlBachelierBlackFormula(IF(O494&lt;$C$4,"Put","Call"),O494+$C$14,$C$4,$C$12*SQRT($C$7))-
2*_xll.qlBachelierBlackFormula(IF(O494&lt;$C$4,"Put","Call"),O494,$C$4,$C$12*SQRT($C$7))+
_xll.qlBachelierBlackFormula(IF(O494&lt;$C$4,"Put","Call"),O494-$C$14,$C$4,$C$12*SQRT($C$7)))/$C$14^2,"")</f>
        <v>4.854922729538819E-24</v>
      </c>
      <c r="V494" s="61">
        <f>IFERROR(_xll.qlBachelierBlackFormulaImpliedVol(IF(O494&lt;$C$4,"Put","Call"),O494,$C$4,$C$7,P494),"")</f>
        <v>1.0360592056226206E-2</v>
      </c>
      <c r="W494" s="61">
        <f>IFERROR(_xll.qlBachelierBlackFormulaImpliedVol(IF(O494&lt;$C$4,"Put","Call"),O494,$C$4,$C$7,Q494),"")</f>
        <v>7.1806915727129416E-3</v>
      </c>
      <c r="X494" s="61">
        <f>IFERROR(_xll.qlBachelierBlackFormulaImpliedVol(IF(O494&lt;$C$4,"Put","Call"),O494,$C$4,$C$7,R494),"")</f>
        <v>4.4025053115324918E-3</v>
      </c>
      <c r="Y494" s="42"/>
    </row>
    <row r="495" spans="15:25">
      <c r="O495" s="37">
        <f t="shared" si="8"/>
        <v>3.9000000000000083E-2</v>
      </c>
      <c r="P495" s="38">
        <f>IFERROR(_xll.qlBlackFormula(IF(O495&lt;$C$4,"Put","Call"),O495,$C$4,$C$9*SQRT($C$7)),"")</f>
        <v>1.4459503036100399E-6</v>
      </c>
      <c r="Q495" s="39">
        <f>IFERROR(_xll.qlBlackFormula(IF(O495&lt;$C$4,"Put","Call"),O495,$C$4,$C$10*SQRT($C$7),,$C$11),"")</f>
        <v>1.594280029659733E-9</v>
      </c>
      <c r="R495" s="40">
        <f>IFERROR(_xll.qlBachelierBlackFormula(IF(O495&lt;$C$4,"Put","Call"),O495,$C$4,$C$12*SQRT($C$7)),"")</f>
        <v>2.7943873603400822E-31</v>
      </c>
      <c r="S495" s="41">
        <f>IFERROR((_xll.qlBlackFormula(IF(O495&lt;$C$4,"Put","Call"),O495+$C$14,$C$4,$C$9*SQRT($C$7))-
2*_xll.qlBlackFormula(IF(O495&lt;$C$4,"Put","Call"),O495,$C$4,$C$9*SQRT($C$7))+
_xll.qlBlackFormula(IF(O495&lt;$C$4,"Put","Call"),O495-$C$14,$C$4,$C$9*SQRT($C$7)))/$C$14^2,"")</f>
        <v>3.0296405100914588E-2</v>
      </c>
      <c r="T495" s="42">
        <f>IFERROR((_xll.qlBlackFormula(IF(O495&lt;$C$4,"Put","Call"),O495+$C$14,$C$4,$C$10*SQRT($C$7),,$C$11)-
2*_xll.qlBlackFormula(IF(O495&lt;$C$4,"Put","Call"),O495,$C$4,$C$10*SQRT($C$7),,$C$11)+
_xll.qlBlackFormula(IF(O495&lt;$C$4,"Put","Call"),O495-$C$14,$C$4,$C$10*SQRT($C$7),,$C$11))/$C$14^2,"")</f>
        <v>2.0764750981993362E-4</v>
      </c>
      <c r="U495" s="43">
        <f>IFERROR((_xll.qlBachelierBlackFormula(IF(O495&lt;$C$4,"Put","Call"),O495+$C$14,$C$4,$C$12*SQRT($C$7))-
2*_xll.qlBachelierBlackFormula(IF(O495&lt;$C$4,"Put","Call"),O495,$C$4,$C$12*SQRT($C$7))+
_xll.qlBachelierBlackFormula(IF(O495&lt;$C$4,"Put","Call"),O495-$C$14,$C$4,$C$12*SQRT($C$7)))/$C$14^2,"")</f>
        <v>3.4355647902316799E-24</v>
      </c>
      <c r="V495" s="61">
        <f>IFERROR(_xll.qlBachelierBlackFormulaImpliedVol(IF(O495&lt;$C$4,"Put","Call"),O495,$C$4,$C$7,P495),"")</f>
        <v>1.0378180037819264E-2</v>
      </c>
      <c r="W495" s="61">
        <f>IFERROR(_xll.qlBachelierBlackFormulaImpliedVol(IF(O495&lt;$C$4,"Put","Call"),O495,$C$4,$C$7,Q495),"")</f>
        <v>7.1908151203327721E-3</v>
      </c>
      <c r="X495" s="61">
        <f>IFERROR(_xll.qlBachelierBlackFormulaImpliedVol(IF(O495&lt;$C$4,"Put","Call"),O495,$C$4,$C$7,R495),"")</f>
        <v>4.4154920528644455E-3</v>
      </c>
      <c r="Y495" s="42"/>
    </row>
    <row r="496" spans="15:25">
      <c r="O496" s="37">
        <f t="shared" si="8"/>
        <v>3.9100000000000086E-2</v>
      </c>
      <c r="P496" s="38">
        <f>IFERROR(_xll.qlBlackFormula(IF(O496&lt;$C$4,"Put","Call"),O496,$C$4,$C$9*SQRT($C$7)),"")</f>
        <v>1.4262391117328581E-6</v>
      </c>
      <c r="Q496" s="39">
        <f>IFERROR(_xll.qlBlackFormula(IF(O496&lt;$C$4,"Put","Call"),O496,$C$4,$C$10*SQRT($C$7),,$C$11),"")</f>
        <v>1.5385024037916718E-9</v>
      </c>
      <c r="R496" s="40">
        <f>IFERROR(_xll.qlBachelierBlackFormula(IF(O496&lt;$C$4,"Put","Call"),O496,$C$4,$C$12*SQRT($C$7)),"")</f>
        <v>1.9641307025047777E-31</v>
      </c>
      <c r="S496" s="41">
        <f>IFERROR((_xll.qlBlackFormula(IF(O496&lt;$C$4,"Put","Call"),O496+$C$14,$C$4,$C$9*SQRT($C$7))-
2*_xll.qlBlackFormula(IF(O496&lt;$C$4,"Put","Call"),O496,$C$4,$C$9*SQRT($C$7))+
_xll.qlBlackFormula(IF(O496&lt;$C$4,"Put","Call"),O496-$C$14,$C$4,$C$9*SQRT($C$7)))/$C$14^2,"")</f>
        <v>2.9789469434510045E-2</v>
      </c>
      <c r="T496" s="42">
        <f>IFERROR((_xll.qlBlackFormula(IF(O496&lt;$C$4,"Put","Call"),O496+$C$14,$C$4,$C$10*SQRT($C$7),,$C$11)-
2*_xll.qlBlackFormula(IF(O496&lt;$C$4,"Put","Call"),O496,$C$4,$C$10*SQRT($C$7),,$C$11)+
_xll.qlBlackFormula(IF(O496&lt;$C$4,"Put","Call"),O496-$C$14,$C$4,$C$10*SQRT($C$7),,$C$11))/$C$14^2,"")</f>
        <v>1.9869711780708935E-4</v>
      </c>
      <c r="U496" s="43">
        <f>IFERROR((_xll.qlBachelierBlackFormula(IF(O496&lt;$C$4,"Put","Call"),O496+$C$14,$C$4,$C$12*SQRT($C$7))-
2*_xll.qlBachelierBlackFormula(IF(O496&lt;$C$4,"Put","Call"),O496,$C$4,$C$12*SQRT($C$7))+
_xll.qlBachelierBlackFormula(IF(O496&lt;$C$4,"Put","Call"),O496-$C$14,$C$4,$C$12*SQRT($C$7)))/$C$14^2,"")</f>
        <v>2.4286872599023578E-24</v>
      </c>
      <c r="V496" s="61">
        <f>IFERROR(_xll.qlBachelierBlackFormulaImpliedVol(IF(O496&lt;$C$4,"Put","Call"),O496,$C$4,$C$7,P496),"")</f>
        <v>1.0395757398024381E-2</v>
      </c>
      <c r="W496" s="61">
        <f>IFERROR(_xll.qlBachelierBlackFormulaImpliedVol(IF(O496&lt;$C$4,"Put","Call"),O496,$C$4,$C$7,Q496),"")</f>
        <v>7.2009326956355511E-3</v>
      </c>
      <c r="X496" s="61">
        <f>IFERROR(_xll.qlBachelierBlackFormulaImpliedVol(IF(O496&lt;$C$4,"Put","Call"),O496,$C$4,$C$7,R496),"")</f>
        <v>4.4284787941964009E-3</v>
      </c>
      <c r="Y496" s="42"/>
    </row>
    <row r="497" spans="15:25">
      <c r="O497" s="37">
        <f t="shared" si="8"/>
        <v>3.9200000000000089E-2</v>
      </c>
      <c r="P497" s="38">
        <f>IFERROR(_xll.qlBlackFormula(IF(O497&lt;$C$4,"Put","Call"),O497,$C$4,$C$9*SQRT($C$7)),"")</f>
        <v>1.4068258305704298E-6</v>
      </c>
      <c r="Q497" s="39">
        <f>IFERROR(_xll.qlBlackFormula(IF(O497&lt;$C$4,"Put","Call"),O497,$C$4,$C$10*SQRT($C$7),,$C$11),"")</f>
        <v>1.4847240024539846E-9</v>
      </c>
      <c r="R497" s="40">
        <f>IFERROR(_xll.qlBachelierBlackFormula(IF(O497&lt;$C$4,"Put","Call"),O497,$C$4,$C$12*SQRT($C$7)),"")</f>
        <v>1.379172992994687E-31</v>
      </c>
      <c r="S497" s="41">
        <f>IFERROR((_xll.qlBlackFormula(IF(O497&lt;$C$4,"Put","Call"),O497+$C$14,$C$4,$C$9*SQRT($C$7))-
2*_xll.qlBlackFormula(IF(O497&lt;$C$4,"Put","Call"),O497,$C$4,$C$9*SQRT($C$7))+
_xll.qlBlackFormula(IF(O497&lt;$C$4,"Put","Call"),O497-$C$14,$C$4,$C$9*SQRT($C$7)))/$C$14^2,"")</f>
        <v>2.9293706979712734E-2</v>
      </c>
      <c r="T497" s="42">
        <f>IFERROR((_xll.qlBlackFormula(IF(O497&lt;$C$4,"Put","Call"),O497+$C$14,$C$4,$C$10*SQRT($C$7),,$C$11)-
2*_xll.qlBlackFormula(IF(O497&lt;$C$4,"Put","Call"),O497,$C$4,$C$10*SQRT($C$7),,$C$11)+
_xll.qlBlackFormula(IF(O497&lt;$C$4,"Put","Call"),O497-$C$14,$C$4,$C$10*SQRT($C$7),,$C$11))/$C$14^2,"")</f>
        <v>1.8987495202408059E-4</v>
      </c>
      <c r="U497" s="43">
        <f>IFERROR((_xll.qlBachelierBlackFormula(IF(O497&lt;$C$4,"Put","Call"),O497+$C$14,$C$4,$C$12*SQRT($C$7))-
2*_xll.qlBachelierBlackFormula(IF(O497&lt;$C$4,"Put","Call"),O497,$C$4,$C$12*SQRT($C$7))+
_xll.qlBachelierBlackFormula(IF(O497&lt;$C$4,"Put","Call"),O497-$C$14,$C$4,$C$12*SQRT($C$7)))/$C$14^2,"")</f>
        <v>1.7151522559891946E-24</v>
      </c>
      <c r="V497" s="61">
        <f>IFERROR(_xll.qlBachelierBlackFormulaImpliedVol(IF(O497&lt;$C$4,"Put","Call"),O497,$C$4,$C$7,P497),"")</f>
        <v>1.0413324174855262E-2</v>
      </c>
      <c r="W497" s="61">
        <f>IFERROR(_xll.qlBachelierBlackFormulaImpliedVol(IF(O497&lt;$C$4,"Put","Call"),O497,$C$4,$C$7,Q497),"")</f>
        <v>7.2110443176800938E-3</v>
      </c>
      <c r="X497" s="61">
        <f>IFERROR(_xll.qlBachelierBlackFormulaImpliedVol(IF(O497&lt;$C$4,"Put","Call"),O497,$C$4,$C$7,R497),"")</f>
        <v>4.4414655355283555E-3</v>
      </c>
      <c r="Y497" s="42"/>
    </row>
    <row r="498" spans="15:25">
      <c r="O498" s="37">
        <f t="shared" si="8"/>
        <v>3.9300000000000092E-2</v>
      </c>
      <c r="P498" s="38">
        <f>IFERROR(_xll.qlBlackFormula(IF(O498&lt;$C$4,"Put","Call"),O498,$C$4,$C$9*SQRT($C$7)),"")</f>
        <v>1.3877055043959853E-6</v>
      </c>
      <c r="Q498" s="39">
        <f>IFERROR(_xll.qlBlackFormula(IF(O498&lt;$C$4,"Put","Call"),O498,$C$4,$C$10*SQRT($C$7),,$C$11),"")</f>
        <v>1.4328714786737228E-9</v>
      </c>
      <c r="R498" s="40">
        <f>IFERROR(_xll.qlBachelierBlackFormula(IF(O498&lt;$C$4,"Put","Call"),O498,$C$4,$C$12*SQRT($C$7)),"")</f>
        <v>9.67456951960511E-32</v>
      </c>
      <c r="S498" s="41">
        <f>IFERROR((_xll.qlBlackFormula(IF(O498&lt;$C$4,"Put","Call"),O498+$C$14,$C$4,$C$9*SQRT($C$7))-
2*_xll.qlBlackFormula(IF(O498&lt;$C$4,"Put","Call"),O498,$C$4,$C$9*SQRT($C$7))+
_xll.qlBlackFormula(IF(O498&lt;$C$4,"Put","Call"),O498-$C$14,$C$4,$C$9*SQRT($C$7)))/$C$14^2,"")</f>
        <v>2.8810128246828728E-2</v>
      </c>
      <c r="T498" s="42">
        <f>IFERROR((_xll.qlBlackFormula(IF(O498&lt;$C$4,"Put","Call"),O498+$C$14,$C$4,$C$10*SQRT($C$7),,$C$11)-
2*_xll.qlBlackFormula(IF(O498&lt;$C$4,"Put","Call"),O498,$C$4,$C$10*SQRT($C$7),,$C$11)+
_xll.qlBlackFormula(IF(O498&lt;$C$4,"Put","Call"),O498-$C$14,$C$4,$C$10*SQRT($C$7),,$C$11))/$C$14^2,"")</f>
        <v>1.8604390472171063E-4</v>
      </c>
      <c r="U498" s="43">
        <f>IFERROR((_xll.qlBachelierBlackFormula(IF(O498&lt;$C$4,"Put","Call"),O498+$C$14,$C$4,$C$12*SQRT($C$7))-
2*_xll.qlBachelierBlackFormula(IF(O498&lt;$C$4,"Put","Call"),O498,$C$4,$C$12*SQRT($C$7))+
_xll.qlBachelierBlackFormula(IF(O498&lt;$C$4,"Put","Call"),O498-$C$14,$C$4,$C$12*SQRT($C$7)))/$C$14^2,"")</f>
        <v>1.2100167734205569E-24</v>
      </c>
      <c r="V498" s="61">
        <f>IFERROR(_xll.qlBachelierBlackFormulaImpliedVol(IF(O498&lt;$C$4,"Put","Call"),O498,$C$4,$C$7,P498),"")</f>
        <v>1.0430880406093867E-2</v>
      </c>
      <c r="W498" s="61">
        <f>IFERROR(_xll.qlBachelierBlackFormulaImpliedVol(IF(O498&lt;$C$4,"Put","Call"),O498,$C$4,$C$7,Q498),"")</f>
        <v>7.2211500057086878E-3</v>
      </c>
      <c r="X498" s="61">
        <f>IFERROR(_xll.qlBachelierBlackFormulaImpliedVol(IF(O498&lt;$C$4,"Put","Call"),O498,$C$4,$C$7,R498),"")</f>
        <v>4.4544522768603101E-3</v>
      </c>
      <c r="Y498" s="42"/>
    </row>
    <row r="499" spans="15:25">
      <c r="O499" s="37">
        <f t="shared" si="8"/>
        <v>3.9400000000000095E-2</v>
      </c>
      <c r="P499" s="38">
        <f>IFERROR(_xll.qlBlackFormula(IF(O499&lt;$C$4,"Put","Call"),O499,$C$4,$C$9*SQRT($C$7)),"")</f>
        <v>1.3688732676238646E-6</v>
      </c>
      <c r="Q499" s="39">
        <f>IFERROR(_xll.qlBlackFormula(IF(O499&lt;$C$4,"Put","Call"),O499,$C$4,$C$10*SQRT($C$7),,$C$11),"")</f>
        <v>1.3828742394083695E-9</v>
      </c>
      <c r="R499" s="40">
        <f>IFERROR(_xll.qlBachelierBlackFormula(IF(O499&lt;$C$4,"Put","Call"),O499,$C$4,$C$12*SQRT($C$7)),"")</f>
        <v>6.7796779350150943E-32</v>
      </c>
      <c r="S499" s="41">
        <f>IFERROR((_xll.qlBlackFormula(IF(O499&lt;$C$4,"Put","Call"),O499+$C$14,$C$4,$C$9*SQRT($C$7))-
2*_xll.qlBlackFormula(IF(O499&lt;$C$4,"Put","Call"),O499,$C$4,$C$9*SQRT($C$7))+
_xll.qlBlackFormula(IF(O499&lt;$C$4,"Put","Call"),O499-$C$14,$C$4,$C$9*SQRT($C$7)))/$C$14^2,"")</f>
        <v>2.8328277461157122E-2</v>
      </c>
      <c r="T499" s="42">
        <f>IFERROR((_xll.qlBlackFormula(IF(O499&lt;$C$4,"Put","Call"),O499+$C$14,$C$4,$C$10*SQRT($C$7),,$C$11)-
2*_xll.qlBlackFormula(IF(O499&lt;$C$4,"Put","Call"),O499,$C$4,$C$10*SQRT($C$7),,$C$11)+
_xll.qlBlackFormula(IF(O499&lt;$C$4,"Put","Call"),O499-$C$14,$C$4,$C$10*SQRT($C$7),,$C$11))/$C$14^2,"")</f>
        <v>1.8034396193928532E-4</v>
      </c>
      <c r="U499" s="43">
        <f>IFERROR((_xll.qlBachelierBlackFormula(IF(O499&lt;$C$4,"Put","Call"),O499+$C$14,$C$4,$C$12*SQRT($C$7))-
2*_xll.qlBachelierBlackFormula(IF(O499&lt;$C$4,"Put","Call"),O499,$C$4,$C$12*SQRT($C$7))+
_xll.qlBachelierBlackFormula(IF(O499&lt;$C$4,"Put","Call"),O499-$C$14,$C$4,$C$12*SQRT($C$7)))/$C$14^2,"")</f>
        <v>8.5278142975478038E-25</v>
      </c>
      <c r="V499" s="61">
        <f>IFERROR(_xll.qlBachelierBlackFormulaImpliedVol(IF(O499&lt;$C$4,"Put","Call"),O499,$C$4,$C$7,P499),"")</f>
        <v>1.0448426129284776E-2</v>
      </c>
      <c r="W499" s="61">
        <f>IFERROR(_xll.qlBachelierBlackFormulaImpliedVol(IF(O499&lt;$C$4,"Put","Call"),O499,$C$4,$C$7,Q499),"")</f>
        <v>7.2312497796206358E-3</v>
      </c>
      <c r="X499" s="61">
        <f>IFERROR(_xll.qlBachelierBlackFormulaImpliedVol(IF(O499&lt;$C$4,"Put","Call"),O499,$C$4,$C$7,R499),"")</f>
        <v>4.4674390181922638E-3</v>
      </c>
      <c r="Y499" s="42"/>
    </row>
    <row r="500" spans="15:25">
      <c r="O500" s="37">
        <f t="shared" si="8"/>
        <v>3.9500000000000098E-2</v>
      </c>
      <c r="P500" s="38">
        <f>IFERROR(_xll.qlBlackFormula(IF(O500&lt;$C$4,"Put","Call"),O500,$C$4,$C$9*SQRT($C$7)),"")</f>
        <v>1.3503243430184987E-6</v>
      </c>
      <c r="Q500" s="39">
        <f>IFERROR(_xll.qlBlackFormula(IF(O500&lt;$C$4,"Put","Call"),O500,$C$4,$C$10*SQRT($C$7),,$C$11),"")</f>
        <v>1.334664335939051E-9</v>
      </c>
      <c r="R500" s="40">
        <f>IFERROR(_xll.qlBachelierBlackFormula(IF(O500&lt;$C$4,"Put","Call"),O500,$C$4,$C$12*SQRT($C$7)),"")</f>
        <v>4.7462536930437967E-32</v>
      </c>
      <c r="S500" s="41">
        <f>IFERROR((_xll.qlBlackFormula(IF(O500&lt;$C$4,"Put","Call"),O500+$C$14,$C$4,$C$9*SQRT($C$7))-
2*_xll.qlBlackFormula(IF(O500&lt;$C$4,"Put","Call"),O500,$C$4,$C$9*SQRT($C$7))+
_xll.qlBlackFormula(IF(O500&lt;$C$4,"Put","Call"),O500-$C$14,$C$4,$C$9*SQRT($C$7)))/$C$14^2,"")</f>
        <v>2.7862293296653483E-2</v>
      </c>
      <c r="T500" s="42">
        <f>IFERROR((_xll.qlBlackFormula(IF(O500&lt;$C$4,"Put","Call"),O500+$C$14,$C$4,$C$10*SQRT($C$7),,$C$11)-
2*_xll.qlBlackFormula(IF(O500&lt;$C$4,"Put","Call"),O500,$C$4,$C$10*SQRT($C$7),,$C$11)+
_xll.qlBlackFormula(IF(O500&lt;$C$4,"Put","Call"),O500-$C$14,$C$4,$C$10*SQRT($C$7),,$C$11))/$C$14^2,"")</f>
        <v>1.6856932054355636E-4</v>
      </c>
      <c r="U500" s="43">
        <f>IFERROR((_xll.qlBachelierBlackFormula(IF(O500&lt;$C$4,"Put","Call"),O500+$C$14,$C$4,$C$12*SQRT($C$7))-
2*_xll.qlBachelierBlackFormula(IF(O500&lt;$C$4,"Put","Call"),O500,$C$4,$C$12*SQRT($C$7))+
_xll.qlBachelierBlackFormula(IF(O500&lt;$C$4,"Put","Call"),O500-$C$14,$C$4,$C$12*SQRT($C$7)))/$C$14^2,"")</f>
        <v>6.0040142112637637E-25</v>
      </c>
      <c r="V500" s="61">
        <f>IFERROR(_xll.qlBachelierBlackFormulaImpliedVol(IF(O500&lt;$C$4,"Put","Call"),O500,$C$4,$C$7,P500),"")</f>
        <v>1.0465961381743232E-2</v>
      </c>
      <c r="W500" s="61">
        <f>IFERROR(_xll.qlBachelierBlackFormulaImpliedVol(IF(O500&lt;$C$4,"Put","Call"),O500,$C$4,$C$7,Q500),"")</f>
        <v>7.2413436585998152E-3</v>
      </c>
      <c r="X500" s="61">
        <f>IFERROR(_xll.qlBachelierBlackFormulaImpliedVol(IF(O500&lt;$C$4,"Put","Call"),O500,$C$4,$C$7,R500),"")</f>
        <v>4.4804257595242192E-3</v>
      </c>
      <c r="Y500" s="42"/>
    </row>
    <row r="501" spans="15:25">
      <c r="O501" s="37">
        <f t="shared" si="8"/>
        <v>3.96000000000001E-2</v>
      </c>
      <c r="P501" s="38">
        <f>IFERROR(_xll.qlBlackFormula(IF(O501&lt;$C$4,"Put","Call"),O501,$C$4,$C$9*SQRT($C$7)),"")</f>
        <v>1.3320540399712132E-6</v>
      </c>
      <c r="Q501" s="39">
        <f>IFERROR(_xll.qlBlackFormula(IF(O501&lt;$C$4,"Put","Call"),O501,$C$4,$C$10*SQRT($C$7),,$C$11),"")</f>
        <v>1.2881763615246315E-9</v>
      </c>
      <c r="R501" s="40">
        <f>IFERROR(_xll.qlBachelierBlackFormula(IF(O501&lt;$C$4,"Put","Call"),O501,$C$4,$C$12*SQRT($C$7)),"")</f>
        <v>3.3193822451222778E-32</v>
      </c>
      <c r="S501" s="41">
        <f>IFERROR((_xll.qlBlackFormula(IF(O501&lt;$C$4,"Put","Call"),O501+$C$14,$C$4,$C$9*SQRT($C$7))-
2*_xll.qlBlackFormula(IF(O501&lt;$C$4,"Put","Call"),O501,$C$4,$C$9*SQRT($C$7))+
_xll.qlBlackFormula(IF(O501&lt;$C$4,"Put","Call"),O501-$C$14,$C$4,$C$9*SQRT($C$7)))/$C$14^2,"")</f>
        <v>2.7398436878913347E-2</v>
      </c>
      <c r="T501" s="42">
        <f>IFERROR((_xll.qlBlackFormula(IF(O501&lt;$C$4,"Put","Call"),O501+$C$14,$C$4,$C$10*SQRT($C$7),,$C$11)-
2*_xll.qlBlackFormula(IF(O501&lt;$C$4,"Put","Call"),O501,$C$4,$C$10*SQRT($C$7),,$C$11)+
_xll.qlBlackFormula(IF(O501&lt;$C$4,"Put","Call"),O501-$C$14,$C$4,$C$10*SQRT($C$7),,$C$11))/$C$14^2,"")</f>
        <v>1.6715406083759243E-4</v>
      </c>
      <c r="U501" s="43">
        <f>IFERROR((_xll.qlBachelierBlackFormula(IF(O501&lt;$C$4,"Put","Call"),O501+$C$14,$C$4,$C$12*SQRT($C$7))-
2*_xll.qlBachelierBlackFormula(IF(O501&lt;$C$4,"Put","Call"),O501,$C$4,$C$12*SQRT($C$7))+
_xll.qlBachelierBlackFormula(IF(O501&lt;$C$4,"Put","Call"),O501-$C$14,$C$4,$C$12*SQRT($C$7)))/$C$14^2,"")</f>
        <v>4.2228272855520955E-25</v>
      </c>
      <c r="V501" s="61">
        <f>IFERROR(_xll.qlBachelierBlackFormulaImpliedVol(IF(O501&lt;$C$4,"Put","Call"),O501,$C$4,$C$7,P501),"")</f>
        <v>1.0483486200555678E-2</v>
      </c>
      <c r="W501" s="61">
        <f>IFERROR(_xll.qlBachelierBlackFormulaImpliedVol(IF(O501&lt;$C$4,"Put","Call"),O501,$C$4,$C$7,Q501),"")</f>
        <v>7.2514316591566746E-3</v>
      </c>
      <c r="X501" s="61">
        <f>IFERROR(_xll.qlBachelierBlackFormulaImpliedVol(IF(O501&lt;$C$4,"Put","Call"),O501,$C$4,$C$7,R501),"")</f>
        <v>4.4934125008561738E-3</v>
      </c>
      <c r="Y501" s="42"/>
    </row>
    <row r="502" spans="15:25">
      <c r="O502" s="37">
        <f t="shared" si="8"/>
        <v>3.9700000000000103E-2</v>
      </c>
      <c r="P502" s="38">
        <f>IFERROR(_xll.qlBlackFormula(IF(O502&lt;$C$4,"Put","Call"),O502,$C$4,$C$9*SQRT($C$7)),"")</f>
        <v>1.3140577527666164E-6</v>
      </c>
      <c r="Q502" s="39">
        <f>IFERROR(_xll.qlBlackFormula(IF(O502&lt;$C$4,"Put","Call"),O502,$C$4,$C$10*SQRT($C$7),,$C$11),"")</f>
        <v>1.243347360968495E-9</v>
      </c>
      <c r="R502" s="40">
        <f>IFERROR(_xll.qlBachelierBlackFormula(IF(O502&lt;$C$4,"Put","Call"),O502,$C$4,$C$12*SQRT($C$7)),"")</f>
        <v>2.3191454256573262E-32</v>
      </c>
      <c r="S502" s="41">
        <f>IFERROR((_xll.qlBlackFormula(IF(O502&lt;$C$4,"Put","Call"),O502+$C$14,$C$4,$C$9*SQRT($C$7))-
2*_xll.qlBlackFormula(IF(O502&lt;$C$4,"Put","Call"),O502,$C$4,$C$9*SQRT($C$7))+
_xll.qlBlackFormula(IF(O502&lt;$C$4,"Put","Call"),O502-$C$14,$C$4,$C$9*SQRT($C$7)))/$C$14^2,"")</f>
        <v>2.6949319681488382E-2</v>
      </c>
      <c r="T502" s="42">
        <f>IFERROR((_xll.qlBlackFormula(IF(O502&lt;$C$4,"Put","Call"),O502+$C$14,$C$4,$C$10*SQRT($C$7),,$C$11)-
2*_xll.qlBlackFormula(IF(O502&lt;$C$4,"Put","Call"),O502,$C$4,$C$10*SQRT($C$7),,$C$11)+
_xll.qlBlackFormula(IF(O502&lt;$C$4,"Put","Call"),O502-$C$14,$C$4,$C$10*SQRT($C$7),,$C$11))/$C$14^2,"")</f>
        <v>1.6259571332727401E-4</v>
      </c>
      <c r="U502" s="43">
        <f>IFERROR((_xll.qlBachelierBlackFormula(IF(O502&lt;$C$4,"Put","Call"),O502+$C$14,$C$4,$C$12*SQRT($C$7))-
2*_xll.qlBachelierBlackFormula(IF(O502&lt;$C$4,"Put","Call"),O502,$C$4,$C$12*SQRT($C$7))+
_xll.qlBachelierBlackFormula(IF(O502&lt;$C$4,"Put","Call"),O502-$C$14,$C$4,$C$12*SQRT($C$7)))/$C$14^2,"")</f>
        <v>2.9670342587636799E-25</v>
      </c>
      <c r="V502" s="61">
        <f>IFERROR(_xll.qlBachelierBlackFormulaImpliedVol(IF(O502&lt;$C$4,"Put","Call"),O502,$C$4,$C$7,P502),"")</f>
        <v>1.0501000622577351E-2</v>
      </c>
      <c r="W502" s="61">
        <f>IFERROR(_xll.qlBachelierBlackFormulaImpliedVol(IF(O502&lt;$C$4,"Put","Call"),O502,$C$4,$C$7,Q502),"")</f>
        <v>7.2615138026386602E-3</v>
      </c>
      <c r="X502" s="61">
        <f>IFERROR(_xll.qlBachelierBlackFormulaImpliedVol(IF(O502&lt;$C$4,"Put","Call"),O502,$C$4,$C$7,R502),"")</f>
        <v>4.5063992421881284E-3</v>
      </c>
      <c r="Y502" s="42"/>
    </row>
    <row r="503" spans="15:25">
      <c r="O503" s="37">
        <f t="shared" si="8"/>
        <v>3.9800000000000106E-2</v>
      </c>
      <c r="P503" s="38">
        <f>IFERROR(_xll.qlBlackFormula(IF(O503&lt;$C$4,"Put","Call"),O503,$C$4,$C$9*SQRT($C$7)),"")</f>
        <v>1.2963309589408423E-6</v>
      </c>
      <c r="Q503" s="39">
        <f>IFERROR(_xll.qlBlackFormula(IF(O503&lt;$C$4,"Put","Call"),O503,$C$4,$C$10*SQRT($C$7),,$C$11),"")</f>
        <v>1.2001167364327895E-9</v>
      </c>
      <c r="R503" s="40">
        <f>IFERROR(_xll.qlBachelierBlackFormula(IF(O503&lt;$C$4,"Put","Call"),O503,$C$4,$C$12*SQRT($C$7)),"")</f>
        <v>1.618687673269274E-32</v>
      </c>
      <c r="S503" s="41">
        <f>IFERROR((_xll.qlBlackFormula(IF(O503&lt;$C$4,"Put","Call"),O503+$C$14,$C$4,$C$9*SQRT($C$7))-
2*_xll.qlBlackFormula(IF(O503&lt;$C$4,"Put","Call"),O503,$C$4,$C$9*SQRT($C$7))+
_xll.qlBlackFormula(IF(O503&lt;$C$4,"Put","Call"),O503-$C$14,$C$4,$C$9*SQRT($C$7)))/$C$14^2,"")</f>
        <v>2.6501739848862685E-2</v>
      </c>
      <c r="T503" s="42">
        <f>IFERROR((_xll.qlBlackFormula(IF(O503&lt;$C$4,"Put","Call"),O503+$C$14,$C$4,$C$10*SQRT($C$7),,$C$11)-
2*_xll.qlBlackFormula(IF(O503&lt;$C$4,"Put","Call"),O503,$C$4,$C$10*SQRT($C$7),,$C$11)+
_xll.qlBlackFormula(IF(O503&lt;$C$4,"Put","Call"),O503-$C$14,$C$4,$C$10*SQRT($C$7),,$C$11))/$C$14^2,"")</f>
        <v>1.5178447264737328E-4</v>
      </c>
      <c r="U503" s="43">
        <f>IFERROR((_xll.qlBachelierBlackFormula(IF(O503&lt;$C$4,"Put","Call"),O503+$C$14,$C$4,$C$12*SQRT($C$7))-
2*_xll.qlBachelierBlackFormula(IF(O503&lt;$C$4,"Put","Call"),O503,$C$4,$C$12*SQRT($C$7))+
_xll.qlBachelierBlackFormula(IF(O503&lt;$C$4,"Put","Call"),O503-$C$14,$C$4,$C$12*SQRT($C$7)))/$C$14^2,"")</f>
        <v>2.0825691435273239E-25</v>
      </c>
      <c r="V503" s="61">
        <f>IFERROR(_xll.qlBachelierBlackFormulaImpliedVol(IF(O503&lt;$C$4,"Put","Call"),O503,$C$4,$C$7,P503),"")</f>
        <v>1.0518504684442216E-2</v>
      </c>
      <c r="W503" s="61">
        <f>IFERROR(_xll.qlBachelierBlackFormulaImpliedVol(IF(O503&lt;$C$4,"Put","Call"),O503,$C$4,$C$7,Q503),"")</f>
        <v>7.2715901065941559E-3</v>
      </c>
      <c r="X503" s="61">
        <f>IFERROR(_xll.qlBachelierBlackFormulaImpliedVol(IF(O503&lt;$C$4,"Put","Call"),O503,$C$4,$C$7,R503),"")</f>
        <v>4.519385983520083E-3</v>
      </c>
      <c r="Y503" s="42"/>
    </row>
    <row r="504" spans="15:25">
      <c r="O504" s="37">
        <f t="shared" si="8"/>
        <v>3.9900000000000109E-2</v>
      </c>
      <c r="P504" s="38">
        <f>IFERROR(_xll.qlBlackFormula(IF(O504&lt;$C$4,"Put","Call"),O504,$C$4,$C$9*SQRT($C$7)),"")</f>
        <v>1.278869217617533E-6</v>
      </c>
      <c r="Q504" s="39">
        <f>IFERROR(_xll.qlBlackFormula(IF(O504&lt;$C$4,"Put","Call"),O504,$C$4,$C$10*SQRT($C$7),,$C$11),"")</f>
        <v>1.1584261430274817E-9</v>
      </c>
      <c r="R504" s="40">
        <f>IFERROR(_xll.qlBachelierBlackFormula(IF(O504&lt;$C$4,"Put","Call"),O504,$C$4,$C$12*SQRT($C$7)),"")</f>
        <v>1.1286582518857474E-32</v>
      </c>
      <c r="S504" s="41">
        <f>IFERROR((_xll.qlBlackFormula(IF(O504&lt;$C$4,"Put","Call"),O504+$C$14,$C$4,$C$9*SQRT($C$7))-
2*_xll.qlBlackFormula(IF(O504&lt;$C$4,"Put","Call"),O504,$C$4,$C$9*SQRT($C$7))+
_xll.qlBlackFormula(IF(O504&lt;$C$4,"Put","Call"),O504-$C$14,$C$4,$C$9*SQRT($C$7)))/$C$14^2,"")</f>
        <v>2.6070338345529544E-2</v>
      </c>
      <c r="T504" s="42">
        <f>IFERROR((_xll.qlBlackFormula(IF(O504&lt;$C$4,"Put","Call"),O504+$C$14,$C$4,$C$10*SQRT($C$7),,$C$11)-
2*_xll.qlBlackFormula(IF(O504&lt;$C$4,"Put","Call"),O504,$C$4,$C$10*SQRT($C$7),,$C$11)+
_xll.qlBlackFormula(IF(O504&lt;$C$4,"Put","Call"),O504-$C$14,$C$4,$C$10*SQRT($C$7),,$C$11))/$C$14^2,"")</f>
        <v>1.4709849778598284E-4</v>
      </c>
      <c r="U504" s="43">
        <f>IFERROR((_xll.qlBachelierBlackFormula(IF(O504&lt;$C$4,"Put","Call"),O504+$C$14,$C$4,$C$12*SQRT($C$7))-
2*_xll.qlBachelierBlackFormula(IF(O504&lt;$C$4,"Put","Call"),O504,$C$4,$C$12*SQRT($C$7))+
_xll.qlBachelierBlackFormula(IF(O504&lt;$C$4,"Put","Call"),O504-$C$14,$C$4,$C$12*SQRT($C$7)))/$C$14^2,"")</f>
        <v>1.4602725883890279E-25</v>
      </c>
      <c r="V504" s="61">
        <f>IFERROR(_xll.qlBachelierBlackFormulaImpliedVol(IF(O504&lt;$C$4,"Put","Call"),O504,$C$4,$C$7,P504),"")</f>
        <v>1.0535998422554663E-2</v>
      </c>
      <c r="W504" s="61">
        <f>IFERROR(_xll.qlBachelierBlackFormulaImpliedVol(IF(O504&lt;$C$4,"Put","Call"),O504,$C$4,$C$7,Q504),"")</f>
        <v>7.2816605900707402E-3</v>
      </c>
      <c r="X504" s="61">
        <f>IFERROR(_xll.qlBachelierBlackFormulaImpliedVol(IF(O504&lt;$C$4,"Put","Call"),O504,$C$4,$C$7,R504),"")</f>
        <v>4.5323727248520376E-3</v>
      </c>
      <c r="Y504" s="42"/>
    </row>
    <row r="505" spans="15:25">
      <c r="O505" s="37">
        <f t="shared" si="8"/>
        <v>4.0000000000000112E-2</v>
      </c>
      <c r="P505" s="38">
        <f>IFERROR(_xll.qlBlackFormula(IF(O505&lt;$C$4,"Put","Call"),O505,$C$4,$C$9*SQRT($C$7)),"")</f>
        <v>1.2616681679347512E-6</v>
      </c>
      <c r="Q505" s="39">
        <f>IFERROR(_xll.qlBlackFormula(IF(O505&lt;$C$4,"Put","Call"),O505,$C$4,$C$10*SQRT($C$7),,$C$11),"")</f>
        <v>1.1182194242786552E-9</v>
      </c>
      <c r="R505" s="40">
        <f>IFERROR(_xll.qlBachelierBlackFormula(IF(O505&lt;$C$4,"Put","Call"),O505,$C$4,$C$12*SQRT($C$7)),"")</f>
        <v>7.8618753152389623E-33</v>
      </c>
      <c r="S505" s="41">
        <f>IFERROR((_xll.qlBlackFormula(IF(O505&lt;$C$4,"Put","Call"),O505+$C$14,$C$4,$C$9*SQRT($C$7))-
2*_xll.qlBlackFormula(IF(O505&lt;$C$4,"Put","Call"),O505,$C$4,$C$9*SQRT($C$7))+
_xll.qlBlackFormula(IF(O505&lt;$C$4,"Put","Call"),O505-$C$14,$C$4,$C$9*SQRT($C$7)))/$C$14^2,"")</f>
        <v>2.5638017811448633E-2</v>
      </c>
      <c r="T505" s="42">
        <f>IFERROR((_xll.qlBlackFormula(IF(O505&lt;$C$4,"Put","Call"),O505+$C$14,$C$4,$C$10*SQRT($C$7),,$C$11)-
2*_xll.qlBlackFormula(IF(O505&lt;$C$4,"Put","Call"),O505,$C$4,$C$10*SQRT($C$7),,$C$11)+
_xll.qlBlackFormula(IF(O505&lt;$C$4,"Put","Call"),O505-$C$14,$C$4,$C$10*SQRT($C$7),,$C$11))/$C$14^2,"")</f>
        <v>1.4409712587289337E-4</v>
      </c>
      <c r="U505" s="43">
        <f>IFERROR((_xll.qlBachelierBlackFormula(IF(O505&lt;$C$4,"Put","Call"),O505+$C$14,$C$4,$C$12*SQRT($C$7))-
2*_xll.qlBachelierBlackFormula(IF(O505&lt;$C$4,"Put","Call"),O505,$C$4,$C$12*SQRT($C$7))+
_xll.qlBachelierBlackFormula(IF(O505&lt;$C$4,"Put","Call"),O505-$C$14,$C$4,$C$12*SQRT($C$7)))/$C$14^2,"")</f>
        <v>1.0228832388105803E-25</v>
      </c>
      <c r="V505" s="61">
        <f>IFERROR(_xll.qlBachelierBlackFormulaImpliedVol(IF(O505&lt;$C$4,"Put","Call"),O505,$C$4,$C$7,P505),"")</f>
        <v>1.0553481873103045E-2</v>
      </c>
      <c r="W505" s="61">
        <f>IFERROR(_xll.qlBachelierBlackFormulaImpliedVol(IF(O505&lt;$C$4,"Put","Call"),O505,$C$4,$C$7,Q505),"")</f>
        <v>7.2917252708658798E-3</v>
      </c>
      <c r="X505" s="61">
        <f>IFERROR(_xll.qlBachelierBlackFormulaImpliedVol(IF(O505&lt;$C$4,"Put","Call"),O505,$C$4,$C$7,R505),"")</f>
        <v>4.5453594661839921E-3</v>
      </c>
      <c r="Y505" s="42"/>
    </row>
    <row r="506" spans="15:25">
      <c r="O506" s="37">
        <f t="shared" si="8"/>
        <v>4.0100000000000115E-2</v>
      </c>
      <c r="P506" s="38">
        <f>IFERROR(_xll.qlBlackFormula(IF(O506&lt;$C$4,"Put","Call"),O506,$C$4,$C$9*SQRT($C$7)),"")</f>
        <v>1.2447235274580225E-6</v>
      </c>
      <c r="Q506" s="39">
        <f>IFERROR(_xll.qlBlackFormula(IF(O506&lt;$C$4,"Put","Call"),O506,$C$4,$C$10*SQRT($C$7),,$C$11),"")</f>
        <v>1.0794425144455411E-9</v>
      </c>
      <c r="R506" s="40">
        <f>IFERROR(_xll.qlBachelierBlackFormula(IF(O506&lt;$C$4,"Put","Call"),O506,$C$4,$C$12*SQRT($C$7)),"")</f>
        <v>5.4708410393830265E-33</v>
      </c>
      <c r="S506" s="41">
        <f>IFERROR((_xll.qlBlackFormula(IF(O506&lt;$C$4,"Put","Call"),O506+$C$14,$C$4,$C$9*SQRT($C$7))-
2*_xll.qlBlackFormula(IF(O506&lt;$C$4,"Put","Call"),O506,$C$4,$C$9*SQRT($C$7))+
_xll.qlBlackFormula(IF(O506&lt;$C$4,"Put","Call"),O506-$C$14,$C$4,$C$9*SQRT($C$7)))/$C$14^2,"")</f>
        <v>2.5215623656476595E-2</v>
      </c>
      <c r="T506" s="42">
        <f>IFERROR((_xll.qlBlackFormula(IF(O506&lt;$C$4,"Put","Call"),O506+$C$14,$C$4,$C$10*SQRT($C$7),,$C$11)-
2*_xll.qlBlackFormula(IF(O506&lt;$C$4,"Put","Call"),O506,$C$4,$C$10*SQRT($C$7),,$C$11)+
_xll.qlBlackFormula(IF(O506&lt;$C$4,"Put","Call"),O506-$C$14,$C$4,$C$10*SQRT($C$7),,$C$11))/$C$14^2,"")</f>
        <v>1.4024398623072335E-4</v>
      </c>
      <c r="U506" s="43">
        <f>IFERROR((_xll.qlBachelierBlackFormula(IF(O506&lt;$C$4,"Put","Call"),O506+$C$14,$C$4,$C$12*SQRT($C$7))-
2*_xll.qlBachelierBlackFormula(IF(O506&lt;$C$4,"Put","Call"),O506,$C$4,$C$12*SQRT($C$7))+
_xll.qlBachelierBlackFormula(IF(O506&lt;$C$4,"Put","Call"),O506-$C$14,$C$4,$C$12*SQRT($C$7)))/$C$14^2,"")</f>
        <v>7.1577384848536326E-26</v>
      </c>
      <c r="V506" s="61">
        <f>IFERROR(_xll.qlBachelierBlackFormulaImpliedVol(IF(O506&lt;$C$4,"Put","Call"),O506,$C$4,$C$7,P506),"")</f>
        <v>1.0570955072055997E-2</v>
      </c>
      <c r="W506" s="61">
        <f>IFERROR(_xll.qlBachelierBlackFormulaImpliedVol(IF(O506&lt;$C$4,"Put","Call"),O506,$C$4,$C$7,Q506),"")</f>
        <v>7.3017841682850929E-3</v>
      </c>
      <c r="X506" s="61">
        <f>IFERROR(_xll.qlBachelierBlackFormulaImpliedVol(IF(O506&lt;$C$4,"Put","Call"),O506,$C$4,$C$7,R506),"")</f>
        <v>4.5583462075159467E-3</v>
      </c>
      <c r="Y506" s="42"/>
    </row>
    <row r="507" spans="15:25">
      <c r="O507" s="37">
        <f t="shared" si="8"/>
        <v>4.0200000000000118E-2</v>
      </c>
      <c r="P507" s="38">
        <f>IFERROR(_xll.qlBlackFormula(IF(O507&lt;$C$4,"Put","Call"),O507,$C$4,$C$9*SQRT($C$7)),"")</f>
        <v>1.2280310906554492E-6</v>
      </c>
      <c r="Q507" s="39">
        <f>IFERROR(_xll.qlBlackFormula(IF(O507&lt;$C$4,"Put","Call"),O507,$C$4,$C$10*SQRT($C$7),,$C$11),"")</f>
        <v>1.0420433633084428E-9</v>
      </c>
      <c r="R507" s="40">
        <f>IFERROR(_xll.qlBachelierBlackFormula(IF(O507&lt;$C$4,"Put","Call"),O507,$C$4,$C$12*SQRT($C$7)),"")</f>
        <v>3.8031745535526228E-33</v>
      </c>
      <c r="S507" s="41">
        <f>IFERROR((_xll.qlBlackFormula(IF(O507&lt;$C$4,"Put","Call"),O507+$C$14,$C$4,$C$9*SQRT($C$7))-
2*_xll.qlBlackFormula(IF(O507&lt;$C$4,"Put","Call"),O507,$C$4,$C$9*SQRT($C$7))+
_xll.qlBlackFormula(IF(O507&lt;$C$4,"Put","Call"),O507-$C$14,$C$4,$C$9*SQRT($C$7)))/$C$14^2,"")</f>
        <v>2.4807441867326536E-2</v>
      </c>
      <c r="T507" s="42">
        <f>IFERROR((_xll.qlBlackFormula(IF(O507&lt;$C$4,"Put","Call"),O507+$C$14,$C$4,$C$10*SQRT($C$7),,$C$11)-
2*_xll.qlBlackFormula(IF(O507&lt;$C$4,"Put","Call"),O507,$C$4,$C$10*SQRT($C$7),,$C$11)+
_xll.qlBlackFormula(IF(O507&lt;$C$4,"Put","Call"),O507-$C$14,$C$4,$C$10*SQRT($C$7),,$C$11))/$C$14^2,"")</f>
        <v>1.2991735758449295E-4</v>
      </c>
      <c r="U507" s="43">
        <f>IFERROR((_xll.qlBachelierBlackFormula(IF(O507&lt;$C$4,"Put","Call"),O507+$C$14,$C$4,$C$12*SQRT($C$7))-
2*_xll.qlBachelierBlackFormula(IF(O507&lt;$C$4,"Put","Call"),O507,$C$4,$C$12*SQRT($C$7))+
_xll.qlBachelierBlackFormula(IF(O507&lt;$C$4,"Put","Call"),O507-$C$14,$C$4,$C$12*SQRT($C$7)))/$C$14^2,"")</f>
        <v>5.0036073443989523E-26</v>
      </c>
      <c r="V507" s="61">
        <f>IFERROR(_xll.qlBachelierBlackFormulaImpliedVol(IF(O507&lt;$C$4,"Put","Call"),O507,$C$4,$C$7,P507),"")</f>
        <v>1.0588418055157124E-2</v>
      </c>
      <c r="W507" s="61">
        <f>IFERROR(_xll.qlBachelierBlackFormulaImpliedVol(IF(O507&lt;$C$4,"Put","Call"),O507,$C$4,$C$7,Q507),"")</f>
        <v>7.3118373008661071E-3</v>
      </c>
      <c r="X507" s="61">
        <f>IFERROR(_xll.qlBachelierBlackFormulaImpliedVol(IF(O507&lt;$C$4,"Put","Call"),O507,$C$4,$C$7,R507),"")</f>
        <v>4.5713329488479013E-3</v>
      </c>
      <c r="Y507" s="42"/>
    </row>
    <row r="508" spans="15:25">
      <c r="O508" s="37">
        <f t="shared" si="8"/>
        <v>4.030000000000012E-2</v>
      </c>
      <c r="P508" s="38">
        <f>IFERROR(_xll.qlBlackFormula(IF(O508&lt;$C$4,"Put","Call"),O508,$C$4,$C$9*SQRT($C$7)),"")</f>
        <v>1.2115867274041256E-6</v>
      </c>
      <c r="Q508" s="39">
        <f>IFERROR(_xll.qlBlackFormula(IF(O508&lt;$C$4,"Put","Call"),O508,$C$4,$C$10*SQRT($C$7),,$C$11),"")</f>
        <v>1.0059718543342256E-9</v>
      </c>
      <c r="R508" s="40">
        <f>IFERROR(_xll.qlBachelierBlackFormula(IF(O508&lt;$C$4,"Put","Call"),O508,$C$4,$C$12*SQRT($C$7)),"")</f>
        <v>2.6412080019397314E-33</v>
      </c>
      <c r="S508" s="41">
        <f>IFERROR((_xll.qlBlackFormula(IF(O508&lt;$C$4,"Put","Call"),O508+$C$14,$C$4,$C$9*SQRT($C$7))-
2*_xll.qlBlackFormula(IF(O508&lt;$C$4,"Put","Call"),O508,$C$4,$C$9*SQRT($C$7))+
_xll.qlBlackFormula(IF(O508&lt;$C$4,"Put","Call"),O508-$C$14,$C$4,$C$9*SQRT($C$7)))/$C$14^2,"")</f>
        <v>2.4400490817048839E-2</v>
      </c>
      <c r="T508" s="42">
        <f>IFERROR((_xll.qlBlackFormula(IF(O508&lt;$C$4,"Put","Call"),O508+$C$14,$C$4,$C$10*SQRT($C$7),,$C$11)-
2*_xll.qlBlackFormula(IF(O508&lt;$C$4,"Put","Call"),O508,$C$4,$C$10*SQRT($C$7),,$C$11)+
_xll.qlBlackFormula(IF(O508&lt;$C$4,"Put","Call"),O508-$C$14,$C$4,$C$10*SQRT($C$7),,$C$11))/$C$14^2,"")</f>
        <v>1.2701334152077855E-4</v>
      </c>
      <c r="U508" s="43">
        <f>IFERROR((_xll.qlBachelierBlackFormula(IF(O508&lt;$C$4,"Put","Call"),O508+$C$14,$C$4,$C$12*SQRT($C$7))-
2*_xll.qlBachelierBlackFormula(IF(O508&lt;$C$4,"Put","Call"),O508,$C$4,$C$12*SQRT($C$7))+
_xll.qlBachelierBlackFormula(IF(O508&lt;$C$4,"Put","Call"),O508-$C$14,$C$4,$C$12*SQRT($C$7)))/$C$14^2,"")</f>
        <v>3.494203932146371E-26</v>
      </c>
      <c r="V508" s="61">
        <f>IFERROR(_xll.qlBachelierBlackFormulaImpliedVol(IF(O508&lt;$C$4,"Put","Call"),O508,$C$4,$C$7,P508),"")</f>
        <v>1.0605870857941067E-2</v>
      </c>
      <c r="W508" s="61">
        <f>IFERROR(_xll.qlBachelierBlackFormulaImpliedVol(IF(O508&lt;$C$4,"Put","Call"),O508,$C$4,$C$7,Q508),"")</f>
        <v>7.3218846848476949E-3</v>
      </c>
      <c r="X508" s="61">
        <f>IFERROR(_xll.qlBachelierBlackFormulaImpliedVol(IF(O508&lt;$C$4,"Put","Call"),O508,$C$4,$C$7,R508),"")</f>
        <v>4.5843196901798559E-3</v>
      </c>
      <c r="Y508" s="42"/>
    </row>
    <row r="509" spans="15:25">
      <c r="O509" s="37">
        <f t="shared" si="8"/>
        <v>4.0400000000000123E-2</v>
      </c>
      <c r="P509" s="38">
        <f>IFERROR(_xll.qlBlackFormula(IF(O509&lt;$C$4,"Put","Call"),O509,$C$4,$C$9*SQRT($C$7)),"")</f>
        <v>1.1953863815035518E-6</v>
      </c>
      <c r="Q509" s="39">
        <f>IFERROR(_xll.qlBlackFormula(IF(O509&lt;$C$4,"Put","Call"),O509,$C$4,$C$10*SQRT($C$7),,$C$11),"")</f>
        <v>9.7117974152678809E-10</v>
      </c>
      <c r="R509" s="40">
        <f>IFERROR(_xll.qlBachelierBlackFormula(IF(O509&lt;$C$4,"Put","Call"),O509,$C$4,$C$12*SQRT($C$7)),"")</f>
        <v>1.8324118797979571E-33</v>
      </c>
      <c r="S509" s="41">
        <f>IFERROR((_xll.qlBlackFormula(IF(O509&lt;$C$4,"Put","Call"),O509+$C$14,$C$4,$C$9*SQRT($C$7))-
2*_xll.qlBlackFormula(IF(O509&lt;$C$4,"Put","Call"),O509,$C$4,$C$9*SQRT($C$7))+
_xll.qlBlackFormula(IF(O509&lt;$C$4,"Put","Call"),O509-$C$14,$C$4,$C$9*SQRT($C$7)))/$C$14^2,"")</f>
        <v>2.4003534755548742E-2</v>
      </c>
      <c r="T509" s="42">
        <f>IFERROR((_xll.qlBlackFormula(IF(O509&lt;$C$4,"Put","Call"),O509+$C$14,$C$4,$C$10*SQRT($C$7),,$C$11)-
2*_xll.qlBlackFormula(IF(O509&lt;$C$4,"Put","Call"),O509,$C$4,$C$10*SQRT($C$7),,$C$11)+
_xll.qlBlackFormula(IF(O509&lt;$C$4,"Put","Call"),O509-$C$14,$C$4,$C$10*SQRT($C$7),,$C$11))/$C$14^2,"")</f>
        <v>1.2061562556955045E-4</v>
      </c>
      <c r="U509" s="43">
        <f>IFERROR((_xll.qlBachelierBlackFormula(IF(O509&lt;$C$4,"Put","Call"),O509+$C$14,$C$4,$C$12*SQRT($C$7))-
2*_xll.qlBachelierBlackFormula(IF(O509&lt;$C$4,"Put","Call"),O509,$C$4,$C$12*SQRT($C$7))+
_xll.qlBachelierBlackFormula(IF(O509&lt;$C$4,"Put","Call"),O509-$C$14,$C$4,$C$12*SQRT($C$7)))/$C$14^2,"")</f>
        <v>2.4376475078784844E-26</v>
      </c>
      <c r="V509" s="61">
        <f>IFERROR(_xll.qlBachelierBlackFormulaImpliedVol(IF(O509&lt;$C$4,"Put","Call"),O509,$C$4,$C$7,P509),"")</f>
        <v>1.0623313515724238E-2</v>
      </c>
      <c r="W509" s="61">
        <f>IFERROR(_xll.qlBachelierBlackFormulaImpliedVol(IF(O509&lt;$C$4,"Put","Call"),O509,$C$4,$C$7,Q509),"")</f>
        <v>7.3319263393978474E-3</v>
      </c>
      <c r="X509" s="61">
        <f>IFERROR(_xll.qlBachelierBlackFormulaImpliedVol(IF(O509&lt;$C$4,"Put","Call"),O509,$C$4,$C$7,R509),"")</f>
        <v>4.5973064315118104E-3</v>
      </c>
      <c r="Y509" s="42"/>
    </row>
    <row r="510" spans="15:25">
      <c r="O510" s="37">
        <f t="shared" si="8"/>
        <v>4.0500000000000126E-2</v>
      </c>
      <c r="P510" s="38">
        <f>IFERROR(_xll.qlBlackFormula(IF(O510&lt;$C$4,"Put","Call"),O510,$C$4,$C$9*SQRT($C$7)),"")</f>
        <v>1.1794260692554818E-6</v>
      </c>
      <c r="Q510" s="39">
        <f>IFERROR(_xll.qlBlackFormula(IF(O510&lt;$C$4,"Put","Call"),O510,$C$4,$C$10*SQRT($C$7),,$C$11),"")</f>
        <v>9.3762056815878381E-10</v>
      </c>
      <c r="R510" s="40">
        <f>IFERROR(_xll.qlBachelierBlackFormula(IF(O510&lt;$C$4,"Put","Call"),O510,$C$4,$C$12*SQRT($C$7)),"")</f>
        <v>1.2700116569540958E-33</v>
      </c>
      <c r="S510" s="41">
        <f>IFERROR((_xll.qlBlackFormula(IF(O510&lt;$C$4,"Put","Call"),O510+$C$14,$C$4,$C$9*SQRT($C$7))-
2*_xll.qlBlackFormula(IF(O510&lt;$C$4,"Put","Call"),O510,$C$4,$C$9*SQRT($C$7))+
_xll.qlBlackFormula(IF(O510&lt;$C$4,"Put","Call"),O510-$C$14,$C$4,$C$9*SQRT($C$7)))/$C$14^2,"")</f>
        <v>2.361251554797595E-2</v>
      </c>
      <c r="T510" s="42">
        <f>IFERROR((_xll.qlBlackFormula(IF(O510&lt;$C$4,"Put","Call"),O510+$C$14,$C$4,$C$10*SQRT($C$7),,$C$11)-
2*_xll.qlBlackFormula(IF(O510&lt;$C$4,"Put","Call"),O510,$C$4,$C$10*SQRT($C$7),,$C$11)+
_xll.qlBlackFormula(IF(O510&lt;$C$4,"Put","Call"),O510-$C$14,$C$4,$C$10*SQRT($C$7),,$C$11))/$C$14^2,"")</f>
        <v>1.1823770299286466E-4</v>
      </c>
      <c r="U510" s="43">
        <f>IFERROR((_xll.qlBachelierBlackFormula(IF(O510&lt;$C$4,"Put","Call"),O510+$C$14,$C$4,$C$12*SQRT($C$7))-
2*_xll.qlBachelierBlackFormula(IF(O510&lt;$C$4,"Put","Call"),O510,$C$4,$C$12*SQRT($C$7))+
_xll.qlBachelierBlackFormula(IF(O510&lt;$C$4,"Put","Call"),O510-$C$14,$C$4,$C$12*SQRT($C$7)))/$C$14^2,"")</f>
        <v>1.6988349827197975E-26</v>
      </c>
      <c r="V510" s="61">
        <f>IFERROR(_xll.qlBachelierBlackFormulaImpliedVol(IF(O510&lt;$C$4,"Put","Call"),O510,$C$4,$C$7,P510),"")</f>
        <v>1.0640746063616773E-2</v>
      </c>
      <c r="W510" s="61">
        <f>IFERROR(_xll.qlBachelierBlackFormulaImpliedVol(IF(O510&lt;$C$4,"Put","Call"),O510,$C$4,$C$7,Q510),"")</f>
        <v>7.3419622833870287E-3</v>
      </c>
      <c r="X510" s="61">
        <f>IFERROR(_xll.qlBachelierBlackFormulaImpliedVol(IF(O510&lt;$C$4,"Put","Call"),O510,$C$4,$C$7,R510),"")</f>
        <v>4.610293172843765E-3</v>
      </c>
      <c r="Y510" s="42"/>
    </row>
    <row r="511" spans="15:25">
      <c r="O511" s="37">
        <f t="shared" si="8"/>
        <v>4.0600000000000129E-2</v>
      </c>
      <c r="P511" s="38">
        <f>IFERROR(_xll.qlBlackFormula(IF(O511&lt;$C$4,"Put","Call"),O511,$C$4,$C$9*SQRT($C$7)),"")</f>
        <v>1.1637018780444783E-6</v>
      </c>
      <c r="Q511" s="39">
        <f>IFERROR(_xll.qlBlackFormula(IF(O511&lt;$C$4,"Put","Call"),O511,$C$4,$C$10*SQRT($C$7),,$C$11),"")</f>
        <v>9.0524960592027126E-10</v>
      </c>
      <c r="R511" s="40">
        <f>IFERROR(_xll.qlBachelierBlackFormula(IF(O511&lt;$C$4,"Put","Call"),O511,$C$4,$C$12*SQRT($C$7)),"")</f>
        <v>8.7933912243708018E-34</v>
      </c>
      <c r="S511" s="41">
        <f>IFERROR((_xll.qlBlackFormula(IF(O511&lt;$C$4,"Put","Call"),O511+$C$14,$C$4,$C$9*SQRT($C$7))-
2*_xll.qlBlackFormula(IF(O511&lt;$C$4,"Put","Call"),O511,$C$4,$C$9*SQRT($C$7))+
_xll.qlBlackFormula(IF(O511&lt;$C$4,"Put","Call"),O511-$C$14,$C$4,$C$9*SQRT($C$7)))/$C$14^2,"")</f>
        <v>2.3229288196484951E-2</v>
      </c>
      <c r="T511" s="42">
        <f>IFERROR((_xll.qlBlackFormula(IF(O511&lt;$C$4,"Put","Call"),O511+$C$14,$C$4,$C$10*SQRT($C$7),,$C$11)-
2*_xll.qlBlackFormula(IF(O511&lt;$C$4,"Put","Call"),O511,$C$4,$C$10*SQRT($C$7),,$C$11)+
_xll.qlBlackFormula(IF(O511&lt;$C$4,"Put","Call"),O511-$C$14,$C$4,$C$10*SQRT($C$7),,$C$11))/$C$14^2,"")</f>
        <v>1.1202838404359043E-4</v>
      </c>
      <c r="U511" s="43">
        <f>IFERROR((_xll.qlBachelierBlackFormula(IF(O511&lt;$C$4,"Put","Call"),O511+$C$14,$C$4,$C$12*SQRT($C$7))-
2*_xll.qlBachelierBlackFormula(IF(O511&lt;$C$4,"Put","Call"),O511,$C$4,$C$12*SQRT($C$7))+
_xll.qlBachelierBlackFormula(IF(O511&lt;$C$4,"Put","Call"),O511-$C$14,$C$4,$C$12*SQRT($C$7)))/$C$14^2,"")</f>
        <v>1.1827395390106074E-26</v>
      </c>
      <c r="V511" s="61">
        <f>IFERROR(_xll.qlBachelierBlackFormulaImpliedVol(IF(O511&lt;$C$4,"Put","Call"),O511,$C$4,$C$7,P511),"")</f>
        <v>1.0658168536506182E-2</v>
      </c>
      <c r="W511" s="61">
        <f>IFERROR(_xll.qlBachelierBlackFormulaImpliedVol(IF(O511&lt;$C$4,"Put","Call"),O511,$C$4,$C$7,Q511),"")</f>
        <v>7.3519925330146176E-3</v>
      </c>
      <c r="X511" s="61">
        <f>IFERROR(_xll.qlBachelierBlackFormulaImpliedVol(IF(O511&lt;$C$4,"Put","Call"),O511,$C$4,$C$7,R511),"")</f>
        <v>4.6232799141757196E-3</v>
      </c>
      <c r="Y511" s="42"/>
    </row>
    <row r="512" spans="15:25">
      <c r="O512" s="37">
        <f t="shared" si="8"/>
        <v>4.0700000000000132E-2</v>
      </c>
      <c r="P512" s="38">
        <f>IFERROR(_xll.qlBlackFormula(IF(O512&lt;$C$4,"Put","Call"),O512,$C$4,$C$9*SQRT($C$7)),"")</f>
        <v>1.1482099649655875E-6</v>
      </c>
      <c r="Q512" s="39">
        <f>IFERROR(_xll.qlBlackFormula(IF(O512&lt;$C$4,"Put","Call"),O512,$C$4,$C$10*SQRT($C$7),,$C$11),"")</f>
        <v>8.740237825044131E-10</v>
      </c>
      <c r="R512" s="40">
        <f>IFERROR(_xll.qlBachelierBlackFormula(IF(O512&lt;$C$4,"Put","Call"),O512,$C$4,$C$12*SQRT($C$7)),"")</f>
        <v>6.0823181080852003E-34</v>
      </c>
      <c r="S512" s="41">
        <f>IFERROR((_xll.qlBlackFormula(IF(O512&lt;$C$4,"Put","Call"),O512+$C$14,$C$4,$C$9*SQRT($C$7))-
2*_xll.qlBlackFormula(IF(O512&lt;$C$4,"Put","Call"),O512,$C$4,$C$9*SQRT($C$7))+
_xll.qlBlackFormula(IF(O512&lt;$C$4,"Put","Call"),O512-$C$14,$C$4,$C$9*SQRT($C$7)))/$C$14^2,"")</f>
        <v>2.2851198946851996E-2</v>
      </c>
      <c r="T512" s="42">
        <f>IFERROR((_xll.qlBlackFormula(IF(O512&lt;$C$4,"Put","Call"),O512+$C$14,$C$4,$C$10*SQRT($C$7),,$C$11)-
2*_xll.qlBlackFormula(IF(O512&lt;$C$4,"Put","Call"),O512,$C$4,$C$10*SQRT($C$7),,$C$11)+
_xll.qlBlackFormula(IF(O512&lt;$C$4,"Put","Call"),O512-$C$14,$C$4,$C$10*SQRT($C$7),,$C$11))/$C$14^2,"")</f>
        <v>1.1034611870770051E-4</v>
      </c>
      <c r="U512" s="43">
        <f>IFERROR((_xll.qlBachelierBlackFormula(IF(O512&lt;$C$4,"Put","Call"),O512+$C$14,$C$4,$C$12*SQRT($C$7))-
2*_xll.qlBachelierBlackFormula(IF(O512&lt;$C$4,"Put","Call"),O512,$C$4,$C$12*SQRT($C$7))+
_xll.qlBachelierBlackFormula(IF(O512&lt;$C$4,"Put","Call"),O512-$C$14,$C$4,$C$12*SQRT($C$7)))/$C$14^2,"")</f>
        <v>8.2259235274999685E-27</v>
      </c>
      <c r="V512" s="61">
        <f>IFERROR(_xll.qlBachelierBlackFormulaImpliedVol(IF(O512&lt;$C$4,"Put","Call"),O512,$C$4,$C$7,P512),"")</f>
        <v>1.0675580969084213E-2</v>
      </c>
      <c r="W512" s="61">
        <f>IFERROR(_xll.qlBachelierBlackFormulaImpliedVol(IF(O512&lt;$C$4,"Put","Call"),O512,$C$4,$C$7,Q512),"")</f>
        <v>7.3620171082905599E-3</v>
      </c>
      <c r="X512" s="61">
        <f>IFERROR(_xll.qlBachelierBlackFormulaImpliedVol(IF(O512&lt;$C$4,"Put","Call"),O512,$C$4,$C$7,R512),"")</f>
        <v>4.6362666555076742E-3</v>
      </c>
      <c r="Y512" s="42"/>
    </row>
    <row r="513" spans="15:25">
      <c r="O513" s="37">
        <f t="shared" si="8"/>
        <v>4.0800000000000135E-2</v>
      </c>
      <c r="P513" s="38">
        <f>IFERROR(_xll.qlBlackFormula(IF(O513&lt;$C$4,"Put","Call"),O513,$C$4,$C$9*SQRT($C$7)),"")</f>
        <v>1.1329465554691845E-6</v>
      </c>
      <c r="Q513" s="39">
        <f>IFERROR(_xll.qlBlackFormula(IF(O513&lt;$C$4,"Put","Call"),O513,$C$4,$C$10*SQRT($C$7),,$C$11),"")</f>
        <v>8.4390162762289506E-10</v>
      </c>
      <c r="R513" s="40">
        <f>IFERROR(_xll.qlBachelierBlackFormula(IF(O513&lt;$C$4,"Put","Call"),O513,$C$4,$C$12*SQRT($C$7)),"")</f>
        <v>4.2028692280922422E-34</v>
      </c>
      <c r="S513" s="41">
        <f>IFERROR((_xll.qlBlackFormula(IF(O513&lt;$C$4,"Put","Call"),O513+$C$14,$C$4,$C$9*SQRT($C$7))-
2*_xll.qlBlackFormula(IF(O513&lt;$C$4,"Put","Call"),O513,$C$4,$C$9*SQRT($C$7))+
_xll.qlBlackFormula(IF(O513&lt;$C$4,"Put","Call"),O513-$C$14,$C$4,$C$9*SQRT($C$7)))/$C$14^2,"")</f>
        <v>2.247590490594498E-2</v>
      </c>
      <c r="T513" s="42">
        <f>IFERROR((_xll.qlBlackFormula(IF(O513&lt;$C$4,"Put","Call"),O513+$C$14,$C$4,$C$10*SQRT($C$7),,$C$11)-
2*_xll.qlBlackFormula(IF(O513&lt;$C$4,"Put","Call"),O513,$C$4,$C$10*SQRT($C$7),,$C$11)+
_xll.qlBlackFormula(IF(O513&lt;$C$4,"Put","Call"),O513-$C$14,$C$4,$C$10*SQRT($C$7),,$C$11))/$C$14^2,"")</f>
        <v>1.0642864426620857E-4</v>
      </c>
      <c r="U513" s="43">
        <f>IFERROR((_xll.qlBachelierBlackFormula(IF(O513&lt;$C$4,"Put","Call"),O513+$C$14,$C$4,$C$12*SQRT($C$7))-
2*_xll.qlBachelierBlackFormula(IF(O513&lt;$C$4,"Put","Call"),O513,$C$4,$C$12*SQRT($C$7))+
_xll.qlBachelierBlackFormula(IF(O513&lt;$C$4,"Put","Call"),O513-$C$14,$C$4,$C$12*SQRT($C$7)))/$C$14^2,"")</f>
        <v>5.7152844298242792E-27</v>
      </c>
      <c r="V513" s="61">
        <f>IFERROR(_xll.qlBachelierBlackFormulaImpliedVol(IF(O513&lt;$C$4,"Put","Call"),O513,$C$4,$C$7,P513),"")</f>
        <v>1.0692983395827627E-2</v>
      </c>
      <c r="W513" s="61">
        <f>IFERROR(_xll.qlBachelierBlackFormulaImpliedVol(IF(O513&lt;$C$4,"Put","Call"),O513,$C$4,$C$7,Q513),"")</f>
        <v>7.3720360251563772E-3</v>
      </c>
      <c r="X513" s="61">
        <f>IFERROR(_xll.qlBachelierBlackFormulaImpliedVol(IF(O513&lt;$C$4,"Put","Call"),O513,$C$4,$C$7,R513),"")</f>
        <v>4.6492533968396288E-3</v>
      </c>
      <c r="Y513" s="42"/>
    </row>
    <row r="514" spans="15:25">
      <c r="O514" s="37">
        <f t="shared" si="8"/>
        <v>4.0900000000000138E-2</v>
      </c>
      <c r="P514" s="38">
        <f>IFERROR(_xll.qlBlackFormula(IF(O514&lt;$C$4,"Put","Call"),O514,$C$4,$C$9*SQRT($C$7)),"")</f>
        <v>1.1179079420427795E-6</v>
      </c>
      <c r="Q514" s="39">
        <f>IFERROR(_xll.qlBlackFormula(IF(O514&lt;$C$4,"Put","Call"),O514,$C$4,$C$10*SQRT($C$7),,$C$11),"")</f>
        <v>8.1484320260668003E-10</v>
      </c>
      <c r="R514" s="40">
        <f>IFERROR(_xll.qlBachelierBlackFormula(IF(O514&lt;$C$4,"Put","Call"),O514,$C$4,$C$12*SQRT($C$7)),"")</f>
        <v>2.9012596848224021E-34</v>
      </c>
      <c r="S514" s="41">
        <f>IFERROR((_xll.qlBlackFormula(IF(O514&lt;$C$4,"Put","Call"),O514+$C$14,$C$4,$C$9*SQRT($C$7))-
2*_xll.qlBlackFormula(IF(O514&lt;$C$4,"Put","Call"),O514,$C$4,$C$9*SQRT($C$7))+
_xll.qlBlackFormula(IF(O514&lt;$C$4,"Put","Call"),O514-$C$14,$C$4,$C$9*SQRT($C$7)))/$C$14^2,"")</f>
        <v>2.2116627411037596E-2</v>
      </c>
      <c r="T514" s="42">
        <f>IFERROR((_xll.qlBlackFormula(IF(O514&lt;$C$4,"Put","Call"),O514+$C$14,$C$4,$C$10*SQRT($C$7),,$C$11)-
2*_xll.qlBlackFormula(IF(O514&lt;$C$4,"Put","Call"),O514,$C$4,$C$10*SQRT($C$7),,$C$11)+
_xll.qlBlackFormula(IF(O514&lt;$C$4,"Put","Call"),O514-$C$14,$C$4,$C$10*SQRT($C$7),,$C$11))/$C$14^2,"")</f>
        <v>1.0222400745762396E-4</v>
      </c>
      <c r="U514" s="43">
        <f>IFERROR((_xll.qlBachelierBlackFormula(IF(O514&lt;$C$4,"Put","Call"),O514+$C$14,$C$4,$C$12*SQRT($C$7))-
2*_xll.qlBachelierBlackFormula(IF(O514&lt;$C$4,"Put","Call"),O514,$C$4,$C$12*SQRT($C$7))+
_xll.qlBachelierBlackFormula(IF(O514&lt;$C$4,"Put","Call"),O514-$C$14,$C$4,$C$12*SQRT($C$7)))/$C$14^2,"")</f>
        <v>3.966876360527367E-27</v>
      </c>
      <c r="V514" s="61">
        <f>IFERROR(_xll.qlBachelierBlackFormulaImpliedVol(IF(O514&lt;$C$4,"Put","Call"),O514,$C$4,$C$7,P514),"")</f>
        <v>1.0710375851007455E-2</v>
      </c>
      <c r="W514" s="61">
        <f>IFERROR(_xll.qlBachelierBlackFormulaImpliedVol(IF(O514&lt;$C$4,"Put","Call"),O514,$C$4,$C$7,Q514),"")</f>
        <v>7.3820493014410621E-3</v>
      </c>
      <c r="X514" s="61">
        <f>IFERROR(_xll.qlBachelierBlackFormulaImpliedVol(IF(O514&lt;$C$4,"Put","Call"),O514,$C$4,$C$7,R514),"")</f>
        <v>4.6622401381715833E-3</v>
      </c>
      <c r="Y514" s="42"/>
    </row>
    <row r="515" spans="15:25">
      <c r="O515" s="37">
        <f t="shared" si="8"/>
        <v>4.100000000000014E-2</v>
      </c>
      <c r="P515" s="38">
        <f>IFERROR(_xll.qlBlackFormula(IF(O515&lt;$C$4,"Put","Call"),O515,$C$4,$C$9*SQRT($C$7)),"")</f>
        <v>1.1030904829239313E-6</v>
      </c>
      <c r="Q515" s="39">
        <f>IFERROR(_xll.qlBlackFormula(IF(O515&lt;$C$4,"Put","Call"),O515,$C$4,$C$10*SQRT($C$7),,$C$11),"")</f>
        <v>7.8681004744836837E-10</v>
      </c>
      <c r="R515" s="40">
        <f>IFERROR(_xll.qlBachelierBlackFormula(IF(O515&lt;$C$4,"Put","Call"),O515,$C$4,$C$12*SQRT($C$7)),"")</f>
        <v>2.0007428573978863E-34</v>
      </c>
      <c r="S515" s="41">
        <f>IFERROR((_xll.qlBlackFormula(IF(O515&lt;$C$4,"Put","Call"),O515+$C$14,$C$4,$C$9*SQRT($C$7))-
2*_xll.qlBlackFormula(IF(O515&lt;$C$4,"Put","Call"),O515,$C$4,$C$9*SQRT($C$7))+
_xll.qlBlackFormula(IF(O515&lt;$C$4,"Put","Call"),O515-$C$14,$C$4,$C$9*SQRT($C$7)))/$C$14^2,"")</f>
        <v>2.1758585737200256E-2</v>
      </c>
      <c r="T515" s="42">
        <f>IFERROR((_xll.qlBlackFormula(IF(O515&lt;$C$4,"Put","Call"),O515+$C$14,$C$4,$C$10*SQRT($C$7),,$C$11)-
2*_xll.qlBlackFormula(IF(O515&lt;$C$4,"Put","Call"),O515,$C$4,$C$10*SQRT($C$7),,$C$11)+
_xll.qlBlackFormula(IF(O515&lt;$C$4,"Put","Call"),O515-$C$14,$C$4,$C$10*SQRT($C$7),,$C$11))/$C$14^2,"")</f>
        <v>1.0281125771606107E-4</v>
      </c>
      <c r="U515" s="43">
        <f>IFERROR((_xll.qlBachelierBlackFormula(IF(O515&lt;$C$4,"Put","Call"),O515+$C$14,$C$4,$C$12*SQRT($C$7))-
2*_xll.qlBachelierBlackFormula(IF(O515&lt;$C$4,"Put","Call"),O515,$C$4,$C$12*SQRT($C$7))+
_xll.qlBachelierBlackFormula(IF(O515&lt;$C$4,"Put","Call"),O515-$C$14,$C$4,$C$12*SQRT($C$7)))/$C$14^2,"")</f>
        <v>2.7505345798595503E-27</v>
      </c>
      <c r="V515" s="61">
        <f>IFERROR(_xll.qlBachelierBlackFormulaImpliedVol(IF(O515&lt;$C$4,"Put","Call"),O515,$C$4,$C$7,P515),"")</f>
        <v>1.072775836869958E-2</v>
      </c>
      <c r="W515" s="61">
        <f>IFERROR(_xll.qlBachelierBlackFormulaImpliedVol(IF(O515&lt;$C$4,"Put","Call"),O515,$C$4,$C$7,Q515),"")</f>
        <v>7.3920569536611485E-3</v>
      </c>
      <c r="X515" s="61">
        <f>IFERROR(_xll.qlBachelierBlackFormulaImpliedVol(IF(O515&lt;$C$4,"Put","Call"),O515,$C$4,$C$7,R515),"")</f>
        <v>4.6752268795035388E-3</v>
      </c>
      <c r="Y515" s="42"/>
    </row>
    <row r="516" spans="15:25">
      <c r="O516" s="37">
        <f t="shared" si="8"/>
        <v>4.1100000000000143E-2</v>
      </c>
      <c r="P516" s="38">
        <f>IFERROR(_xll.qlBlackFormula(IF(O516&lt;$C$4,"Put","Call"),O516,$C$4,$C$9*SQRT($C$7)),"")</f>
        <v>1.088490600819543E-6</v>
      </c>
      <c r="Q516" s="39">
        <f>IFERROR(_xll.qlBlackFormula(IF(O516&lt;$C$4,"Put","Call"),O516,$C$4,$C$10*SQRT($C$7),,$C$11),"")</f>
        <v>7.5976513103644632E-10</v>
      </c>
      <c r="R516" s="40">
        <f>IFERROR(_xll.qlBachelierBlackFormula(IF(O516&lt;$C$4,"Put","Call"),O516,$C$4,$C$12*SQRT($C$7)),"")</f>
        <v>1.3783511094168002E-34</v>
      </c>
      <c r="S516" s="41">
        <f>IFERROR((_xll.qlBlackFormula(IF(O516&lt;$C$4,"Put","Call"),O516+$C$14,$C$4,$C$9*SQRT($C$7))-
2*_xll.qlBlackFormula(IF(O516&lt;$C$4,"Put","Call"),O516,$C$4,$C$9*SQRT($C$7))+
_xll.qlBlackFormula(IF(O516&lt;$C$4,"Put","Call"),O516-$C$14,$C$4,$C$9*SQRT($C$7)))/$C$14^2,"")</f>
        <v>2.1406853611787013E-2</v>
      </c>
      <c r="T516" s="42">
        <f>IFERROR((_xll.qlBlackFormula(IF(O516&lt;$C$4,"Put","Call"),O516+$C$14,$C$4,$C$10*SQRT($C$7),,$C$11)-
2*_xll.qlBlackFormula(IF(O516&lt;$C$4,"Put","Call"),O516,$C$4,$C$10*SQRT($C$7),,$C$11)+
_xll.qlBlackFormula(IF(O516&lt;$C$4,"Put","Call"),O516-$C$14,$C$4,$C$10*SQRT($C$7),,$C$11))/$C$14^2,"")</f>
        <v>9.450723456003308E-5</v>
      </c>
      <c r="U516" s="43">
        <f>IFERROR((_xll.qlBachelierBlackFormula(IF(O516&lt;$C$4,"Put","Call"),O516+$C$14,$C$4,$C$12*SQRT($C$7))-
2*_xll.qlBachelierBlackFormula(IF(O516&lt;$C$4,"Put","Call"),O516,$C$4,$C$12*SQRT($C$7))+
_xll.qlBachelierBlackFormula(IF(O516&lt;$C$4,"Put","Call"),O516-$C$14,$C$4,$C$12*SQRT($C$7)))/$C$14^2,"")</f>
        <v>1.9052114598278483E-27</v>
      </c>
      <c r="V516" s="61">
        <f>IFERROR(_xll.qlBachelierBlackFormulaImpliedVol(IF(O516&lt;$C$4,"Put","Call"),O516,$C$4,$C$7,P516),"")</f>
        <v>1.0745130982764249E-2</v>
      </c>
      <c r="W516" s="61">
        <f>IFERROR(_xll.qlBachelierBlackFormulaImpliedVol(IF(O516&lt;$C$4,"Put","Call"),O516,$C$4,$C$7,Q516),"")</f>
        <v>7.4020590027169394E-3</v>
      </c>
      <c r="X516" s="61">
        <f>IFERROR(_xll.qlBachelierBlackFormulaImpliedVol(IF(O516&lt;$C$4,"Put","Call"),O516,$C$4,$C$7,R516),"")</f>
        <v>4.6882136208354925E-3</v>
      </c>
      <c r="Y516" s="42"/>
    </row>
    <row r="517" spans="15:25">
      <c r="O517" s="37">
        <f t="shared" si="8"/>
        <v>4.1200000000000146E-2</v>
      </c>
      <c r="P517" s="38">
        <f>IFERROR(_xll.qlBlackFormula(IF(O517&lt;$C$4,"Put","Call"),O517,$C$4,$C$9*SQRT($C$7)),"")</f>
        <v>1.0741047816795871E-6</v>
      </c>
      <c r="Q517" s="39">
        <f>IFERROR(_xll.qlBlackFormula(IF(O517&lt;$C$4,"Put","Call"),O517,$C$4,$C$10*SQRT($C$7),,$C$11),"")</f>
        <v>7.3367277932941666E-10</v>
      </c>
      <c r="R517" s="40">
        <f>IFERROR(_xll.qlBachelierBlackFormula(IF(O517&lt;$C$4,"Put","Call"),O517,$C$4,$C$12*SQRT($C$7)),"")</f>
        <v>9.4862010659472073E-35</v>
      </c>
      <c r="S517" s="41">
        <f>IFERROR((_xll.qlBlackFormula(IF(O517&lt;$C$4,"Put","Call"),O517+$C$14,$C$4,$C$9*SQRT($C$7))-
2*_xll.qlBlackFormula(IF(O517&lt;$C$4,"Put","Call"),O517,$C$4,$C$9*SQRT($C$7))+
_xll.qlBlackFormula(IF(O517&lt;$C$4,"Put","Call"),O517-$C$14,$C$4,$C$9*SQRT($C$7)))/$C$14^2,"")</f>
        <v>2.1060264670429499E-2</v>
      </c>
      <c r="T517" s="42">
        <f>IFERROR((_xll.qlBlackFormula(IF(O517&lt;$C$4,"Put","Call"),O517+$C$14,$C$4,$C$10*SQRT($C$7),,$C$11)-
2*_xll.qlBlackFormula(IF(O517&lt;$C$4,"Put","Call"),O517,$C$4,$C$10*SQRT($C$7),,$C$11)+
_xll.qlBlackFormula(IF(O517&lt;$C$4,"Put","Call"),O517-$C$14,$C$4,$C$10*SQRT($C$7),,$C$11))/$C$14^2,"")</f>
        <v>9.2395258822089221E-5</v>
      </c>
      <c r="U517" s="43">
        <f>IFERROR((_xll.qlBachelierBlackFormula(IF(O517&lt;$C$4,"Put","Call"),O517+$C$14,$C$4,$C$12*SQRT($C$7))-
2*_xll.qlBachelierBlackFormula(IF(O517&lt;$C$4,"Put","Call"),O517,$C$4,$C$12*SQRT($C$7))+
_xll.qlBachelierBlackFormula(IF(O517&lt;$C$4,"Put","Call"),O517-$C$14,$C$4,$C$12*SQRT($C$7)))/$C$14^2,"")</f>
        <v>1.3183383738924667E-27</v>
      </c>
      <c r="V517" s="61">
        <f>IFERROR(_xll.qlBachelierBlackFormulaImpliedVol(IF(O517&lt;$C$4,"Put","Call"),O517,$C$4,$C$7,P517),"")</f>
        <v>1.0762493726876137E-2</v>
      </c>
      <c r="W517" s="61">
        <f>IFERROR(_xll.qlBachelierBlackFormulaImpliedVol(IF(O517&lt;$C$4,"Put","Call"),O517,$C$4,$C$7,Q517),"")</f>
        <v>7.4120554612564738E-3</v>
      </c>
      <c r="X517" s="61">
        <f>IFERROR(_xll.qlBachelierBlackFormulaImpliedVol(IF(O517&lt;$C$4,"Put","Call"),O517,$C$4,$C$7,R517),"")</f>
        <v>4.7012003621674471E-3</v>
      </c>
      <c r="Y517" s="42"/>
    </row>
    <row r="518" spans="15:25">
      <c r="O518" s="37">
        <f t="shared" si="8"/>
        <v>4.1300000000000149E-2</v>
      </c>
      <c r="P518" s="38">
        <f>IFERROR(_xll.qlBlackFormula(IF(O518&lt;$C$4,"Put","Call"),O518,$C$4,$C$9*SQRT($C$7)),"")</f>
        <v>1.0599295734722965E-6</v>
      </c>
      <c r="Q518" s="39">
        <f>IFERROR(_xll.qlBlackFormula(IF(O518&lt;$C$4,"Put","Call"),O518,$C$4,$C$10*SQRT($C$7),,$C$11),"")</f>
        <v>7.0849864788332398E-10</v>
      </c>
      <c r="R518" s="40">
        <f>IFERROR(_xll.qlBachelierBlackFormula(IF(O518&lt;$C$4,"Put","Call"),O518,$C$4,$C$12*SQRT($C$7)),"")</f>
        <v>6.5221178062913194E-35</v>
      </c>
      <c r="S518" s="41">
        <f>IFERROR((_xll.qlBlackFormula(IF(O518&lt;$C$4,"Put","Call"),O518+$C$14,$C$4,$C$9*SQRT($C$7))-
2*_xll.qlBlackFormula(IF(O518&lt;$C$4,"Put","Call"),O518,$C$4,$C$9*SQRT($C$7))+
_xll.qlBlackFormula(IF(O518&lt;$C$4,"Put","Call"),O518-$C$14,$C$4,$C$9*SQRT($C$7)))/$C$14^2,"")</f>
        <v>2.0721063550437936E-2</v>
      </c>
      <c r="T518" s="42">
        <f>IFERROR((_xll.qlBlackFormula(IF(O518&lt;$C$4,"Put","Call"),O518+$C$14,$C$4,$C$10*SQRT($C$7),,$C$11)-
2*_xll.qlBlackFormula(IF(O518&lt;$C$4,"Put","Call"),O518,$C$4,$C$10*SQRT($C$7),,$C$11)+
_xll.qlBlackFormula(IF(O518&lt;$C$4,"Put","Call"),O518-$C$14,$C$4,$C$10*SQRT($C$7),,$C$11))/$C$14^2,"")</f>
        <v>8.5868090759357805E-5</v>
      </c>
      <c r="U518" s="43">
        <f>IFERROR((_xll.qlBachelierBlackFormula(IF(O518&lt;$C$4,"Put","Call"),O518+$C$14,$C$4,$C$12*SQRT($C$7))-
2*_xll.qlBachelierBlackFormula(IF(O518&lt;$C$4,"Put","Call"),O518,$C$4,$C$12*SQRT($C$7))+
_xll.qlBachelierBlackFormula(IF(O518&lt;$C$4,"Put","Call"),O518-$C$14,$C$4,$C$12*SQRT($C$7)))/$C$14^2,"")</f>
        <v>9.1131440155782975E-28</v>
      </c>
      <c r="V518" s="61">
        <f>IFERROR(_xll.qlBachelierBlackFormulaImpliedVol(IF(O518&lt;$C$4,"Put","Call"),O518,$C$4,$C$7,P518),"")</f>
        <v>1.0779846634501086E-2</v>
      </c>
      <c r="W518" s="61">
        <f>IFERROR(_xll.qlBachelierBlackFormulaImpliedVol(IF(O518&lt;$C$4,"Put","Call"),O518,$C$4,$C$7,Q518),"")</f>
        <v>7.4220463507546465E-3</v>
      </c>
      <c r="X518" s="61">
        <f>IFERROR(_xll.qlBachelierBlackFormulaImpliedVol(IF(O518&lt;$C$4,"Put","Call"),O518,$C$4,$C$7,R518),"")</f>
        <v>4.7141871034994016E-3</v>
      </c>
      <c r="Y518" s="42"/>
    </row>
    <row r="519" spans="15:25">
      <c r="O519" s="37">
        <f t="shared" si="8"/>
        <v>4.1400000000000152E-2</v>
      </c>
      <c r="P519" s="38">
        <f>IFERROR(_xll.qlBlackFormula(IF(O519&lt;$C$4,"Put","Call"),O519,$C$4,$C$9*SQRT($C$7)),"")</f>
        <v>1.0459615849986131E-6</v>
      </c>
      <c r="Q519" s="39">
        <f>IFERROR(_xll.qlBlackFormula(IF(O519&lt;$C$4,"Put","Call"),O519,$C$4,$C$10*SQRT($C$7),,$C$11),"")</f>
        <v>6.8420964696166092E-10</v>
      </c>
      <c r="R519" s="40">
        <f>IFERROR(_xll.qlBachelierBlackFormula(IF(O519&lt;$C$4,"Put","Call"),O519,$C$4,$C$12*SQRT($C$7)),"")</f>
        <v>4.4796983248754683E-35</v>
      </c>
      <c r="S519" s="41">
        <f>IFERROR((_xll.qlBlackFormula(IF(O519&lt;$C$4,"Put","Call"),O519+$C$14,$C$4,$C$9*SQRT($C$7))-
2*_xll.qlBlackFormula(IF(O519&lt;$C$4,"Put","Call"),O519,$C$4,$C$9*SQRT($C$7))+
_xll.qlBlackFormula(IF(O519&lt;$C$4,"Put","Call"),O519-$C$14,$C$4,$C$9*SQRT($C$7)))/$C$14^2,"")</f>
        <v>2.0389019011817725E-2</v>
      </c>
      <c r="T519" s="42">
        <f>IFERROR((_xll.qlBlackFormula(IF(O519&lt;$C$4,"Put","Call"),O519+$C$14,$C$4,$C$10*SQRT($C$7),,$C$11)-
2*_xll.qlBlackFormula(IF(O519&lt;$C$4,"Put","Call"),O519,$C$4,$C$10*SQRT($C$7),,$C$11)+
_xll.qlBlackFormula(IF(O519&lt;$C$4,"Put","Call"),O519-$C$14,$C$4,$C$10*SQRT($C$7),,$C$11))/$C$14^2,"")</f>
        <v>8.6079647164101917E-5</v>
      </c>
      <c r="U519" s="43">
        <f>IFERROR((_xll.qlBachelierBlackFormula(IF(O519&lt;$C$4,"Put","Call"),O519+$C$14,$C$4,$C$12*SQRT($C$7))-
2*_xll.qlBachelierBlackFormula(IF(O519&lt;$C$4,"Put","Call"),O519,$C$4,$C$12*SQRT($C$7))+
_xll.qlBachelierBlackFormula(IF(O519&lt;$C$4,"Put","Call"),O519-$C$14,$C$4,$C$12*SQRT($C$7)))/$C$14^2,"")</f>
        <v>6.2931372261730711E-28</v>
      </c>
      <c r="V519" s="61">
        <f>IFERROR(_xll.qlBachelierBlackFormulaImpliedVol(IF(O519&lt;$C$4,"Put","Call"),O519,$C$4,$C$7,P519),"")</f>
        <v>1.0797189738911502E-2</v>
      </c>
      <c r="W519" s="61">
        <f>IFERROR(_xll.qlBachelierBlackFormulaImpliedVol(IF(O519&lt;$C$4,"Put","Call"),O519,$C$4,$C$7,Q519),"")</f>
        <v>7.4320316860148642E-3</v>
      </c>
      <c r="X519" s="61">
        <f>IFERROR(_xll.qlBachelierBlackFormulaImpliedVol(IF(O519&lt;$C$4,"Put","Call"),O519,$C$4,$C$7,R519),"")</f>
        <v>4.7271738448313571E-3</v>
      </c>
      <c r="Y519" s="42"/>
    </row>
    <row r="520" spans="15:25">
      <c r="O520" s="37">
        <f t="shared" si="8"/>
        <v>4.1500000000000155E-2</v>
      </c>
      <c r="P520" s="38">
        <f>IFERROR(_xll.qlBlackFormula(IF(O520&lt;$C$4,"Put","Call"),O520,$C$4,$C$9*SQRT($C$7)),"")</f>
        <v>1.0321974847313857E-6</v>
      </c>
      <c r="Q520" s="39">
        <f>IFERROR(_xll.qlBlackFormula(IF(O520&lt;$C$4,"Put","Call"),O520,$C$4,$C$10*SQRT($C$7),,$C$11),"")</f>
        <v>6.6077391513982139E-10</v>
      </c>
      <c r="R520" s="40">
        <f>IFERROR(_xll.qlBachelierBlackFormula(IF(O520&lt;$C$4,"Put","Call"),O520,$C$4,$C$12*SQRT($C$7)),"")</f>
        <v>3.0737793018425319E-35</v>
      </c>
      <c r="S520" s="41">
        <f>IFERROR((_xll.qlBlackFormula(IF(O520&lt;$C$4,"Put","Call"),O520+$C$14,$C$4,$C$9*SQRT($C$7))-
2*_xll.qlBlackFormula(IF(O520&lt;$C$4,"Put","Call"),O520,$C$4,$C$9*SQRT($C$7))+
_xll.qlBlackFormula(IF(O520&lt;$C$4,"Put","Call"),O520-$C$14,$C$4,$C$9*SQRT($C$7)))/$C$14^2,"")</f>
        <v>2.0063573706889572E-2</v>
      </c>
      <c r="T520" s="42">
        <f>IFERROR((_xll.qlBlackFormula(IF(O520&lt;$C$4,"Put","Call"),O520+$C$14,$C$4,$C$10*SQRT($C$7),,$C$11)-
2*_xll.qlBlackFormula(IF(O520&lt;$C$4,"Put","Call"),O520,$C$4,$C$10*SQRT($C$7),,$C$11)+
_xll.qlBlackFormula(IF(O520&lt;$C$4,"Put","Call"),O520-$C$14,$C$4,$C$10*SQRT($C$7),,$C$11))/$C$14^2,"")</f>
        <v>8.3284048008913601E-5</v>
      </c>
      <c r="U520" s="43">
        <f>IFERROR((_xll.qlBachelierBlackFormula(IF(O520&lt;$C$4,"Put","Call"),O520+$C$14,$C$4,$C$12*SQRT($C$7))-
2*_xll.qlBachelierBlackFormula(IF(O520&lt;$C$4,"Put","Call"),O520,$C$4,$C$12*SQRT($C$7))+
_xll.qlBachelierBlackFormula(IF(O520&lt;$C$4,"Put","Call"),O520-$C$14,$C$4,$C$12*SQRT($C$7)))/$C$14^2,"")</f>
        <v>4.3413400217515038E-28</v>
      </c>
      <c r="V520" s="61">
        <f>IFERROR(_xll.qlBachelierBlackFormulaImpliedVol(IF(O520&lt;$C$4,"Put","Call"),O520,$C$4,$C$7,P520),"")</f>
        <v>1.0814523073188987E-2</v>
      </c>
      <c r="W520" s="61">
        <f>IFERROR(_xll.qlBachelierBlackFormulaImpliedVol(IF(O520&lt;$C$4,"Put","Call"),O520,$C$4,$C$7,Q520),"")</f>
        <v>7.4420114835968996E-3</v>
      </c>
      <c r="X520" s="61">
        <f>IFERROR(_xll.qlBachelierBlackFormulaImpliedVol(IF(O520&lt;$C$4,"Put","Call"),O520,$C$4,$C$7,R520),"")</f>
        <v>4.7401605861633108E-3</v>
      </c>
      <c r="Y520" s="42"/>
    </row>
    <row r="521" spans="15:25">
      <c r="O521" s="37">
        <f t="shared" si="8"/>
        <v>4.1600000000000158E-2</v>
      </c>
      <c r="P521" s="38">
        <f>IFERROR(_xll.qlBlackFormula(IF(O521&lt;$C$4,"Put","Call"),O521,$C$4,$C$9*SQRT($C$7)),"")</f>
        <v>1.0186339996707934E-6</v>
      </c>
      <c r="Q521" s="39">
        <f>IFERROR(_xll.qlBlackFormula(IF(O521&lt;$C$4,"Put","Call"),O521,$C$4,$C$10*SQRT($C$7),,$C$11),"")</f>
        <v>6.3816076385500025E-10</v>
      </c>
      <c r="R521" s="40">
        <f>IFERROR(_xll.qlBachelierBlackFormula(IF(O521&lt;$C$4,"Put","Call"),O521,$C$4,$C$12*SQRT($C$7)),"")</f>
        <v>2.1069796819553575E-35</v>
      </c>
      <c r="S521" s="41">
        <f>IFERROR((_xll.qlBlackFormula(IF(O521&lt;$C$4,"Put","Call"),O521+$C$14,$C$4,$C$9*SQRT($C$7))-
2*_xll.qlBlackFormula(IF(O521&lt;$C$4,"Put","Call"),O521,$C$4,$C$9*SQRT($C$7))+
_xll.qlBlackFormula(IF(O521&lt;$C$4,"Put","Call"),O521-$C$14,$C$4,$C$9*SQRT($C$7)))/$C$14^2,"")</f>
        <v>1.9739275284572002E-2</v>
      </c>
      <c r="T521" s="42">
        <f>IFERROR((_xll.qlBlackFormula(IF(O521&lt;$C$4,"Put","Call"),O521+$C$14,$C$4,$C$10*SQRT($C$7),,$C$11)-
2*_xll.qlBlackFormula(IF(O521&lt;$C$4,"Put","Call"),O521,$C$4,$C$10*SQRT($C$7),,$C$11)+
_xll.qlBlackFormula(IF(O521&lt;$C$4,"Put","Call"),O521-$C$14,$C$4,$C$10*SQRT($C$7),,$C$11))/$C$14^2,"")</f>
        <v>7.7994108877628781E-5</v>
      </c>
      <c r="U521" s="43">
        <f>IFERROR((_xll.qlBachelierBlackFormula(IF(O521&lt;$C$4,"Put","Call"),O521+$C$14,$C$4,$C$12*SQRT($C$7))-
2*_xll.qlBachelierBlackFormula(IF(O521&lt;$C$4,"Put","Call"),O521,$C$4,$C$12*SQRT($C$7))+
_xll.qlBachelierBlackFormula(IF(O521&lt;$C$4,"Put","Call"),O521-$C$14,$C$4,$C$12*SQRT($C$7)))/$C$14^2,"")</f>
        <v>2.9918377566688914E-28</v>
      </c>
      <c r="V521" s="61">
        <f>IFERROR(_xll.qlBachelierBlackFormulaImpliedVol(IF(O521&lt;$C$4,"Put","Call"),O521,$C$4,$C$7,P521),"")</f>
        <v>1.0831846670212678E-2</v>
      </c>
      <c r="W521" s="61">
        <f>IFERROR(_xll.qlBachelierBlackFormulaImpliedVol(IF(O521&lt;$C$4,"Put","Call"),O521,$C$4,$C$7,Q521),"")</f>
        <v>7.4519857630222074E-3</v>
      </c>
      <c r="X521" s="61">
        <f>IFERROR(_xll.qlBachelierBlackFormulaImpliedVol(IF(O521&lt;$C$4,"Put","Call"),O521,$C$4,$C$7,R521),"")</f>
        <v>4.7531473274952654E-3</v>
      </c>
      <c r="Y521" s="42"/>
    </row>
    <row r="522" spans="15:25">
      <c r="O522" s="37">
        <f t="shared" si="8"/>
        <v>4.1700000000000161E-2</v>
      </c>
      <c r="P522" s="38">
        <f>IFERROR(_xll.qlBlackFormula(IF(O522&lt;$C$4,"Put","Call"),O522,$C$4,$C$9*SQRT($C$7)),"")</f>
        <v>1.0052679142220088E-6</v>
      </c>
      <c r="Q522" s="39">
        <f>IFERROR(_xll.qlBlackFormula(IF(O522&lt;$C$4,"Put","Call"),O522,$C$4,$C$10*SQRT($C$7),,$C$11),"")</f>
        <v>6.1634062596401795E-10</v>
      </c>
      <c r="R522" s="40">
        <f>IFERROR(_xll.qlBachelierBlackFormula(IF(O522&lt;$C$4,"Put","Call"),O522,$C$4,$C$12*SQRT($C$7)),"")</f>
        <v>1.4428186068770836E-35</v>
      </c>
      <c r="S522" s="41">
        <f>IFERROR((_xll.qlBlackFormula(IF(O522&lt;$C$4,"Put","Call"),O522+$C$14,$C$4,$C$9*SQRT($C$7))-
2*_xll.qlBlackFormula(IF(O522&lt;$C$4,"Put","Call"),O522,$C$4,$C$9*SQRT($C$7))+
_xll.qlBlackFormula(IF(O522&lt;$C$4,"Put","Call"),O522-$C$14,$C$4,$C$9*SQRT($C$7)))/$C$14^2,"")</f>
        <v>1.9425999301997052E-2</v>
      </c>
      <c r="T522" s="42">
        <f>IFERROR((_xll.qlBlackFormula(IF(O522&lt;$C$4,"Put","Call"),O522+$C$14,$C$4,$C$10*SQRT($C$7),,$C$11)-
2*_xll.qlBlackFormula(IF(O522&lt;$C$4,"Put","Call"),O522,$C$4,$C$10*SQRT($C$7),,$C$11)+
_xll.qlBlackFormula(IF(O522&lt;$C$4,"Put","Call"),O522-$C$14,$C$4,$C$10*SQRT($C$7),,$C$11))/$C$14^2,"")</f>
        <v>7.7390262067381403E-5</v>
      </c>
      <c r="U522" s="43">
        <f>IFERROR((_xll.qlBachelierBlackFormula(IF(O522&lt;$C$4,"Put","Call"),O522+$C$14,$C$4,$C$12*SQRT($C$7))-
2*_xll.qlBachelierBlackFormula(IF(O522&lt;$C$4,"Put","Call"),O522,$C$4,$C$12*SQRT($C$7))+
_xll.qlBachelierBlackFormula(IF(O522&lt;$C$4,"Put","Call"),O522-$C$14,$C$4,$C$12*SQRT($C$7)))/$C$14^2,"")</f>
        <v>2.0597281372175638E-28</v>
      </c>
      <c r="V522" s="61">
        <f>IFERROR(_xll.qlBachelierBlackFormulaImpliedVol(IF(O522&lt;$C$4,"Put","Call"),O522,$C$4,$C$7,P522),"")</f>
        <v>1.0849160562672112E-2</v>
      </c>
      <c r="W522" s="61">
        <f>IFERROR(_xll.qlBachelierBlackFormulaImpliedVol(IF(O522&lt;$C$4,"Put","Call"),O522,$C$4,$C$7,Q522),"")</f>
        <v>7.4619545368546196E-3</v>
      </c>
      <c r="X522" s="61">
        <f>IFERROR(_xll.qlBachelierBlackFormulaImpliedVol(IF(O522&lt;$C$4,"Put","Call"),O522,$C$4,$C$7,R522),"")</f>
        <v>4.76613406882722E-3</v>
      </c>
      <c r="Y522" s="42"/>
    </row>
    <row r="523" spans="15:25">
      <c r="O523" s="37">
        <f t="shared" si="8"/>
        <v>4.1800000000000163E-2</v>
      </c>
      <c r="P523" s="38">
        <f>IFERROR(_xll.qlBlackFormula(IF(O523&lt;$C$4,"Put","Call"),O523,$C$4,$C$9*SQRT($C$7)),"")</f>
        <v>9.9209606911561262E-7</v>
      </c>
      <c r="Q523" s="39">
        <f>IFERROR(_xll.qlBlackFormula(IF(O523&lt;$C$4,"Put","Call"),O523,$C$4,$C$10*SQRT($C$7),,$C$11),"")</f>
        <v>5.9528503326685626E-10</v>
      </c>
      <c r="R523" s="40">
        <f>IFERROR(_xll.qlBachelierBlackFormula(IF(O523&lt;$C$4,"Put","Call"),O523,$C$4,$C$12*SQRT($C$7)),"")</f>
        <v>9.8702195035612988E-36</v>
      </c>
      <c r="S523" s="41">
        <f>IFERROR((_xll.qlBlackFormula(IF(O523&lt;$C$4,"Put","Call"),O523+$C$14,$C$4,$C$9*SQRT($C$7))-
2*_xll.qlBlackFormula(IF(O523&lt;$C$4,"Put","Call"),O523,$C$4,$C$9*SQRT($C$7))+
_xll.qlBlackFormula(IF(O523&lt;$C$4,"Put","Call"),O523-$C$14,$C$4,$C$9*SQRT($C$7)))/$C$14^2,"")</f>
        <v>1.9113968457854565E-2</v>
      </c>
      <c r="T523" s="42">
        <f>IFERROR((_xll.qlBlackFormula(IF(O523&lt;$C$4,"Put","Call"),O523+$C$14,$C$4,$C$10*SQRT($C$7),,$C$11)-
2*_xll.qlBlackFormula(IF(O523&lt;$C$4,"Put","Call"),O523,$C$4,$C$10*SQRT($C$7),,$C$11)+
_xll.qlBlackFormula(IF(O523&lt;$C$4,"Put","Call"),O523-$C$14,$C$4,$C$10*SQRT($C$7),,$C$11))/$C$14^2,"")</f>
        <v>7.2576889811129202E-5</v>
      </c>
      <c r="U523" s="43">
        <f>IFERROR((_xll.qlBachelierBlackFormula(IF(O523&lt;$C$4,"Put","Call"),O523+$C$14,$C$4,$C$12*SQRT($C$7))-
2*_xll.qlBachelierBlackFormula(IF(O523&lt;$C$4,"Put","Call"),O523,$C$4,$C$12*SQRT($C$7))+
_xll.qlBachelierBlackFormula(IF(O523&lt;$C$4,"Put","Call"),O523-$C$14,$C$4,$C$12*SQRT($C$7)))/$C$14^2,"")</f>
        <v>1.4165744376318145E-28</v>
      </c>
      <c r="V523" s="61">
        <f>IFERROR(_xll.qlBachelierBlackFormulaImpliedVol(IF(O523&lt;$C$4,"Put","Call"),O523,$C$4,$C$7,P523),"")</f>
        <v>1.0866464783077198E-2</v>
      </c>
      <c r="W523" s="61">
        <f>IFERROR(_xll.qlBachelierBlackFormulaImpliedVol(IF(O523&lt;$C$4,"Put","Call"),O523,$C$4,$C$7,Q523),"")</f>
        <v>7.4719178275461451E-3</v>
      </c>
      <c r="X523" s="61">
        <f>IFERROR(_xll.qlBachelierBlackFormulaImpliedVol(IF(O523&lt;$C$4,"Put","Call"),O523,$C$4,$C$7,R523),"")</f>
        <v>4.7791208101591754E-3</v>
      </c>
      <c r="Y523" s="42"/>
    </row>
    <row r="524" spans="15:25">
      <c r="O524" s="37">
        <f t="shared" si="8"/>
        <v>4.1900000000000166E-2</v>
      </c>
      <c r="P524" s="38">
        <f>IFERROR(_xll.qlBlackFormula(IF(O524&lt;$C$4,"Put","Call"),O524,$C$4,$C$9*SQRT($C$7)),"")</f>
        <v>9.7911536032126551E-7</v>
      </c>
      <c r="Q524" s="39">
        <f>IFERROR(_xll.qlBlackFormula(IF(O524&lt;$C$4,"Put","Call"),O524,$C$4,$C$10*SQRT($C$7),,$C$11),"")</f>
        <v>5.7496655172514335E-10</v>
      </c>
      <c r="R524" s="40">
        <f>IFERROR(_xll.qlBachelierBlackFormula(IF(O524&lt;$C$4,"Put","Call"),O524,$C$4,$C$12*SQRT($C$7)),"")</f>
        <v>6.7453664239314763E-36</v>
      </c>
      <c r="S524" s="41">
        <f>IFERROR((_xll.qlBlackFormula(IF(O524&lt;$C$4,"Put","Call"),O524+$C$14,$C$4,$C$9*SQRT($C$7))-
2*_xll.qlBlackFormula(IF(O524&lt;$C$4,"Put","Call"),O524,$C$4,$C$9*SQRT($C$7))+
_xll.qlBlackFormula(IF(O524&lt;$C$4,"Put","Call"),O524-$C$14,$C$4,$C$9*SQRT($C$7)))/$C$14^2,"")</f>
        <v>1.8811651387551191E-2</v>
      </c>
      <c r="T524" s="42">
        <f>IFERROR((_xll.qlBlackFormula(IF(O524&lt;$C$4,"Put","Call"),O524+$C$14,$C$4,$C$10*SQRT($C$7),,$C$11)-
2*_xll.qlBlackFormula(IF(O524&lt;$C$4,"Put","Call"),O524,$C$4,$C$10*SQRT($C$7),,$C$11)+
_xll.qlBlackFormula(IF(O524&lt;$C$4,"Put","Call"),O524-$C$14,$C$4,$C$10*SQRT($C$7),,$C$11))/$C$14^2,"")</f>
        <v>7.0385086180990293E-5</v>
      </c>
      <c r="U524" s="43">
        <f>IFERROR((_xll.qlBachelierBlackFormula(IF(O524&lt;$C$4,"Put","Call"),O524+$C$14,$C$4,$C$12*SQRT($C$7))-
2*_xll.qlBachelierBlackFormula(IF(O524&lt;$C$4,"Put","Call"),O524,$C$4,$C$12*SQRT($C$7))+
_xll.qlBachelierBlackFormula(IF(O524&lt;$C$4,"Put","Call"),O524-$C$14,$C$4,$C$12*SQRT($C$7)))/$C$14^2,"")</f>
        <v>9.7325473414981007E-29</v>
      </c>
      <c r="V524" s="61">
        <f>IFERROR(_xll.qlBachelierBlackFormulaImpliedVol(IF(O524&lt;$C$4,"Put","Call"),O524,$C$4,$C$7,P524),"")</f>
        <v>1.0883759363730872E-2</v>
      </c>
      <c r="W524" s="61">
        <f>IFERROR(_xll.qlBachelierBlackFormulaImpliedVol(IF(O524&lt;$C$4,"Put","Call"),O524,$C$4,$C$7,Q524),"")</f>
        <v>7.4818756466001257E-3</v>
      </c>
      <c r="X524" s="61">
        <f>IFERROR(_xll.qlBachelierBlackFormulaImpliedVol(IF(O524&lt;$C$4,"Put","Call"),O524,$C$4,$C$7,R524),"")</f>
        <v>4.7921075514911291E-3</v>
      </c>
      <c r="Y524" s="42"/>
    </row>
    <row r="525" spans="15:25">
      <c r="O525" s="37">
        <f t="shared" si="8"/>
        <v>4.2000000000000169E-2</v>
      </c>
      <c r="P525" s="38">
        <f>IFERROR(_xll.qlBlackFormula(IF(O525&lt;$C$4,"Put","Call"),O525,$C$4,$C$9*SQRT($C$7)),"")</f>
        <v>9.6632273800898497E-7</v>
      </c>
      <c r="Q525" s="39">
        <f>IFERROR(_xll.qlBlackFormula(IF(O525&lt;$C$4,"Put","Call"),O525,$C$4,$C$10*SQRT($C$7),,$C$11),"")</f>
        <v>5.5535876158915446E-10</v>
      </c>
      <c r="R525" s="40">
        <f>IFERROR(_xll.qlBachelierBlackFormula(IF(O525&lt;$C$4,"Put","Call"),O525,$C$4,$C$12*SQRT($C$7)),"")</f>
        <v>4.605193788340846E-36</v>
      </c>
      <c r="S525" s="41">
        <f>IFERROR((_xll.qlBlackFormula(IF(O525&lt;$C$4,"Put","Call"),O525+$C$14,$C$4,$C$9*SQRT($C$7))-
2*_xll.qlBlackFormula(IF(O525&lt;$C$4,"Put","Call"),O525,$C$4,$C$9*SQRT($C$7))+
_xll.qlBlackFormula(IF(O525&lt;$C$4,"Put","Call"),O525-$C$14,$C$4,$C$9*SQRT($C$7)))/$C$14^2,"")</f>
        <v>1.8508123060133243E-2</v>
      </c>
      <c r="T525" s="42">
        <f>IFERROR((_xll.qlBlackFormula(IF(O525&lt;$C$4,"Put","Call"),O525+$C$14,$C$4,$C$10*SQRT($C$7),,$C$11)-
2*_xll.qlBlackFormula(IF(O525&lt;$C$4,"Put","Call"),O525,$C$4,$C$10*SQRT($C$7),,$C$11)+
_xll.qlBlackFormula(IF(O525&lt;$C$4,"Put","Call"),O525-$C$14,$C$4,$C$10*SQRT($C$7),,$C$11))/$C$14^2,"")</f>
        <v>7.080730563541696E-5</v>
      </c>
      <c r="U525" s="43">
        <f>IFERROR((_xll.qlBachelierBlackFormula(IF(O525&lt;$C$4,"Put","Call"),O525+$C$14,$C$4,$C$12*SQRT($C$7))-
2*_xll.qlBachelierBlackFormula(IF(O525&lt;$C$4,"Put","Call"),O525,$C$4,$C$12*SQRT($C$7))+
_xll.qlBachelierBlackFormula(IF(O525&lt;$C$4,"Put","Call"),O525-$C$14,$C$4,$C$12*SQRT($C$7)))/$C$14^2,"")</f>
        <v>6.6799203132124816E-29</v>
      </c>
      <c r="V525" s="61">
        <f>IFERROR(_xll.qlBachelierBlackFormulaImpliedVol(IF(O525&lt;$C$4,"Put","Call"),O525,$C$4,$C$7,P525),"")</f>
        <v>1.090104433676641E-2</v>
      </c>
      <c r="W525" s="61">
        <f>IFERROR(_xll.qlBachelierBlackFormulaImpliedVol(IF(O525&lt;$C$4,"Put","Call"),O525,$C$4,$C$7,Q525),"")</f>
        <v>7.4918280144996366E-3</v>
      </c>
      <c r="X525" s="61">
        <f>IFERROR(_xll.qlBachelierBlackFormulaImpliedVol(IF(O525&lt;$C$4,"Put","Call"),O525,$C$4,$C$7,R525),"")</f>
        <v>4.8050942928230837E-3</v>
      </c>
      <c r="Y525" s="42"/>
    </row>
    <row r="526" spans="15:25">
      <c r="O526" s="37">
        <f t="shared" si="8"/>
        <v>4.2100000000000172E-2</v>
      </c>
      <c r="P526" s="38">
        <f>IFERROR(_xll.qlBlackFormula(IF(O526&lt;$C$4,"Put","Call"),O526,$C$4,$C$9*SQRT($C$7)),"")</f>
        <v>9.5371520551165773E-7</v>
      </c>
      <c r="Q526" s="39">
        <f>IFERROR(_xll.qlBlackFormula(IF(O526&lt;$C$4,"Put","Call"),O526,$C$4,$C$10*SQRT($C$7),,$C$11),"")</f>
        <v>5.3643621020224125E-10</v>
      </c>
      <c r="R526" s="40">
        <f>IFERROR(_xll.qlBachelierBlackFormula(IF(O526&lt;$C$4,"Put","Call"),O526,$C$4,$C$12*SQRT($C$7)),"")</f>
        <v>3.1408982788775642E-36</v>
      </c>
      <c r="S526" s="41">
        <f>IFERROR((_xll.qlBlackFormula(IF(O526&lt;$C$4,"Put","Call"),O526+$C$14,$C$4,$C$9*SQRT($C$7))-
2*_xll.qlBlackFormula(IF(O526&lt;$C$4,"Put","Call"),O526,$C$4,$C$9*SQRT($C$7))+
_xll.qlBlackFormula(IF(O526&lt;$C$4,"Put","Call"),O526-$C$14,$C$4,$C$9*SQRT($C$7)))/$C$14^2,"")</f>
        <v>1.8214234814687997E-2</v>
      </c>
      <c r="T526" s="42">
        <f>IFERROR((_xll.qlBlackFormula(IF(O526&lt;$C$4,"Put","Call"),O526+$C$14,$C$4,$C$10*SQRT($C$7),,$C$11)-
2*_xll.qlBlackFormula(IF(O526&lt;$C$4,"Put","Call"),O526,$C$4,$C$10*SQRT($C$7),,$C$11)+
_xll.qlBlackFormula(IF(O526&lt;$C$4,"Put","Call"),O526-$C$14,$C$4,$C$10*SQRT($C$7),,$C$11))/$C$14^2,"")</f>
        <v>6.7496955293759345E-5</v>
      </c>
      <c r="U526" s="43">
        <f>IFERROR((_xll.qlBachelierBlackFormula(IF(O526&lt;$C$4,"Put","Call"),O526+$C$14,$C$4,$C$12*SQRT($C$7))-
2*_xll.qlBachelierBlackFormula(IF(O526&lt;$C$4,"Put","Call"),O526,$C$4,$C$12*SQRT($C$7))+
_xll.qlBachelierBlackFormula(IF(O526&lt;$C$4,"Put","Call"),O526-$C$14,$C$4,$C$12*SQRT($C$7)))/$C$14^2,"")</f>
        <v>4.5800864272206327E-29</v>
      </c>
      <c r="V526" s="61">
        <f>IFERROR(_xll.qlBachelierBlackFormulaImpliedVol(IF(O526&lt;$C$4,"Put","Call"),O526,$C$4,$C$7,P526),"")</f>
        <v>1.0918319734116808E-2</v>
      </c>
      <c r="W526" s="61">
        <f>IFERROR(_xll.qlBachelierBlackFormulaImpliedVol(IF(O526&lt;$C$4,"Put","Call"),O526,$C$4,$C$7,Q526),"")</f>
        <v>7.5017749459883555E-3</v>
      </c>
      <c r="X526" s="61">
        <f>IFERROR(_xll.qlBachelierBlackFormulaImpliedVol(IF(O526&lt;$C$4,"Put","Call"),O526,$C$4,$C$7,R526),"")</f>
        <v>4.8180810341550383E-3</v>
      </c>
      <c r="Y526" s="42"/>
    </row>
    <row r="527" spans="15:25">
      <c r="O527" s="37">
        <f t="shared" si="8"/>
        <v>4.2200000000000175E-2</v>
      </c>
      <c r="P527" s="38">
        <f>IFERROR(_xll.qlBlackFormula(IF(O527&lt;$C$4,"Put","Call"),O527,$C$4,$C$9*SQRT($C$7)),"")</f>
        <v>9.4128981832794057E-7</v>
      </c>
      <c r="Q527" s="39">
        <f>IFERROR(_xll.qlBlackFormula(IF(O527&lt;$C$4,"Put","Call"),O527,$C$4,$C$10*SQRT($C$7),,$C$11),"")</f>
        <v>5.1817437853870744E-10</v>
      </c>
      <c r="R527" s="40">
        <f>IFERROR(_xll.qlBachelierBlackFormula(IF(O527&lt;$C$4,"Put","Call"),O527,$C$4,$C$12*SQRT($C$7)),"")</f>
        <v>2.1400474380817283E-36</v>
      </c>
      <c r="S527" s="41">
        <f>IFERROR((_xll.qlBlackFormula(IF(O527&lt;$C$4,"Put","Call"),O527+$C$14,$C$4,$C$9*SQRT($C$7))-
2*_xll.qlBlackFormula(IF(O527&lt;$C$4,"Put","Call"),O527,$C$4,$C$9*SQRT($C$7))+
_xll.qlBlackFormula(IF(O527&lt;$C$4,"Put","Call"),O527-$C$14,$C$4,$C$9*SQRT($C$7)))/$C$14^2,"")</f>
        <v>1.7927186360291829E-2</v>
      </c>
      <c r="T527" s="42">
        <f>IFERROR((_xll.qlBlackFormula(IF(O527&lt;$C$4,"Put","Call"),O527+$C$14,$C$4,$C$10*SQRT($C$7),,$C$11)-
2*_xll.qlBlackFormula(IF(O527&lt;$C$4,"Put","Call"),O527,$C$4,$C$10*SQRT($C$7),,$C$11)+
_xll.qlBlackFormula(IF(O527&lt;$C$4,"Put","Call"),O527-$C$14,$C$4,$C$10*SQRT($C$7),,$C$11))/$C$14^2,"")</f>
        <v>6.2478801241979849E-5</v>
      </c>
      <c r="U527" s="43">
        <f>IFERROR((_xll.qlBachelierBlackFormula(IF(O527&lt;$C$4,"Put","Call"),O527+$C$14,$C$4,$C$12*SQRT($C$7))-
2*_xll.qlBachelierBlackFormula(IF(O527&lt;$C$4,"Put","Call"),O527,$C$4,$C$12*SQRT($C$7))+
_xll.qlBachelierBlackFormula(IF(O527&lt;$C$4,"Put","Call"),O527-$C$14,$C$4,$C$12*SQRT($C$7)))/$C$14^2,"")</f>
        <v>3.1371385184510141E-29</v>
      </c>
      <c r="V527" s="61">
        <f>IFERROR(_xll.qlBachelierBlackFormulaImpliedVol(IF(O527&lt;$C$4,"Put","Call"),O527,$C$4,$C$7,P527),"")</f>
        <v>1.0935585587538191E-2</v>
      </c>
      <c r="W527" s="61">
        <f>IFERROR(_xll.qlBachelierBlackFormulaImpliedVol(IF(O527&lt;$C$4,"Put","Call"),O527,$C$4,$C$7,Q527),"")</f>
        <v>7.5117164569374817E-3</v>
      </c>
      <c r="X527" s="61">
        <f>IFERROR(_xll.qlBachelierBlackFormulaImpliedVol(IF(O527&lt;$C$4,"Put","Call"),O527,$C$4,$C$7,R527),"")</f>
        <v>4.8310677754869937E-3</v>
      </c>
      <c r="Y527" s="42"/>
    </row>
    <row r="528" spans="15:25">
      <c r="O528" s="37">
        <f t="shared" si="8"/>
        <v>4.2300000000000178E-2</v>
      </c>
      <c r="P528" s="38">
        <f>IFERROR(_xll.qlBlackFormula(IF(O528&lt;$C$4,"Put","Call"),O528,$C$4,$C$9*SQRT($C$7)),"")</f>
        <v>9.2904368313318585E-7</v>
      </c>
      <c r="Q528" s="39">
        <f>IFERROR(_xll.qlBlackFormula(IF(O528&lt;$C$4,"Put","Call"),O528,$C$4,$C$10*SQRT($C$7),,$C$11),"")</f>
        <v>5.0054963767750715E-10</v>
      </c>
      <c r="R528" s="40">
        <f>IFERROR(_xll.qlBachelierBlackFormula(IF(O528&lt;$C$4,"Put","Call"),O528,$C$4,$C$12*SQRT($C$7)),"")</f>
        <v>1.4566542042224557E-36</v>
      </c>
      <c r="S528" s="41">
        <f>IFERROR((_xll.qlBlackFormula(IF(O528&lt;$C$4,"Put","Call"),O528+$C$14,$C$4,$C$9*SQRT($C$7))-
2*_xll.qlBlackFormula(IF(O528&lt;$C$4,"Put","Call"),O528,$C$4,$C$9*SQRT($C$7))+
_xll.qlBlackFormula(IF(O528&lt;$C$4,"Put","Call"),O528-$C$14,$C$4,$C$9*SQRT($C$7)))/$C$14^2,"")</f>
        <v>1.7640690171377271E-2</v>
      </c>
      <c r="T528" s="42">
        <f>IFERROR((_xll.qlBlackFormula(IF(O528&lt;$C$4,"Put","Call"),O528+$C$14,$C$4,$C$10*SQRT($C$7),,$C$11)-
2*_xll.qlBlackFormula(IF(O528&lt;$C$4,"Put","Call"),O528,$C$4,$C$10*SQRT($C$7),,$C$11)+
_xll.qlBlackFormula(IF(O528&lt;$C$4,"Put","Call"),O528-$C$14,$C$4,$C$10*SQRT($C$7),,$C$11))/$C$14^2,"")</f>
        <v>6.5271735221234526E-5</v>
      </c>
      <c r="U528" s="43">
        <f>IFERROR((_xll.qlBachelierBlackFormula(IF(O528&lt;$C$4,"Put","Call"),O528+$C$14,$C$4,$C$12*SQRT($C$7))-
2*_xll.qlBachelierBlackFormula(IF(O528&lt;$C$4,"Put","Call"),O528,$C$4,$C$12*SQRT($C$7))+
_xll.qlBachelierBlackFormula(IF(O528&lt;$C$4,"Put","Call"),O528-$C$14,$C$4,$C$12*SQRT($C$7)))/$C$14^2,"")</f>
        <v>2.1466010932628763E-29</v>
      </c>
      <c r="V528" s="61">
        <f>IFERROR(_xll.qlBachelierBlackFormulaImpliedVol(IF(O528&lt;$C$4,"Put","Call"),O528,$C$4,$C$7,P528),"")</f>
        <v>1.0952841928610723E-2</v>
      </c>
      <c r="W528" s="61">
        <f>IFERROR(_xll.qlBachelierBlackFormulaImpliedVol(IF(O528&lt;$C$4,"Put","Call"),O528,$C$4,$C$7,Q528),"")</f>
        <v>7.5216525625239998E-3</v>
      </c>
      <c r="X528" s="61">
        <f>IFERROR(_xll.qlBachelierBlackFormulaImpliedVol(IF(O528&lt;$C$4,"Put","Call"),O528,$C$4,$C$7,R528),"")</f>
        <v>4.8440545168189474E-3</v>
      </c>
      <c r="Y528" s="42"/>
    </row>
    <row r="529" spans="15:25">
      <c r="O529" s="37">
        <f t="shared" ref="O529:O592" si="9">O528+0.01%</f>
        <v>4.2400000000000181E-2</v>
      </c>
      <c r="P529" s="38">
        <f>IFERROR(_xll.qlBlackFormula(IF(O529&lt;$C$4,"Put","Call"),O529,$C$4,$C$9*SQRT($C$7)),"")</f>
        <v>9.1697395680613379E-7</v>
      </c>
      <c r="Q529" s="39">
        <f>IFERROR(_xll.qlBlackFormula(IF(O529&lt;$C$4,"Put","Call"),O529,$C$4,$C$10*SQRT($C$7),,$C$11),"")</f>
        <v>4.8353923820518112E-10</v>
      </c>
      <c r="R529" s="40">
        <f>IFERROR(_xll.qlBachelierBlackFormula(IF(O529&lt;$C$4,"Put","Call"),O529,$C$4,$C$12*SQRT($C$7)),"")</f>
        <v>9.90496717302337E-37</v>
      </c>
      <c r="S529" s="41">
        <f>IFERROR((_xll.qlBlackFormula(IF(O529&lt;$C$4,"Put","Call"),O529+$C$14,$C$4,$C$9*SQRT($C$7))-
2*_xll.qlBlackFormula(IF(O529&lt;$C$4,"Put","Call"),O529,$C$4,$C$9*SQRT($C$7))+
_xll.qlBlackFormula(IF(O529&lt;$C$4,"Put","Call"),O529-$C$14,$C$4,$C$9*SQRT($C$7)))/$C$14^2,"")</f>
        <v>1.7358675633786635E-2</v>
      </c>
      <c r="T529" s="42">
        <f>IFERROR((_xll.qlBlackFormula(IF(O529&lt;$C$4,"Put","Call"),O529+$C$14,$C$4,$C$10*SQRT($C$7),,$C$11)-
2*_xll.qlBlackFormula(IF(O529&lt;$C$4,"Put","Call"),O529,$C$4,$C$10*SQRT($C$7),,$C$11)+
_xll.qlBlackFormula(IF(O529&lt;$C$4,"Put","Call"),O529-$C$14,$C$4,$C$10*SQRT($C$7),,$C$11))/$C$14^2,"")</f>
        <v>5.8449912189421921E-5</v>
      </c>
      <c r="U529" s="43">
        <f>IFERROR((_xll.qlBachelierBlackFormula(IF(O529&lt;$C$4,"Put","Call"),O529+$C$14,$C$4,$C$12*SQRT($C$7))-
2*_xll.qlBachelierBlackFormula(IF(O529&lt;$C$4,"Put","Call"),O529,$C$4,$C$12*SQRT($C$7))+
_xll.qlBachelierBlackFormula(IF(O529&lt;$C$4,"Put","Call"),O529-$C$14,$C$4,$C$12*SQRT($C$7)))/$C$14^2,"")</f>
        <v>1.4673260588448163E-29</v>
      </c>
      <c r="V529" s="61">
        <f>IFERROR(_xll.qlBachelierBlackFormulaImpliedVol(IF(O529&lt;$C$4,"Put","Call"),O529,$C$4,$C$7,P529),"")</f>
        <v>1.0970088788717611E-2</v>
      </c>
      <c r="W529" s="61">
        <f>IFERROR(_xll.qlBachelierBlackFormulaImpliedVol(IF(O529&lt;$C$4,"Put","Call"),O529,$C$4,$C$7,Q529),"")</f>
        <v>7.5315832855200569E-3</v>
      </c>
      <c r="X529" s="61">
        <f>IFERROR(_xll.qlBachelierBlackFormulaImpliedVol(IF(O529&lt;$C$4,"Put","Call"),O529,$C$4,$C$7,R529),"")</f>
        <v>4.857041258150902E-3</v>
      </c>
      <c r="Y529" s="42"/>
    </row>
    <row r="530" spans="15:25">
      <c r="O530" s="37">
        <f t="shared" si="9"/>
        <v>4.2500000000000183E-2</v>
      </c>
      <c r="P530" s="38">
        <f>IFERROR(_xll.qlBlackFormula(IF(O530&lt;$C$4,"Put","Call"),O530,$C$4,$C$9*SQRT($C$7)),"")</f>
        <v>9.0507784549190932E-7</v>
      </c>
      <c r="Q530" s="39">
        <f>IFERROR(_xll.qlBlackFormula(IF(O530&lt;$C$4,"Put","Call"),O530,$C$4,$C$10*SQRT($C$7),,$C$11),"")</f>
        <v>4.6712124626699337E-10</v>
      </c>
      <c r="R530" s="40">
        <f>IFERROR(_xll.qlBachelierBlackFormula(IF(O530&lt;$C$4,"Put","Call"),O530,$C$4,$C$12*SQRT($C$7)),"")</f>
        <v>6.7284199909566514E-37</v>
      </c>
      <c r="S530" s="41">
        <f>IFERROR((_xll.qlBlackFormula(IF(O530&lt;$C$4,"Put","Call"),O530+$C$14,$C$4,$C$9*SQRT($C$7))-
2*_xll.qlBlackFormula(IF(O530&lt;$C$4,"Put","Call"),O530,$C$4,$C$9*SQRT($C$7))+
_xll.qlBlackFormula(IF(O530&lt;$C$4,"Put","Call"),O530-$C$14,$C$4,$C$9*SQRT($C$7)))/$C$14^2,"")</f>
        <v>1.7085664209392365E-2</v>
      </c>
      <c r="T530" s="42">
        <f>IFERROR((_xll.qlBlackFormula(IF(O530&lt;$C$4,"Put","Call"),O530+$C$14,$C$4,$C$10*SQRT($C$7),,$C$11)-
2*_xll.qlBlackFormula(IF(O530&lt;$C$4,"Put","Call"),O530,$C$4,$C$10*SQRT($C$7),,$C$11)+
_xll.qlBlackFormula(IF(O530&lt;$C$4,"Put","Call"),O530-$C$14,$C$4,$C$10*SQRT($C$7),,$C$11))/$C$14^2,"")</f>
        <v>5.5679570167057299E-5</v>
      </c>
      <c r="U530" s="43">
        <f>IFERROR((_xll.qlBachelierBlackFormula(IF(O530&lt;$C$4,"Put","Call"),O530+$C$14,$C$4,$C$12*SQRT($C$7))-
2*_xll.qlBachelierBlackFormula(IF(O530&lt;$C$4,"Put","Call"),O530,$C$4,$C$12*SQRT($C$7))+
_xll.qlBachelierBlackFormula(IF(O530&lt;$C$4,"Put","Call"),O530-$C$14,$C$4,$C$12*SQRT($C$7)))/$C$14^2,"")</f>
        <v>1.0019811302944449E-29</v>
      </c>
      <c r="V530" s="61">
        <f>IFERROR(_xll.qlBachelierBlackFormulaImpliedVol(IF(O530&lt;$C$4,"Put","Call"),O530,$C$4,$C$7,P530),"")</f>
        <v>1.0987326199069856E-2</v>
      </c>
      <c r="W530" s="61">
        <f>IFERROR(_xll.qlBachelierBlackFormulaImpliedVol(IF(O530&lt;$C$4,"Put","Call"),O530,$C$4,$C$7,Q530),"")</f>
        <v>7.5415086334610654E-3</v>
      </c>
      <c r="X530" s="61">
        <f>IFERROR(_xll.qlBachelierBlackFormulaImpliedVol(IF(O530&lt;$C$4,"Put","Call"),O530,$C$4,$C$7,R530),"")</f>
        <v>4.8700279994828575E-3</v>
      </c>
      <c r="Y530" s="42"/>
    </row>
    <row r="531" spans="15:25">
      <c r="O531" s="37">
        <f t="shared" si="9"/>
        <v>4.2600000000000186E-2</v>
      </c>
      <c r="P531" s="38">
        <f>IFERROR(_xll.qlBlackFormula(IF(O531&lt;$C$4,"Put","Call"),O531,$C$4,$C$9*SQRT($C$7)),"")</f>
        <v>8.9335260366907377E-7</v>
      </c>
      <c r="Q531" s="39">
        <f>IFERROR(_xll.qlBlackFormula(IF(O531&lt;$C$4,"Put","Call"),O531,$C$4,$C$10*SQRT($C$7),,$C$11),"")</f>
        <v>4.5127453625057246E-10</v>
      </c>
      <c r="R531" s="40">
        <f>IFERROR(_xll.qlBachelierBlackFormula(IF(O531&lt;$C$4,"Put","Call"),O531,$C$4,$C$12*SQRT($C$7)),"")</f>
        <v>4.5660072121400153E-37</v>
      </c>
      <c r="S531" s="41">
        <f>IFERROR((_xll.qlBlackFormula(IF(O531&lt;$C$4,"Put","Call"),O531+$C$14,$C$4,$C$9*SQRT($C$7))-
2*_xll.qlBlackFormula(IF(O531&lt;$C$4,"Put","Call"),O531,$C$4,$C$9*SQRT($C$7))+
_xll.qlBlackFormula(IF(O531&lt;$C$4,"Put","Call"),O531-$C$14,$C$4,$C$9*SQRT($C$7)))/$C$14^2,"")</f>
        <v>1.6817756158505302E-2</v>
      </c>
      <c r="T531" s="42">
        <f>IFERROR((_xll.qlBlackFormula(IF(O531&lt;$C$4,"Put","Call"),O531+$C$14,$C$4,$C$10*SQRT($C$7),,$C$11)-
2*_xll.qlBlackFormula(IF(O531&lt;$C$4,"Put","Call"),O531,$C$4,$C$10*SQRT($C$7),,$C$11)+
_xll.qlBlackFormula(IF(O531&lt;$C$4,"Put","Call"),O531-$C$14,$C$4,$C$10*SQRT($C$7),,$C$11))/$C$14^2,"")</f>
        <v>5.6971373993778303E-5</v>
      </c>
      <c r="U531" s="43">
        <f>IFERROR((_xll.qlBachelierBlackFormula(IF(O531&lt;$C$4,"Put","Call"),O531+$C$14,$C$4,$C$12*SQRT($C$7))-
2*_xll.qlBachelierBlackFormula(IF(O531&lt;$C$4,"Put","Call"),O531,$C$4,$C$12*SQRT($C$7))+
_xll.qlBachelierBlackFormula(IF(O531&lt;$C$4,"Put","Call"),O531-$C$14,$C$4,$C$12*SQRT($C$7)))/$C$14^2,"")</f>
        <v>6.8351821517584921E-30</v>
      </c>
      <c r="V531" s="61">
        <f>IFERROR(_xll.qlBachelierBlackFormulaImpliedVol(IF(O531&lt;$C$4,"Put","Call"),O531,$C$4,$C$7,P531),"")</f>
        <v>1.100455419070257E-2</v>
      </c>
      <c r="W531" s="61">
        <f>IFERROR(_xll.qlBachelierBlackFormulaImpliedVol(IF(O531&lt;$C$4,"Put","Call"),O531,$C$4,$C$7,Q531),"")</f>
        <v>7.5514286250888312E-3</v>
      </c>
      <c r="X531" s="61">
        <f>IFERROR(_xll.qlBachelierBlackFormulaImpliedVol(IF(O531&lt;$C$4,"Put","Call"),O531,$C$4,$C$7,R531),"")</f>
        <v>4.883014740814812E-3</v>
      </c>
      <c r="Y531" s="42"/>
    </row>
    <row r="532" spans="15:25">
      <c r="O532" s="37">
        <f t="shared" si="9"/>
        <v>4.2700000000000189E-2</v>
      </c>
      <c r="P532" s="38">
        <f>IFERROR(_xll.qlBlackFormula(IF(O532&lt;$C$4,"Put","Call"),O532,$C$4,$C$9*SQRT($C$7)),"")</f>
        <v>8.817955332485639E-7</v>
      </c>
      <c r="Q532" s="39">
        <f>IFERROR(_xll.qlBlackFormula(IF(O532&lt;$C$4,"Put","Call"),O532,$C$4,$C$10*SQRT($C$7),,$C$11),"")</f>
        <v>4.3597875737374978E-10</v>
      </c>
      <c r="R532" s="40">
        <f>IFERROR(_xll.qlBachelierBlackFormula(IF(O532&lt;$C$4,"Put","Call"),O532,$C$4,$C$12*SQRT($C$7)),"")</f>
        <v>3.0954480041099552E-37</v>
      </c>
      <c r="S532" s="41">
        <f>IFERROR((_xll.qlBlackFormula(IF(O532&lt;$C$4,"Put","Call"),O532+$C$14,$C$4,$C$9*SQRT($C$7))-
2*_xll.qlBlackFormula(IF(O532&lt;$C$4,"Put","Call"),O532,$C$4,$C$9*SQRT($C$7))+
_xll.qlBlackFormula(IF(O532&lt;$C$4,"Put","Call"),O532-$C$14,$C$4,$C$9*SQRT($C$7)))/$C$14^2,"")</f>
        <v>1.6551576901863586E-2</v>
      </c>
      <c r="T532" s="42">
        <f>IFERROR((_xll.qlBlackFormula(IF(O532&lt;$C$4,"Put","Call"),O532+$C$14,$C$4,$C$10*SQRT($C$7),,$C$11)-
2*_xll.qlBlackFormula(IF(O532&lt;$C$4,"Put","Call"),O532,$C$4,$C$10*SQRT($C$7),,$C$11)+
_xll.qlBlackFormula(IF(O532&lt;$C$4,"Put","Call"),O532-$C$14,$C$4,$C$10*SQRT($C$7),,$C$11))/$C$14^2,"")</f>
        <v>5.2299775531434023E-5</v>
      </c>
      <c r="U532" s="43">
        <f>IFERROR((_xll.qlBachelierBlackFormula(IF(O532&lt;$C$4,"Put","Call"),O532+$C$14,$C$4,$C$12*SQRT($C$7))-
2*_xll.qlBachelierBlackFormula(IF(O532&lt;$C$4,"Put","Call"),O532,$C$4,$C$12*SQRT($C$7))+
_xll.qlBachelierBlackFormula(IF(O532&lt;$C$4,"Put","Call"),O532-$C$14,$C$4,$C$12*SQRT($C$7)))/$C$14^2,"")</f>
        <v>4.6579869290260391E-30</v>
      </c>
      <c r="V532" s="61">
        <f>IFERROR(_xll.qlBachelierBlackFormulaImpliedVol(IF(O532&lt;$C$4,"Put","Call"),O532,$C$4,$C$7,P532),"")</f>
        <v>1.1021772794473715E-2</v>
      </c>
      <c r="W532" s="61">
        <f>IFERROR(_xll.qlBachelierBlackFormulaImpliedVol(IF(O532&lt;$C$4,"Put","Call"),O532,$C$4,$C$7,Q532),"")</f>
        <v>7.5613432810605133E-3</v>
      </c>
      <c r="X532" s="61">
        <f>IFERROR(_xll.qlBachelierBlackFormulaImpliedVol(IF(O532&lt;$C$4,"Put","Call"),O532,$C$4,$C$7,R532),"")</f>
        <v>4.8960014821467657E-3</v>
      </c>
      <c r="Y532" s="42"/>
    </row>
    <row r="533" spans="15:25">
      <c r="O533" s="37">
        <f t="shared" si="9"/>
        <v>4.2800000000000192E-2</v>
      </c>
      <c r="P533" s="38">
        <f>IFERROR(_xll.qlBlackFormula(IF(O533&lt;$C$4,"Put","Call"),O533,$C$4,$C$9*SQRT($C$7)),"")</f>
        <v>8.7040398267360677E-7</v>
      </c>
      <c r="Q533" s="39">
        <f>IFERROR(_xll.qlBlackFormula(IF(O533&lt;$C$4,"Put","Call"),O533,$C$4,$C$10*SQRT($C$7),,$C$11),"")</f>
        <v>4.2121428880379004E-10</v>
      </c>
      <c r="R533" s="40">
        <f>IFERROR(_xll.qlBachelierBlackFormula(IF(O533&lt;$C$4,"Put","Call"),O533,$C$4,$C$12*SQRT($C$7)),"")</f>
        <v>2.0963984221392088E-37</v>
      </c>
      <c r="S533" s="41">
        <f>IFERROR((_xll.qlBlackFormula(IF(O533&lt;$C$4,"Put","Call"),O533+$C$14,$C$4,$C$9*SQRT($C$7))-
2*_xll.qlBlackFormula(IF(O533&lt;$C$4,"Put","Call"),O533,$C$4,$C$9*SQRT($C$7))+
_xll.qlBlackFormula(IF(O533&lt;$C$4,"Put","Call"),O533-$C$14,$C$4,$C$9*SQRT($C$7)))/$C$14^2,"")</f>
        <v>1.6291420896509794E-2</v>
      </c>
      <c r="T533" s="42">
        <f>IFERROR((_xll.qlBlackFormula(IF(O533&lt;$C$4,"Put","Call"),O533+$C$14,$C$4,$C$10*SQRT($C$7),,$C$11)-
2*_xll.qlBlackFormula(IF(O533&lt;$C$4,"Put","Call"),O533,$C$4,$C$10*SQRT($C$7),,$C$11)+
_xll.qlBlackFormula(IF(O533&lt;$C$4,"Put","Call"),O533-$C$14,$C$4,$C$10*SQRT($C$7),,$C$11))/$C$14^2,"")</f>
        <v>5.4876492770373457E-5</v>
      </c>
      <c r="U533" s="43">
        <f>IFERROR((_xll.qlBachelierBlackFormula(IF(O533&lt;$C$4,"Put","Call"),O533+$C$14,$C$4,$C$12*SQRT($C$7))-
2*_xll.qlBachelierBlackFormula(IF(O533&lt;$C$4,"Put","Call"),O533,$C$4,$C$12*SQRT($C$7))+
_xll.qlBachelierBlackFormula(IF(O533&lt;$C$4,"Put","Call"),O533-$C$14,$C$4,$C$12*SQRT($C$7)))/$C$14^2,"")</f>
        <v>3.1710571887564628E-30</v>
      </c>
      <c r="V533" s="61">
        <f>IFERROR(_xll.qlBachelierBlackFormulaImpliedVol(IF(O533&lt;$C$4,"Put","Call"),O533,$C$4,$C$7,P533),"")</f>
        <v>1.1038982041064887E-2</v>
      </c>
      <c r="W533" s="61">
        <f>IFERROR(_xll.qlBachelierBlackFormulaImpliedVol(IF(O533&lt;$C$4,"Put","Call"),O533,$C$4,$C$7,Q533),"")</f>
        <v>7.5712526111748075E-3</v>
      </c>
      <c r="X533" s="61">
        <f>IFERROR(_xll.qlBachelierBlackFormulaImpliedVol(IF(O533&lt;$C$4,"Put","Call"),O533,$C$4,$C$7,R533),"")</f>
        <v>4.9089882234787203E-3</v>
      </c>
      <c r="Y533" s="42"/>
    </row>
    <row r="534" spans="15:25">
      <c r="O534" s="37">
        <f t="shared" si="9"/>
        <v>4.2900000000000195E-2</v>
      </c>
      <c r="P534" s="38">
        <f>IFERROR(_xll.qlBlackFormula(IF(O534&lt;$C$4,"Put","Call"),O534,$C$4,$C$9*SQRT($C$7)),"")</f>
        <v>8.5917534605545218E-7</v>
      </c>
      <c r="Q534" s="39">
        <f>IFERROR(_xll.qlBlackFormula(IF(O534&lt;$C$4,"Put","Call"),O534,$C$4,$C$10*SQRT($C$7),,$C$11),"")</f>
        <v>4.0696224074540684E-10</v>
      </c>
      <c r="R534" s="40">
        <f>IFERROR(_xll.qlBachelierBlackFormula(IF(O534&lt;$C$4,"Put","Call"),O534,$C$4,$C$12*SQRT($C$7)),"")</f>
        <v>1.418363337473428E-37</v>
      </c>
      <c r="S534" s="41">
        <f>IFERROR((_xll.qlBlackFormula(IF(O534&lt;$C$4,"Put","Call"),O534+$C$14,$C$4,$C$9*SQRT($C$7))-
2*_xll.qlBlackFormula(IF(O534&lt;$C$4,"Put","Call"),O534,$C$4,$C$9*SQRT($C$7))+
_xll.qlBlackFormula(IF(O534&lt;$C$4,"Put","Call"),O534-$C$14,$C$4,$C$9*SQRT($C$7)))/$C$14^2,"")</f>
        <v>1.6036036227747887E-2</v>
      </c>
      <c r="T534" s="42">
        <f>IFERROR((_xll.qlBlackFormula(IF(O534&lt;$C$4,"Put","Call"),O534+$C$14,$C$4,$C$10*SQRT($C$7),,$C$11)-
2*_xll.qlBlackFormula(IF(O534&lt;$C$4,"Put","Call"),O534,$C$4,$C$10*SQRT($C$7),,$C$11)+
_xll.qlBlackFormula(IF(O534&lt;$C$4,"Put","Call"),O534-$C$14,$C$4,$C$10*SQRT($C$7),,$C$11))/$C$14^2,"")</f>
        <v>4.9769189328076055E-5</v>
      </c>
      <c r="U534" s="43">
        <f>IFERROR((_xll.qlBachelierBlackFormula(IF(O534&lt;$C$4,"Put","Call"),O534+$C$14,$C$4,$C$12*SQRT($C$7))-
2*_xll.qlBachelierBlackFormula(IF(O534&lt;$C$4,"Put","Call"),O534,$C$4,$C$12*SQRT($C$7))+
_xll.qlBachelierBlackFormula(IF(O534&lt;$C$4,"Put","Call"),O534-$C$14,$C$4,$C$12*SQRT($C$7)))/$C$14^2,"")</f>
        <v>2.156589647437821E-30</v>
      </c>
      <c r="V534" s="61">
        <f>IFERROR(_xll.qlBachelierBlackFormulaImpliedVol(IF(O534&lt;$C$4,"Put","Call"),O534,$C$4,$C$7,P534),"")</f>
        <v>1.1056181960981909E-2</v>
      </c>
      <c r="W534" s="61">
        <f>IFERROR(_xll.qlBachelierBlackFormulaImpliedVol(IF(O534&lt;$C$4,"Put","Call"),O534,$C$4,$C$7,Q534),"")</f>
        <v>7.5811566370376461E-3</v>
      </c>
      <c r="X534" s="61">
        <f>IFERROR(_xll.qlBachelierBlackFormulaImpliedVol(IF(O534&lt;$C$4,"Put","Call"),O534,$C$4,$C$7,R534),"")</f>
        <v>4.9219749648106758E-3</v>
      </c>
      <c r="Y534" s="42"/>
    </row>
    <row r="535" spans="15:25">
      <c r="O535" s="37">
        <f t="shared" si="9"/>
        <v>4.3000000000000198E-2</v>
      </c>
      <c r="P535" s="38">
        <f>IFERROR(_xll.qlBlackFormula(IF(O535&lt;$C$4,"Put","Call"),O535,$C$4,$C$9*SQRT($C$7)),"")</f>
        <v>8.4810706231717231E-7</v>
      </c>
      <c r="Q535" s="39">
        <f>IFERROR(_xll.qlBlackFormula(IF(O535&lt;$C$4,"Put","Call"),O535,$C$4,$C$10*SQRT($C$7),,$C$11),"")</f>
        <v>3.9320439670917485E-10</v>
      </c>
      <c r="R535" s="40">
        <f>IFERROR(_xll.qlBachelierBlackFormula(IF(O535&lt;$C$4,"Put","Call"),O535,$C$4,$C$12*SQRT($C$7)),"")</f>
        <v>9.586597708043517E-38</v>
      </c>
      <c r="S535" s="41">
        <f>IFERROR((_xll.qlBlackFormula(IF(O535&lt;$C$4,"Put","Call"),O535+$C$14,$C$4,$C$9*SQRT($C$7))-
2*_xll.qlBlackFormula(IF(O535&lt;$C$4,"Put","Call"),O535,$C$4,$C$9*SQRT($C$7))+
_xll.qlBlackFormula(IF(O535&lt;$C$4,"Put","Call"),O535-$C$14,$C$4,$C$9*SQRT($C$7)))/$C$14^2,"")</f>
        <v>1.5785005308334866E-2</v>
      </c>
      <c r="T535" s="42">
        <f>IFERROR((_xll.qlBlackFormula(IF(O535&lt;$C$4,"Put","Call"),O535+$C$14,$C$4,$C$10*SQRT($C$7),,$C$11)-
2*_xll.qlBlackFormula(IF(O535&lt;$C$4,"Put","Call"),O535,$C$4,$C$10*SQRT($C$7),,$C$11)+
_xll.qlBlackFormula(IF(O535&lt;$C$4,"Put","Call"),O535-$C$14,$C$4,$C$10*SQRT($C$7),,$C$11))/$C$14^2,"")</f>
        <v>4.5471570801195574E-5</v>
      </c>
      <c r="U535" s="43">
        <f>IFERROR((_xll.qlBachelierBlackFormula(IF(O535&lt;$C$4,"Put","Call"),O535+$C$14,$C$4,$C$12*SQRT($C$7))-
2*_xll.qlBachelierBlackFormula(IF(O535&lt;$C$4,"Put","Call"),O535,$C$4,$C$12*SQRT($C$7))+
_xll.qlBachelierBlackFormula(IF(O535&lt;$C$4,"Put","Call"),O535-$C$14,$C$4,$C$12*SQRT($C$7)))/$C$14^2,"")</f>
        <v>1.4651719147263059E-30</v>
      </c>
      <c r="V535" s="61">
        <f>IFERROR(_xll.qlBachelierBlackFormulaImpliedVol(IF(O535&lt;$C$4,"Put","Call"),O535,$C$4,$C$7,P535),"")</f>
        <v>1.1073372584556528E-2</v>
      </c>
      <c r="W535" s="61">
        <f>IFERROR(_xll.qlBachelierBlackFormulaImpliedVol(IF(O535&lt;$C$4,"Put","Call"),O535,$C$4,$C$7,Q535),"")</f>
        <v>7.5910553690653323E-3</v>
      </c>
      <c r="X535" s="61">
        <f>IFERROR(_xll.qlBachelierBlackFormulaImpliedVol(IF(O535&lt;$C$4,"Put","Call"),O535,$C$4,$C$7,R535),"")</f>
        <v>4.9349617061426303E-3</v>
      </c>
      <c r="Y535" s="42"/>
    </row>
    <row r="536" spans="15:25">
      <c r="O536" s="37">
        <f t="shared" si="9"/>
        <v>4.3100000000000201E-2</v>
      </c>
      <c r="P536" s="38">
        <f>IFERROR(_xll.qlBlackFormula(IF(O536&lt;$C$4,"Put","Call"),O536,$C$4,$C$9*SQRT($C$7)),"")</f>
        <v>8.3719661435646704E-7</v>
      </c>
      <c r="Q536" s="39">
        <f>IFERROR(_xll.qlBlackFormula(IF(O536&lt;$C$4,"Put","Call"),O536,$C$4,$C$10*SQRT($C$7),,$C$11),"")</f>
        <v>3.7992320818800141E-10</v>
      </c>
      <c r="R536" s="40">
        <f>IFERROR(_xll.qlBachelierBlackFormula(IF(O536&lt;$C$4,"Put","Call"),O536,$C$4,$C$12*SQRT($C$7)),"")</f>
        <v>6.4729881842070471E-38</v>
      </c>
      <c r="S536" s="41">
        <f>IFERROR((_xll.qlBlackFormula(IF(O536&lt;$C$4,"Put","Call"),O536+$C$14,$C$4,$C$9*SQRT($C$7))-
2*_xll.qlBlackFormula(IF(O536&lt;$C$4,"Put","Call"),O536,$C$4,$C$9*SQRT($C$7))+
_xll.qlBlackFormula(IF(O536&lt;$C$4,"Put","Call"),O536-$C$14,$C$4,$C$9*SQRT($C$7)))/$C$14^2,"")</f>
        <v>1.5537082152805321E-2</v>
      </c>
      <c r="T536" s="42">
        <f>IFERROR((_xll.qlBlackFormula(IF(O536&lt;$C$4,"Put","Call"),O536+$C$14,$C$4,$C$10*SQRT($C$7),,$C$11)-
2*_xll.qlBlackFormula(IF(O536&lt;$C$4,"Put","Call"),O536,$C$4,$C$10*SQRT($C$7),,$C$11)+
_xll.qlBlackFormula(IF(O536&lt;$C$4,"Put","Call"),O536-$C$14,$C$4,$C$10*SQRT($C$7),,$C$11))/$C$14^2,"")</f>
        <v>4.4199199101424673E-5</v>
      </c>
      <c r="U536" s="43">
        <f>IFERROR((_xll.qlBachelierBlackFormula(IF(O536&lt;$C$4,"Put","Call"),O536+$C$14,$C$4,$C$12*SQRT($C$7))-
2*_xll.qlBachelierBlackFormula(IF(O536&lt;$C$4,"Put","Call"),O536,$C$4,$C$12*SQRT($C$7))+
_xll.qlBachelierBlackFormula(IF(O536&lt;$C$4,"Put","Call"),O536-$C$14,$C$4,$C$12*SQRT($C$7)))/$C$14^2,"")</f>
        <v>9.9441413515823206E-31</v>
      </c>
      <c r="V536" s="61">
        <f>IFERROR(_xll.qlBachelierBlackFormulaImpliedVol(IF(O536&lt;$C$4,"Put","Call"),O536,$C$4,$C$7,P536),"")</f>
        <v>1.1090553941954307E-2</v>
      </c>
      <c r="W536" s="61">
        <f>IFERROR(_xll.qlBachelierBlackFormulaImpliedVol(IF(O536&lt;$C$4,"Put","Call"),O536,$C$4,$C$7,Q536),"")</f>
        <v>7.6009488270079723E-3</v>
      </c>
      <c r="X536" s="61">
        <f>IFERROR(_xll.qlBachelierBlackFormulaImpliedVol(IF(O536&lt;$C$4,"Put","Call"),O536,$C$4,$C$7,R536),"")</f>
        <v>4.9479484474745841E-3</v>
      </c>
      <c r="Y536" s="42"/>
    </row>
    <row r="537" spans="15:25">
      <c r="O537" s="37">
        <f t="shared" si="9"/>
        <v>4.3200000000000204E-2</v>
      </c>
      <c r="P537" s="38">
        <f>IFERROR(_xll.qlBlackFormula(IF(O537&lt;$C$4,"Put","Call"),O537,$C$4,$C$9*SQRT($C$7)),"")</f>
        <v>8.2644152822784013E-7</v>
      </c>
      <c r="Q537" s="39">
        <f>IFERROR(_xll.qlBlackFormula(IF(O537&lt;$C$4,"Put","Call"),O537,$C$4,$C$10*SQRT($C$7),,$C$11),"")</f>
        <v>3.6710176503082738E-10</v>
      </c>
      <c r="R537" s="40">
        <f>IFERROR(_xll.qlBachelierBlackFormula(IF(O537&lt;$C$4,"Put","Call"),O537,$C$4,$C$12*SQRT($C$7)),"")</f>
        <v>4.3662480280707067E-38</v>
      </c>
      <c r="S537" s="41">
        <f>IFERROR((_xll.qlBlackFormula(IF(O537&lt;$C$4,"Put","Call"),O537+$C$14,$C$4,$C$9*SQRT($C$7))-
2*_xll.qlBlackFormula(IF(O537&lt;$C$4,"Put","Call"),O537,$C$4,$C$9*SQRT($C$7))+
_xll.qlBlackFormula(IF(O537&lt;$C$4,"Put","Call"),O537-$C$14,$C$4,$C$9*SQRT($C$7)))/$C$14^2,"")</f>
        <v>1.5292409062694391E-2</v>
      </c>
      <c r="T537" s="42">
        <f>IFERROR((_xll.qlBlackFormula(IF(O537&lt;$C$4,"Put","Call"),O537+$C$14,$C$4,$C$10*SQRT($C$7),,$C$11)-
2*_xll.qlBlackFormula(IF(O537&lt;$C$4,"Put","Call"),O537,$C$4,$C$10*SQRT($C$7),,$C$11)+
_xll.qlBlackFormula(IF(O537&lt;$C$4,"Put","Call"),O537-$C$14,$C$4,$C$10*SQRT($C$7),,$C$11))/$C$14^2,"")</f>
        <v>4.1506298555187875E-5</v>
      </c>
      <c r="U537" s="43">
        <f>IFERROR((_xll.qlBachelierBlackFormula(IF(O537&lt;$C$4,"Put","Call"),O537+$C$14,$C$4,$C$12*SQRT($C$7))-
2*_xll.qlBachelierBlackFormula(IF(O537&lt;$C$4,"Put","Call"),O537,$C$4,$C$12*SQRT($C$7))+
_xll.qlBachelierBlackFormula(IF(O537&lt;$C$4,"Put","Call"),O537-$C$14,$C$4,$C$12*SQRT($C$7)))/$C$14^2,"")</f>
        <v>6.7422309163013796E-31</v>
      </c>
      <c r="V537" s="61">
        <f>IFERROR(_xll.qlBachelierBlackFormulaImpliedVol(IF(O537&lt;$C$4,"Put","Call"),O537,$C$4,$C$7,P537),"")</f>
        <v>1.1107726063171027E-2</v>
      </c>
      <c r="W537" s="61">
        <f>IFERROR(_xll.qlBachelierBlackFormulaImpliedVol(IF(O537&lt;$C$4,"Put","Call"),O537,$C$4,$C$7,Q537),"")</f>
        <v>7.6108370247904185E-3</v>
      </c>
      <c r="X537" s="61">
        <f>IFERROR(_xll.qlBachelierBlackFormulaImpliedVol(IF(O537&lt;$C$4,"Put","Call"),O537,$C$4,$C$7,R537),"")</f>
        <v>4.9609351888065386E-3</v>
      </c>
      <c r="Y537" s="42"/>
    </row>
    <row r="538" spans="15:25">
      <c r="O538" s="37">
        <f t="shared" si="9"/>
        <v>4.3300000000000206E-2</v>
      </c>
      <c r="P538" s="38">
        <f>IFERROR(_xll.qlBlackFormula(IF(O538&lt;$C$4,"Put","Call"),O538,$C$4,$C$9*SQRT($C$7)),"")</f>
        <v>8.1583937233212837E-7</v>
      </c>
      <c r="Q538" s="39">
        <f>IFERROR(_xll.qlBlackFormula(IF(O538&lt;$C$4,"Put","Call"),O538,$C$4,$C$10*SQRT($C$7),,$C$11),"")</f>
        <v>3.5472376950782323E-10</v>
      </c>
      <c r="R538" s="40">
        <f>IFERROR(_xll.qlBachelierBlackFormula(IF(O538&lt;$C$4,"Put","Call"),O538,$C$4,$C$12*SQRT($C$7)),"")</f>
        <v>2.9422206542069821E-38</v>
      </c>
      <c r="S538" s="41">
        <f>IFERROR((_xll.qlBlackFormula(IF(O538&lt;$C$4,"Put","Call"),O538+$C$14,$C$4,$C$9*SQRT($C$7))-
2*_xll.qlBlackFormula(IF(O538&lt;$C$4,"Put","Call"),O538,$C$4,$C$9*SQRT($C$7))+
_xll.qlBlackFormula(IF(O538&lt;$C$4,"Put","Call"),O538-$C$14,$C$4,$C$9*SQRT($C$7)))/$C$14^2,"")</f>
        <v>1.5054002322327249E-2</v>
      </c>
      <c r="T538" s="42">
        <f>IFERROR((_xll.qlBlackFormula(IF(O538&lt;$C$4,"Put","Call"),O538+$C$14,$C$4,$C$10*SQRT($C$7),,$C$11)-
2*_xll.qlBlackFormula(IF(O538&lt;$C$4,"Put","Call"),O538,$C$4,$C$10*SQRT($C$7),,$C$11)+
_xll.qlBlackFormula(IF(O538&lt;$C$4,"Put","Call"),O538-$C$14,$C$4,$C$10*SQRT($C$7),,$C$11))/$C$14^2,"")</f>
        <v>4.1274205737375912E-5</v>
      </c>
      <c r="U538" s="43">
        <f>IFERROR((_xll.qlBachelierBlackFormula(IF(O538&lt;$C$4,"Put","Call"),O538+$C$14,$C$4,$C$12*SQRT($C$7))-
2*_xll.qlBachelierBlackFormula(IF(O538&lt;$C$4,"Put","Call"),O538,$C$4,$C$12*SQRT($C$7))+
_xll.qlBachelierBlackFormula(IF(O538&lt;$C$4,"Put","Call"),O538-$C$14,$C$4,$C$12*SQRT($C$7)))/$C$14^2,"")</f>
        <v>4.5666485386872905E-31</v>
      </c>
      <c r="V538" s="61">
        <f>IFERROR(_xll.qlBachelierBlackFormulaImpliedVol(IF(O538&lt;$C$4,"Put","Call"),O538,$C$4,$C$7,P538),"")</f>
        <v>1.1124888978023415E-2</v>
      </c>
      <c r="W538" s="61">
        <f>IFERROR(_xll.qlBachelierBlackFormulaImpliedVol(IF(O538&lt;$C$4,"Put","Call"),O538,$C$4,$C$7,Q538),"")</f>
        <v>7.6207199783462475E-3</v>
      </c>
      <c r="X538" s="61">
        <f>IFERROR(_xll.qlBachelierBlackFormulaImpliedVol(IF(O538&lt;$C$4,"Put","Call"),O538,$C$4,$C$7,R538),"")</f>
        <v>4.9739219301384941E-3</v>
      </c>
      <c r="Y538" s="42"/>
    </row>
    <row r="539" spans="15:25">
      <c r="O539" s="37">
        <f t="shared" si="9"/>
        <v>4.3400000000000209E-2</v>
      </c>
      <c r="P539" s="38">
        <f>IFERROR(_xll.qlBlackFormula(IF(O539&lt;$C$4,"Put","Call"),O539,$C$4,$C$9*SQRT($C$7)),"")</f>
        <v>8.0538775664010873E-7</v>
      </c>
      <c r="Q539" s="39">
        <f>IFERROR(_xll.qlBlackFormula(IF(O539&lt;$C$4,"Put","Call"),O539,$C$4,$C$10*SQRT($C$7),,$C$11),"")</f>
        <v>3.4277351392828297E-10</v>
      </c>
      <c r="R539" s="40">
        <f>IFERROR(_xll.qlBachelierBlackFormula(IF(O539&lt;$C$4,"Put","Call"),O539,$C$4,$C$12*SQRT($C$7)),"")</f>
        <v>1.9806388739671052E-38</v>
      </c>
      <c r="S539" s="41">
        <f>IFERROR((_xll.qlBlackFormula(IF(O539&lt;$C$4,"Put","Call"),O539+$C$14,$C$4,$C$9*SQRT($C$7))-
2*_xll.qlBlackFormula(IF(O539&lt;$C$4,"Put","Call"),O539,$C$4,$C$9*SQRT($C$7))+
_xll.qlBlackFormula(IF(O539&lt;$C$4,"Put","Call"),O539-$C$14,$C$4,$C$9*SQRT($C$7)))/$C$14^2,"")</f>
        <v>1.4819078581439216E-2</v>
      </c>
      <c r="T539" s="42">
        <f>IFERROR((_xll.qlBlackFormula(IF(O539&lt;$C$4,"Put","Call"),O539+$C$14,$C$4,$C$10*SQRT($C$7),,$C$11)-
2*_xll.qlBlackFormula(IF(O539&lt;$C$4,"Put","Call"),O539,$C$4,$C$10*SQRT($C$7),,$C$11)+
_xll.qlBlackFormula(IF(O539&lt;$C$4,"Put","Call"),O539-$C$14,$C$4,$C$10*SQRT($C$7),,$C$11))/$C$14^2,"")</f>
        <v>3.970157574705438E-5</v>
      </c>
      <c r="U539" s="43">
        <f>IFERROR((_xll.qlBachelierBlackFormula(IF(O539&lt;$C$4,"Put","Call"),O539+$C$14,$C$4,$C$12*SQRT($C$7))-
2*_xll.qlBachelierBlackFormula(IF(O539&lt;$C$4,"Put","Call"),O539,$C$4,$C$12*SQRT($C$7))+
_xll.qlBachelierBlackFormula(IF(O539&lt;$C$4,"Put","Call"),O539-$C$14,$C$4,$C$12*SQRT($C$7)))/$C$14^2,"")</f>
        <v>3.0899338619180979E-31</v>
      </c>
      <c r="V539" s="61">
        <f>IFERROR(_xll.qlBachelierBlackFormulaImpliedVol(IF(O539&lt;$C$4,"Put","Call"),O539,$C$4,$C$7,P539),"")</f>
        <v>1.1142042716175428E-2</v>
      </c>
      <c r="W539" s="61">
        <f>IFERROR(_xll.qlBachelierBlackFormulaImpliedVol(IF(O539&lt;$C$4,"Put","Call"),O539,$C$4,$C$7,Q539),"")</f>
        <v>7.6305976989616926E-3</v>
      </c>
      <c r="X539" s="61">
        <f>IFERROR(_xll.qlBachelierBlackFormulaImpliedVol(IF(O539&lt;$C$4,"Put","Call"),O539,$C$4,$C$7,R539),"")</f>
        <v>4.9869086714704487E-3</v>
      </c>
      <c r="Y539" s="42"/>
    </row>
    <row r="540" spans="15:25">
      <c r="O540" s="37">
        <f t="shared" si="9"/>
        <v>4.3500000000000212E-2</v>
      </c>
      <c r="P540" s="38">
        <f>IFERROR(_xll.qlBlackFormula(IF(O540&lt;$C$4,"Put","Call"),O540,$C$4,$C$9*SQRT($C$7)),"")</f>
        <v>7.9508433191333809E-7</v>
      </c>
      <c r="Q540" s="39">
        <f>IFERROR(_xll.qlBlackFormula(IF(O540&lt;$C$4,"Put","Call"),O540,$C$4,$C$10*SQRT($C$7),,$C$11),"")</f>
        <v>3.3123586412606576E-10</v>
      </c>
      <c r="R540" s="40">
        <f>IFERROR(_xll.qlBachelierBlackFormula(IF(O540&lt;$C$4,"Put","Call"),O540,$C$4,$C$12*SQRT($C$7)),"")</f>
        <v>1.3319825996103886E-38</v>
      </c>
      <c r="S540" s="41">
        <f>IFERROR((_xll.qlBlackFormula(IF(O540&lt;$C$4,"Put","Call"),O540+$C$14,$C$4,$C$9*SQRT($C$7))-
2*_xll.qlBlackFormula(IF(O540&lt;$C$4,"Put","Call"),O540,$C$4,$C$9*SQRT($C$7))+
_xll.qlBlackFormula(IF(O540&lt;$C$4,"Put","Call"),O540-$C$14,$C$4,$C$9*SQRT($C$7)))/$C$14^2,"")</f>
        <v>1.4589670719103703E-2</v>
      </c>
      <c r="T540" s="42">
        <f>IFERROR((_xll.qlBlackFormula(IF(O540&lt;$C$4,"Put","Call"),O540+$C$14,$C$4,$C$10*SQRT($C$7),,$C$11)-
2*_xll.qlBlackFormula(IF(O540&lt;$C$4,"Put","Call"),O540,$C$4,$C$10*SQRT($C$7),,$C$11)+
_xll.qlBlackFormula(IF(O540&lt;$C$4,"Put","Call"),O540-$C$14,$C$4,$C$10*SQRT($C$7),,$C$11))/$C$14^2,"")</f>
        <v>4.0014879503045581E-5</v>
      </c>
      <c r="U540" s="43">
        <f>IFERROR((_xll.qlBachelierBlackFormula(IF(O540&lt;$C$4,"Put","Call"),O540+$C$14,$C$4,$C$12*SQRT($C$7))-
2*_xll.qlBachelierBlackFormula(IF(O540&lt;$C$4,"Put","Call"),O540,$C$4,$C$12*SQRT($C$7))+
_xll.qlBachelierBlackFormula(IF(O540&lt;$C$4,"Put","Call"),O540-$C$14,$C$4,$C$12*SQRT($C$7)))/$C$14^2,"")</f>
        <v>2.0886150841466668E-31</v>
      </c>
      <c r="V540" s="61">
        <f>IFERROR(_xll.qlBachelierBlackFormulaImpliedVol(IF(O540&lt;$C$4,"Put","Call"),O540,$C$4,$C$7,P540),"")</f>
        <v>1.1159187307120667E-2</v>
      </c>
      <c r="W540" s="61">
        <f>IFERROR(_xll.qlBachelierBlackFormulaImpliedVol(IF(O540&lt;$C$4,"Put","Call"),O540,$C$4,$C$7,Q540),"")</f>
        <v>7.6404702084552642E-3</v>
      </c>
      <c r="X540" s="61">
        <f>IFERROR(_xll.qlBachelierBlackFormulaImpliedVol(IF(O540&lt;$C$4,"Put","Call"),O540,$C$4,$C$7,R540),"")</f>
        <v>4.9998954128024024E-3</v>
      </c>
      <c r="Y540" s="42"/>
    </row>
    <row r="541" spans="15:25">
      <c r="O541" s="37">
        <f t="shared" si="9"/>
        <v>4.3600000000000215E-2</v>
      </c>
      <c r="P541" s="38">
        <f>IFERROR(_xll.qlBlackFormula(IF(O541&lt;$C$4,"Put","Call"),O541,$C$4,$C$9*SQRT($C$7)),"")</f>
        <v>7.8492678894829327E-7</v>
      </c>
      <c r="Q541" s="39">
        <f>IFERROR(_xll.qlBlackFormula(IF(O541&lt;$C$4,"Put","Call"),O541,$C$4,$C$10*SQRT($C$7),,$C$11),"")</f>
        <v>3.2009622924486942E-10</v>
      </c>
      <c r="R541" s="40">
        <f>IFERROR(_xll.qlBachelierBlackFormula(IF(O541&lt;$C$4,"Put","Call"),O541,$C$4,$C$12*SQRT($C$7)),"")</f>
        <v>8.9485974288848874E-39</v>
      </c>
      <c r="S541" s="41">
        <f>IFERROR((_xll.qlBlackFormula(IF(O541&lt;$C$4,"Put","Call"),O541+$C$14,$C$4,$C$9*SQRT($C$7))-
2*_xll.qlBlackFormula(IF(O541&lt;$C$4,"Put","Call"),O541,$C$4,$C$9*SQRT($C$7))+
_xll.qlBlackFormula(IF(O541&lt;$C$4,"Put","Call"),O541-$C$14,$C$4,$C$9*SQRT($C$7)))/$C$14^2,"")</f>
        <v>1.4361881536730393E-2</v>
      </c>
      <c r="T541" s="42">
        <f>IFERROR((_xll.qlBlackFormula(IF(O541&lt;$C$4,"Put","Call"),O541+$C$14,$C$4,$C$10*SQRT($C$7),,$C$11)-
2*_xll.qlBlackFormula(IF(O541&lt;$C$4,"Put","Call"),O541,$C$4,$C$10*SQRT($C$7),,$C$11)+
_xll.qlBlackFormula(IF(O541&lt;$C$4,"Put","Call"),O541-$C$14,$C$4,$C$10*SQRT($C$7),,$C$11))/$C$14^2,"")</f>
        <v>3.9989679445684149E-5</v>
      </c>
      <c r="U541" s="43">
        <f>IFERROR((_xll.qlBachelierBlackFormula(IF(O541&lt;$C$4,"Put","Call"),O541+$C$14,$C$4,$C$12*SQRT($C$7))-
2*_xll.qlBachelierBlackFormula(IF(O541&lt;$C$4,"Put","Call"),O541,$C$4,$C$12*SQRT($C$7))+
_xll.qlBachelierBlackFormula(IF(O541&lt;$C$4,"Put","Call"),O541-$C$14,$C$4,$C$12*SQRT($C$7)))/$C$14^2,"")</f>
        <v>1.4103446970806834E-31</v>
      </c>
      <c r="V541" s="61">
        <f>IFERROR(_xll.qlBachelierBlackFormulaImpliedVol(IF(O541&lt;$C$4,"Put","Call"),O541,$C$4,$C$7,P541),"")</f>
        <v>1.1176322780179935E-2</v>
      </c>
      <c r="W541" s="61">
        <f>IFERROR(_xll.qlBachelierBlackFormulaImpliedVol(IF(O541&lt;$C$4,"Put","Call"),O541,$C$4,$C$7,Q541),"")</f>
        <v>7.6503375185921077E-3</v>
      </c>
      <c r="X541" s="61">
        <f>IFERROR(_xll.qlBachelierBlackFormulaImpliedVol(IF(O541&lt;$C$4,"Put","Call"),O541,$C$4,$C$7,R541),"")</f>
        <v>5.0128821541343578E-3</v>
      </c>
      <c r="Y541" s="42"/>
    </row>
    <row r="542" spans="15:25">
      <c r="O542" s="37">
        <f t="shared" si="9"/>
        <v>4.3700000000000218E-2</v>
      </c>
      <c r="P542" s="38">
        <f>IFERROR(_xll.qlBlackFormula(IF(O542&lt;$C$4,"Put","Call"),O542,$C$4,$C$9*SQRT($C$7)),"")</f>
        <v>7.7491285783953367E-7</v>
      </c>
      <c r="Q542" s="39">
        <f>IFERROR(_xll.qlBlackFormula(IF(O542&lt;$C$4,"Put","Call"),O542,$C$4,$C$10*SQRT($C$7),,$C$11),"")</f>
        <v>3.0934055095241892E-10</v>
      </c>
      <c r="R542" s="40">
        <f>IFERROR(_xll.qlBachelierBlackFormula(IF(O542&lt;$C$4,"Put","Call"),O542,$C$4,$C$12*SQRT($C$7)),"")</f>
        <v>6.0058506733208247E-39</v>
      </c>
      <c r="S542" s="41">
        <f>IFERROR((_xll.qlBlackFormula(IF(O542&lt;$C$4,"Put","Call"),O542+$C$14,$C$4,$C$9*SQRT($C$7))-
2*_xll.qlBlackFormula(IF(O542&lt;$C$4,"Put","Call"),O542,$C$4,$C$9*SQRT($C$7))+
_xll.qlBlackFormula(IF(O542&lt;$C$4,"Put","Call"),O542-$C$14,$C$4,$C$9*SQRT($C$7)))/$C$14^2,"")</f>
        <v>1.4135332410591863E-2</v>
      </c>
      <c r="T542" s="42">
        <f>IFERROR((_xll.qlBlackFormula(IF(O542&lt;$C$4,"Put","Call"),O542+$C$14,$C$4,$C$10*SQRT($C$7),,$C$11)-
2*_xll.qlBlackFormula(IF(O542&lt;$C$4,"Put","Call"),O542,$C$4,$C$10*SQRT($C$7),,$C$11)+
_xll.qlBlackFormula(IF(O542&lt;$C$4,"Put","Call"),O542-$C$14,$C$4,$C$10*SQRT($C$7),,$C$11))/$C$14^2,"")</f>
        <v>3.5880520786484076E-5</v>
      </c>
      <c r="U542" s="43">
        <f>IFERROR((_xll.qlBachelierBlackFormula(IF(O542&lt;$C$4,"Put","Call"),O542+$C$14,$C$4,$C$12*SQRT($C$7))-
2*_xll.qlBachelierBlackFormula(IF(O542&lt;$C$4,"Put","Call"),O542,$C$4,$C$12*SQRT($C$7))+
_xll.qlBachelierBlackFormula(IF(O542&lt;$C$4,"Put","Call"),O542-$C$14,$C$4,$C$12*SQRT($C$7)))/$C$14^2,"")</f>
        <v>9.513706720583466E-32</v>
      </c>
      <c r="V542" s="61">
        <f>IFERROR(_xll.qlBachelierBlackFormulaImpliedVol(IF(O542&lt;$C$4,"Put","Call"),O542,$C$4,$C$7,P542),"")</f>
        <v>1.1193449164523191E-2</v>
      </c>
      <c r="W542" s="61">
        <f>IFERROR(_xll.qlBachelierBlackFormulaImpliedVol(IF(O542&lt;$C$4,"Put","Call"),O542,$C$4,$C$7,Q542),"")</f>
        <v>7.6601996440937674E-3</v>
      </c>
      <c r="X542" s="61">
        <f>IFERROR(_xll.qlBachelierBlackFormulaImpliedVol(IF(O542&lt;$C$4,"Put","Call"),O542,$C$4,$C$7,R542),"")</f>
        <v>5.0258688954663124E-3</v>
      </c>
      <c r="Y542" s="42"/>
    </row>
    <row r="543" spans="15:25">
      <c r="O543" s="37">
        <f t="shared" si="9"/>
        <v>4.3800000000000221E-2</v>
      </c>
      <c r="P543" s="38">
        <f>IFERROR(_xll.qlBlackFormula(IF(O543&lt;$C$4,"Put","Call"),O543,$C$4,$C$9*SQRT($C$7)),"")</f>
        <v>7.6504030724917685E-7</v>
      </c>
      <c r="Q543" s="39">
        <f>IFERROR(_xll.qlBlackFormula(IF(O543&lt;$C$4,"Put","Call"),O543,$C$4,$C$10*SQRT($C$7),,$C$11),"")</f>
        <v>2.9895527249299518E-10</v>
      </c>
      <c r="R543" s="40">
        <f>IFERROR(_xll.qlBachelierBlackFormula(IF(O543&lt;$C$4,"Put","Call"),O543,$C$4,$C$12*SQRT($C$7)),"")</f>
        <v>4.0267734974105606E-39</v>
      </c>
      <c r="S543" s="41">
        <f>IFERROR((_xll.qlBlackFormula(IF(O543&lt;$C$4,"Put","Call"),O543+$C$14,$C$4,$C$9*SQRT($C$7))-
2*_xll.qlBlackFormula(IF(O543&lt;$C$4,"Put","Call"),O543,$C$4,$C$9*SQRT($C$7))+
_xll.qlBlackFormula(IF(O543&lt;$C$4,"Put","Call"),O543-$C$14,$C$4,$C$9*SQRT($C$7)))/$C$14^2,"")</f>
        <v>1.3917223120739775E-2</v>
      </c>
      <c r="T543" s="42">
        <f>IFERROR((_xll.qlBlackFormula(IF(O543&lt;$C$4,"Put","Call"),O543+$C$14,$C$4,$C$10*SQRT($C$7),,$C$11)-
2*_xll.qlBlackFormula(IF(O543&lt;$C$4,"Put","Call"),O543,$C$4,$C$10*SQRT($C$7),,$C$11)+
_xll.qlBlackFormula(IF(O543&lt;$C$4,"Put","Call"),O543-$C$14,$C$4,$C$10*SQRT($C$7),,$C$11))/$C$14^2,"")</f>
        <v>3.522221488624804E-5</v>
      </c>
      <c r="U543" s="43">
        <f>IFERROR((_xll.qlBachelierBlackFormula(IF(O543&lt;$C$4,"Put","Call"),O543+$C$14,$C$4,$C$12*SQRT($C$7))-
2*_xll.qlBachelierBlackFormula(IF(O543&lt;$C$4,"Put","Call"),O543,$C$4,$C$12*SQRT($C$7))+
_xll.qlBachelierBlackFormula(IF(O543&lt;$C$4,"Put","Call"),O543-$C$14,$C$4,$C$12*SQRT($C$7)))/$C$14^2,"")</f>
        <v>6.4110901157002445E-32</v>
      </c>
      <c r="V543" s="61">
        <f>IFERROR(_xll.qlBachelierBlackFormulaImpliedVol(IF(O543&lt;$C$4,"Put","Call"),O543,$C$4,$C$7,P543),"")</f>
        <v>1.1210566489148515E-2</v>
      </c>
      <c r="W543" s="61">
        <f>IFERROR(_xll.qlBachelierBlackFormulaImpliedVol(IF(O543&lt;$C$4,"Put","Call"),O543,$C$4,$C$7,Q543),"")</f>
        <v>7.6700566039597127E-3</v>
      </c>
      <c r="X543" s="61">
        <f>IFERROR(_xll.qlBachelierBlackFormulaImpliedVol(IF(O543&lt;$C$4,"Put","Call"),O543,$C$4,$C$7,R543),"")</f>
        <v>5.038855636798267E-3</v>
      </c>
      <c r="Y543" s="42"/>
    </row>
    <row r="544" spans="15:25">
      <c r="O544" s="37">
        <f t="shared" si="9"/>
        <v>4.3900000000000224E-2</v>
      </c>
      <c r="P544" s="38">
        <f>IFERROR(_xll.qlBlackFormula(IF(O544&lt;$C$4,"Put","Call"),O544,$C$4,$C$9*SQRT($C$7)),"")</f>
        <v>7.5530694370000209E-7</v>
      </c>
      <c r="Q544" s="39">
        <f>IFERROR(_xll.qlBlackFormula(IF(O544&lt;$C$4,"Put","Call"),O544,$C$4,$C$10*SQRT($C$7),,$C$11),"")</f>
        <v>2.8892733279770645E-10</v>
      </c>
      <c r="R544" s="40">
        <f>IFERROR(_xll.qlBachelierBlackFormula(IF(O544&lt;$C$4,"Put","Call"),O544,$C$4,$C$12*SQRT($C$7)),"")</f>
        <v>2.6971367047008955E-39</v>
      </c>
      <c r="S544" s="41">
        <f>IFERROR((_xll.qlBlackFormula(IF(O544&lt;$C$4,"Put","Call"),O544+$C$14,$C$4,$C$9*SQRT($C$7))-
2*_xll.qlBlackFormula(IF(O544&lt;$C$4,"Put","Call"),O544,$C$4,$C$9*SQRT($C$7))+
_xll.qlBlackFormula(IF(O544&lt;$C$4,"Put","Call"),O544-$C$14,$C$4,$C$9*SQRT($C$7)))/$C$14^2,"")</f>
        <v>1.3703403205732583E-2</v>
      </c>
      <c r="T544" s="42">
        <f>IFERROR((_xll.qlBlackFormula(IF(O544&lt;$C$4,"Put","Call"),O544+$C$14,$C$4,$C$10*SQRT($C$7),,$C$11)-
2*_xll.qlBlackFormula(IF(O544&lt;$C$4,"Put","Call"),O544,$C$4,$C$10*SQRT($C$7),,$C$11)+
_xll.qlBlackFormula(IF(O544&lt;$C$4,"Put","Call"),O544-$C$14,$C$4,$C$10*SQRT($C$7),,$C$11))/$C$14^2,"")</f>
        <v>3.6978530257754315E-5</v>
      </c>
      <c r="U544" s="43">
        <f>IFERROR((_xll.qlBachelierBlackFormula(IF(O544&lt;$C$4,"Put","Call"),O544+$C$14,$C$4,$C$12*SQRT($C$7))-
2*_xll.qlBachelierBlackFormula(IF(O544&lt;$C$4,"Put","Call"),O544,$C$4,$C$12*SQRT($C$7))+
_xll.qlBachelierBlackFormula(IF(O544&lt;$C$4,"Put","Call"),O544-$C$14,$C$4,$C$12*SQRT($C$7)))/$C$14^2,"")</f>
        <v>4.315902592879917E-32</v>
      </c>
      <c r="V544" s="61">
        <f>IFERROR(_xll.qlBachelierBlackFormulaImpliedVol(IF(O544&lt;$C$4,"Put","Call"),O544,$C$4,$C$7,P544),"")</f>
        <v>1.1227674782897625E-2</v>
      </c>
      <c r="W544" s="61">
        <f>IFERROR(_xll.qlBachelierBlackFormulaImpliedVol(IF(O544&lt;$C$4,"Put","Call"),O544,$C$4,$C$7,Q544),"")</f>
        <v>7.6799084077934501E-3</v>
      </c>
      <c r="X544" s="61">
        <f>IFERROR(_xll.qlBachelierBlackFormulaImpliedVol(IF(O544&lt;$C$4,"Put","Call"),O544,$C$4,$C$7,R544),"")</f>
        <v>5.0518423781302207E-3</v>
      </c>
      <c r="Y544" s="42"/>
    </row>
    <row r="545" spans="15:25">
      <c r="O545" s="37">
        <f t="shared" si="9"/>
        <v>4.4000000000000226E-2</v>
      </c>
      <c r="P545" s="38">
        <f>IFERROR(_xll.qlBlackFormula(IF(O545&lt;$C$4,"Put","Call"),O545,$C$4,$C$9*SQRT($C$7)),"")</f>
        <v>7.4571061087267482E-7</v>
      </c>
      <c r="Q545" s="39">
        <f>IFERROR(_xll.qlBlackFormula(IF(O545&lt;$C$4,"Put","Call"),O545,$C$4,$C$10*SQRT($C$7),,$C$11),"")</f>
        <v>2.792441420318209E-10</v>
      </c>
      <c r="R545" s="40">
        <f>IFERROR(_xll.qlBachelierBlackFormula(IF(O545&lt;$C$4,"Put","Call"),O545,$C$4,$C$12*SQRT($C$7)),"")</f>
        <v>1.8047280833290112E-39</v>
      </c>
      <c r="S545" s="41">
        <f>IFERROR((_xll.qlBlackFormula(IF(O545&lt;$C$4,"Put","Call"),O545+$C$14,$C$4,$C$9*SQRT($C$7))-
2*_xll.qlBlackFormula(IF(O545&lt;$C$4,"Put","Call"),O545,$C$4,$C$9*SQRT($C$7))+
_xll.qlBlackFormula(IF(O545&lt;$C$4,"Put","Call"),O545-$C$14,$C$4,$C$9*SQRT($C$7)))/$C$14^2,"")</f>
        <v>1.3490815723663646E-2</v>
      </c>
      <c r="T545" s="42">
        <f>IFERROR((_xll.qlBlackFormula(IF(O545&lt;$C$4,"Put","Call"),O545+$C$14,$C$4,$C$10*SQRT($C$7),,$C$11)-
2*_xll.qlBlackFormula(IF(O545&lt;$C$4,"Put","Call"),O545,$C$4,$C$10*SQRT($C$7),,$C$11)+
_xll.qlBlackFormula(IF(O545&lt;$C$4,"Put","Call"),O545-$C$14,$C$4,$C$10*SQRT($C$7),,$C$11))/$C$14^2,"")</f>
        <v>3.0210279578313714E-5</v>
      </c>
      <c r="U545" s="43">
        <f>IFERROR((_xll.qlBachelierBlackFormula(IF(O545&lt;$C$4,"Put","Call"),O545+$C$14,$C$4,$C$12*SQRT($C$7))-
2*_xll.qlBachelierBlackFormula(IF(O545&lt;$C$4,"Put","Call"),O545,$C$4,$C$12*SQRT($C$7))+
_xll.qlBachelierBlackFormula(IF(O545&lt;$C$4,"Put","Call"),O545-$C$14,$C$4,$C$12*SQRT($C$7)))/$C$14^2,"")</f>
        <v>2.9024785342519018E-32</v>
      </c>
      <c r="V545" s="61">
        <f>IFERROR(_xll.qlBachelierBlackFormulaImpliedVol(IF(O545&lt;$C$4,"Put","Call"),O545,$C$4,$C$7,P545),"")</f>
        <v>1.1244774074450872E-2</v>
      </c>
      <c r="W545" s="61">
        <f>IFERROR(_xll.qlBachelierBlackFormulaImpliedVol(IF(O545&lt;$C$4,"Put","Call"),O545,$C$4,$C$7,Q545),"")</f>
        <v>7.6897550755758194E-3</v>
      </c>
      <c r="X545" s="61">
        <f>IFERROR(_xll.qlBachelierBlackFormulaImpliedVol(IF(O545&lt;$C$4,"Put","Call"),O545,$C$4,$C$7,R545),"")</f>
        <v>5.0648291194621761E-3</v>
      </c>
      <c r="Y545" s="42"/>
    </row>
    <row r="546" spans="15:25">
      <c r="O546" s="37">
        <f t="shared" si="9"/>
        <v>4.4100000000000229E-2</v>
      </c>
      <c r="P546" s="38">
        <f>IFERROR(_xll.qlBlackFormula(IF(O546&lt;$C$4,"Put","Call"),O546,$C$4,$C$9*SQRT($C$7)),"")</f>
        <v>7.3624918892957203E-7</v>
      </c>
      <c r="Q546" s="39">
        <f>IFERROR(_xll.qlBlackFormula(IF(O546&lt;$C$4,"Put","Call"),O546,$C$4,$C$10*SQRT($C$7),,$C$11),"")</f>
        <v>2.6989355802473811E-10</v>
      </c>
      <c r="R546" s="40">
        <f>IFERROR(_xll.qlBachelierBlackFormula(IF(O546&lt;$C$4,"Put","Call"),O546,$C$4,$C$12*SQRT($C$7)),"")</f>
        <v>1.206378605864149E-39</v>
      </c>
      <c r="S546" s="41">
        <f>IFERROR((_xll.qlBlackFormula(IF(O546&lt;$C$4,"Put","Call"),O546+$C$14,$C$4,$C$9*SQRT($C$7))-
2*_xll.qlBlackFormula(IF(O546&lt;$C$4,"Put","Call"),O546,$C$4,$C$9*SQRT($C$7))+
_xll.qlBlackFormula(IF(O546&lt;$C$4,"Put","Call"),O546-$C$14,$C$4,$C$9*SQRT($C$7)))/$C$14^2,"")</f>
        <v>1.3280222157152546E-2</v>
      </c>
      <c r="T546" s="42">
        <f>IFERROR((_xll.qlBlackFormula(IF(O546&lt;$C$4,"Put","Call"),O546+$C$14,$C$4,$C$10*SQRT($C$7),,$C$11)-
2*_xll.qlBlackFormula(IF(O546&lt;$C$4,"Put","Call"),O546,$C$4,$C$10*SQRT($C$7),,$C$11)+
_xll.qlBlackFormula(IF(O546&lt;$C$4,"Put","Call"),O546-$C$14,$C$4,$C$10*SQRT($C$7),,$C$11))/$C$14^2,"")</f>
        <v>3.3943402758227794E-5</v>
      </c>
      <c r="U546" s="43">
        <f>IFERROR((_xll.qlBachelierBlackFormula(IF(O546&lt;$C$4,"Put","Call"),O546+$C$14,$C$4,$C$12*SQRT($C$7))-
2*_xll.qlBachelierBlackFormula(IF(O546&lt;$C$4,"Put","Call"),O546,$C$4,$C$12*SQRT($C$7))+
_xll.qlBachelierBlackFormula(IF(O546&lt;$C$4,"Put","Call"),O546-$C$14,$C$4,$C$12*SQRT($C$7)))/$C$14^2,"")</f>
        <v>1.9499525036866064E-32</v>
      </c>
      <c r="V546" s="61">
        <f>IFERROR(_xll.qlBachelierBlackFormulaImpliedVol(IF(O546&lt;$C$4,"Put","Call"),O546,$C$4,$C$7,P546),"")</f>
        <v>1.1261864392338847E-2</v>
      </c>
      <c r="W546" s="61">
        <f>IFERROR(_xll.qlBachelierBlackFormulaImpliedVol(IF(O546&lt;$C$4,"Put","Call"),O546,$C$4,$C$7,Q546),"")</f>
        <v>7.6995966175398165E-3</v>
      </c>
      <c r="X546" s="61">
        <f>IFERROR(_xll.qlBachelierBlackFormulaImpliedVol(IF(O546&lt;$C$4,"Put","Call"),O546,$C$4,$C$7,R546),"")</f>
        <v>5.0778158607941307E-3</v>
      </c>
      <c r="Y546" s="42"/>
    </row>
    <row r="547" spans="15:25">
      <c r="O547" s="37">
        <f t="shared" si="9"/>
        <v>4.4200000000000232E-2</v>
      </c>
      <c r="P547" s="38">
        <f>IFERROR(_xll.qlBlackFormula(IF(O547&lt;$C$4,"Put","Call"),O547,$C$4,$C$9*SQRT($C$7)),"")</f>
        <v>7.2692059383469108E-7</v>
      </c>
      <c r="Q547" s="39">
        <f>IFERROR(_xll.qlBlackFormula(IF(O547&lt;$C$4,"Put","Call"),O547,$C$4,$C$10*SQRT($C$7),,$C$11),"")</f>
        <v>2.6086388595911892E-10</v>
      </c>
      <c r="R547" s="40">
        <f>IFERROR(_xll.qlBachelierBlackFormula(IF(O547&lt;$C$4,"Put","Call"),O547,$C$4,$C$12*SQRT($C$7)),"")</f>
        <v>8.0559819422387193E-40</v>
      </c>
      <c r="S547" s="41">
        <f>IFERROR((_xll.qlBlackFormula(IF(O547&lt;$C$4,"Put","Call"),O547+$C$14,$C$4,$C$9*SQRT($C$7))-
2*_xll.qlBlackFormula(IF(O547&lt;$C$4,"Put","Call"),O547,$C$4,$C$9*SQRT($C$7))+
_xll.qlBlackFormula(IF(O547&lt;$C$4,"Put","Call"),O547-$C$14,$C$4,$C$9*SQRT($C$7)))/$C$14^2,"")</f>
        <v>1.3076691151355652E-2</v>
      </c>
      <c r="T547" s="42">
        <f>IFERROR((_xll.qlBlackFormula(IF(O547&lt;$C$4,"Put","Call"),O547+$C$14,$C$4,$C$10*SQRT($C$7),,$C$11)-
2*_xll.qlBlackFormula(IF(O547&lt;$C$4,"Put","Call"),O547,$C$4,$C$10*SQRT($C$7),,$C$11)+
_xll.qlBlackFormula(IF(O547&lt;$C$4,"Put","Call"),O547-$C$14,$C$4,$C$10*SQRT($C$7),,$C$11))/$C$14^2,"")</f>
        <v>2.9167557204825293E-5</v>
      </c>
      <c r="U547" s="43">
        <f>IFERROR((_xll.qlBachelierBlackFormula(IF(O547&lt;$C$4,"Put","Call"),O547+$C$14,$C$4,$C$12*SQRT($C$7))-
2*_xll.qlBachelierBlackFormula(IF(O547&lt;$C$4,"Put","Call"),O547,$C$4,$C$12*SQRT($C$7))+
_xll.qlBachelierBlackFormula(IF(O547&lt;$C$4,"Put","Call"),O547-$C$14,$C$4,$C$12*SQRT($C$7)))/$C$14^2,"")</f>
        <v>1.3086896832775253E-32</v>
      </c>
      <c r="V547" s="61">
        <f>IFERROR(_xll.qlBachelierBlackFormulaImpliedVol(IF(O547&lt;$C$4,"Put","Call"),O547,$C$4,$C$7,P547),"")</f>
        <v>1.1278945764918537E-2</v>
      </c>
      <c r="W547" s="61">
        <f>IFERROR(_xll.qlBachelierBlackFormulaImpliedVol(IF(O547&lt;$C$4,"Put","Call"),O547,$C$4,$C$7,Q547),"")</f>
        <v>7.7094330554870203E-3</v>
      </c>
      <c r="X547" s="61">
        <f>IFERROR(_xll.qlBachelierBlackFormulaImpliedVol(IF(O547&lt;$C$4,"Put","Call"),O547,$C$4,$C$7,R547),"")</f>
        <v>5.0908026021260853E-3</v>
      </c>
      <c r="Y547" s="42"/>
    </row>
    <row r="548" spans="15:25">
      <c r="O548" s="37">
        <f t="shared" si="9"/>
        <v>4.4300000000000235E-2</v>
      </c>
      <c r="P548" s="38">
        <f>IFERROR(_xll.qlBlackFormula(IF(O548&lt;$C$4,"Put","Call"),O548,$C$4,$C$9*SQRT($C$7)),"")</f>
        <v>7.1772277670593204E-7</v>
      </c>
      <c r="Q548" s="39">
        <f>IFERROR(_xll.qlBlackFormula(IF(O548&lt;$C$4,"Put","Call"),O548,$C$4,$C$10*SQRT($C$7),,$C$11),"")</f>
        <v>2.5214384122838313E-10</v>
      </c>
      <c r="R548" s="40">
        <f>IFERROR(_xll.qlBachelierBlackFormula(IF(O548&lt;$C$4,"Put","Call"),O548,$C$4,$C$12*SQRT($C$7)),"")</f>
        <v>5.374230909949528E-40</v>
      </c>
      <c r="S548" s="41">
        <f>IFERROR((_xll.qlBlackFormula(IF(O548&lt;$C$4,"Put","Call"),O548+$C$14,$C$4,$C$9*SQRT($C$7))-
2*_xll.qlBlackFormula(IF(O548&lt;$C$4,"Put","Call"),O548,$C$4,$C$9*SQRT($C$7))+
_xll.qlBlackFormula(IF(O548&lt;$C$4,"Put","Call"),O548-$C$14,$C$4,$C$9*SQRT($C$7)))/$C$14^2,"")</f>
        <v>1.287528789232226E-2</v>
      </c>
      <c r="T548" s="42">
        <f>IFERROR((_xll.qlBlackFormula(IF(O548&lt;$C$4,"Put","Call"),O548+$C$14,$C$4,$C$10*SQRT($C$7),,$C$11)-
2*_xll.qlBlackFormula(IF(O548&lt;$C$4,"Put","Call"),O548,$C$4,$C$10*SQRT($C$7),,$C$11)+
_xll.qlBlackFormula(IF(O548&lt;$C$4,"Put","Call"),O548-$C$14,$C$4,$C$10*SQRT($C$7),,$C$11))/$C$14^2,"")</f>
        <v>2.8386459651378207E-5</v>
      </c>
      <c r="U548" s="43">
        <f>IFERROR((_xll.qlBachelierBlackFormula(IF(O548&lt;$C$4,"Put","Call"),O548+$C$14,$C$4,$C$12*SQRT($C$7))-
2*_xll.qlBachelierBlackFormula(IF(O548&lt;$C$4,"Put","Call"),O548,$C$4,$C$12*SQRT($C$7))+
_xll.qlBachelierBlackFormula(IF(O548&lt;$C$4,"Put","Call"),O548-$C$14,$C$4,$C$12*SQRT($C$7)))/$C$14^2,"")</f>
        <v>8.7741884380312969E-33</v>
      </c>
      <c r="V548" s="61">
        <f>IFERROR(_xll.qlBachelierBlackFormulaImpliedVol(IF(O548&lt;$C$4,"Put","Call"),O548,$C$4,$C$7,P548),"")</f>
        <v>1.1296018220413479E-2</v>
      </c>
      <c r="W548" s="61">
        <f>IFERROR(_xll.qlBachelierBlackFormulaImpliedVol(IF(O548&lt;$C$4,"Put","Call"),O548,$C$4,$C$7,Q548),"")</f>
        <v>7.7192643943942672E-3</v>
      </c>
      <c r="X548" s="61">
        <f>IFERROR(_xll.qlBachelierBlackFormulaImpliedVol(IF(O548&lt;$C$4,"Put","Call"),O548,$C$4,$C$7,R548),"")</f>
        <v>5.103789343458039E-3</v>
      </c>
      <c r="Y548" s="42"/>
    </row>
    <row r="549" spans="15:25">
      <c r="O549" s="37">
        <f t="shared" si="9"/>
        <v>4.4400000000000238E-2</v>
      </c>
      <c r="P549" s="38">
        <f>IFERROR(_xll.qlBlackFormula(IF(O549&lt;$C$4,"Put","Call"),O549,$C$4,$C$9*SQRT($C$7)),"")</f>
        <v>7.0865372316811872E-7</v>
      </c>
      <c r="Q549" s="39">
        <f>IFERROR(_xll.qlBlackFormula(IF(O549&lt;$C$4,"Put","Call"),O549,$C$4,$C$10*SQRT($C$7),,$C$11),"")</f>
        <v>2.437225509188484E-10</v>
      </c>
      <c r="R549" s="40">
        <f>IFERROR(_xll.qlBachelierBlackFormula(IF(O549&lt;$C$4,"Put","Call"),O549,$C$4,$C$12*SQRT($C$7)),"")</f>
        <v>3.5816002868415344E-40</v>
      </c>
      <c r="S549" s="41">
        <f>IFERROR((_xll.qlBlackFormula(IF(O549&lt;$C$4,"Put","Call"),O549+$C$14,$C$4,$C$9*SQRT($C$7))-
2*_xll.qlBlackFormula(IF(O549&lt;$C$4,"Put","Call"),O549,$C$4,$C$9*SQRT($C$7))+
_xll.qlBlackFormula(IF(O549&lt;$C$4,"Put","Call"),O549-$C$14,$C$4,$C$9*SQRT($C$7)))/$C$14^2,"")</f>
        <v>1.2678705944824641E-2</v>
      </c>
      <c r="T549" s="42">
        <f>IFERROR((_xll.qlBlackFormula(IF(O549&lt;$C$4,"Put","Call"),O549+$C$14,$C$4,$C$10*SQRT($C$7),,$C$11)-
2*_xll.qlBlackFormula(IF(O549&lt;$C$4,"Put","Call"),O549,$C$4,$C$10*SQRT($C$7),,$C$11)+
_xll.qlBlackFormula(IF(O549&lt;$C$4,"Put","Call"),O549-$C$14,$C$4,$C$10*SQRT($C$7),,$C$11))/$C$14^2,"")</f>
        <v>2.9393210421568534E-5</v>
      </c>
      <c r="U549" s="43">
        <f>IFERROR((_xll.qlBachelierBlackFormula(IF(O549&lt;$C$4,"Put","Call"),O549+$C$14,$C$4,$C$12*SQRT($C$7))-
2*_xll.qlBachelierBlackFormula(IF(O549&lt;$C$4,"Put","Call"),O549,$C$4,$C$12*SQRT($C$7))+
_xll.qlBachelierBlackFormula(IF(O549&lt;$C$4,"Put","Call"),O549-$C$14,$C$4,$C$12*SQRT($C$7)))/$C$14^2,"")</f>
        <v>5.8767181971122834E-33</v>
      </c>
      <c r="V549" s="61">
        <f>IFERROR(_xll.qlBachelierBlackFormulaImpliedVol(IF(O549&lt;$C$4,"Put","Call"),O549,$C$4,$C$7,P549),"")</f>
        <v>1.1313081786865527E-2</v>
      </c>
      <c r="W549" s="61">
        <f>IFERROR(_xll.qlBachelierBlackFormulaImpliedVol(IF(O549&lt;$C$4,"Put","Call"),O549,$C$4,$C$7,Q549),"")</f>
        <v>7.7290906564032426E-3</v>
      </c>
      <c r="X549" s="61">
        <f>IFERROR(_xll.qlBachelierBlackFormulaImpliedVol(IF(O549&lt;$C$4,"Put","Call"),O549,$C$4,$C$7,R549),"")</f>
        <v>5.1167760847899944E-3</v>
      </c>
      <c r="Y549" s="42"/>
    </row>
    <row r="550" spans="15:25">
      <c r="O550" s="37">
        <f t="shared" si="9"/>
        <v>4.4500000000000241E-2</v>
      </c>
      <c r="P550" s="38">
        <f>IFERROR(_xll.qlBlackFormula(IF(O550&lt;$C$4,"Put","Call"),O550,$C$4,$C$9*SQRT($C$7)),"")</f>
        <v>6.9971145272146951E-7</v>
      </c>
      <c r="Q550" s="39">
        <f>IFERROR(_xll.qlBlackFormula(IF(O550&lt;$C$4,"Put","Call"),O550,$C$4,$C$10*SQRT($C$7),,$C$11),"")</f>
        <v>2.3558953710088046E-10</v>
      </c>
      <c r="R550" s="40">
        <f>IFERROR(_xll.qlBachelierBlackFormula(IF(O550&lt;$C$4,"Put","Call"),O550,$C$4,$C$12*SQRT($C$7)),"")</f>
        <v>2.3845192872447977E-40</v>
      </c>
      <c r="S550" s="41">
        <f>IFERROR((_xll.qlBlackFormula(IF(O550&lt;$C$4,"Put","Call"),O550+$C$14,$C$4,$C$9*SQRT($C$7))-
2*_xll.qlBlackFormula(IF(O550&lt;$C$4,"Put","Call"),O550,$C$4,$C$9*SQRT($C$7))+
_xll.qlBlackFormula(IF(O550&lt;$C$4,"Put","Call"),O550-$C$14,$C$4,$C$9*SQRT($C$7)))/$C$14^2,"")</f>
        <v>1.2482501774021496E-2</v>
      </c>
      <c r="T550" s="42">
        <f>IFERROR((_xll.qlBlackFormula(IF(O550&lt;$C$4,"Put","Call"),O550+$C$14,$C$4,$C$10*SQRT($C$7),,$C$11)-
2*_xll.qlBlackFormula(IF(O550&lt;$C$4,"Put","Call"),O550,$C$4,$C$10*SQRT($C$7),,$C$11)+
_xll.qlBlackFormula(IF(O550&lt;$C$4,"Put","Call"),O550-$C$14,$C$4,$C$10*SQRT($C$7),,$C$11))/$C$14^2,"")</f>
        <v>2.7288893548916296E-5</v>
      </c>
      <c r="U550" s="43">
        <f>IFERROR((_xll.qlBachelierBlackFormula(IF(O550&lt;$C$4,"Put","Call"),O550+$C$14,$C$4,$C$12*SQRT($C$7))-
2*_xll.qlBachelierBlackFormula(IF(O550&lt;$C$4,"Put","Call"),O550,$C$4,$C$12*SQRT($C$7))+
_xll.qlBachelierBlackFormula(IF(O550&lt;$C$4,"Put","Call"),O550-$C$14,$C$4,$C$12*SQRT($C$7)))/$C$14^2,"")</f>
        <v>3.9320624375815612E-33</v>
      </c>
      <c r="V550" s="61">
        <f>IFERROR(_xll.qlBachelierBlackFormulaImpliedVol(IF(O550&lt;$C$4,"Put","Call"),O550,$C$4,$C$7,P550),"")</f>
        <v>1.1330136492193131E-2</v>
      </c>
      <c r="W550" s="61">
        <f>IFERROR(_xll.qlBachelierBlackFormulaImpliedVol(IF(O550&lt;$C$4,"Put","Call"),O550,$C$4,$C$7,Q550),"")</f>
        <v>7.7389118540839913E-3</v>
      </c>
      <c r="X550" s="61">
        <f>IFERROR(_xll.qlBachelierBlackFormulaImpliedVol(IF(O550&lt;$C$4,"Put","Call"),O550,$C$4,$C$7,R550),"")</f>
        <v>5.129762826121949E-3</v>
      </c>
      <c r="Y550" s="42"/>
    </row>
    <row r="551" spans="15:25">
      <c r="O551" s="37">
        <f t="shared" si="9"/>
        <v>4.4600000000000244E-2</v>
      </c>
      <c r="P551" s="38">
        <f>IFERROR(_xll.qlBlackFormula(IF(O551&lt;$C$4,"Put","Call"),O551,$C$4,$C$9*SQRT($C$7)),"")</f>
        <v>6.9089401812310155E-7</v>
      </c>
      <c r="Q551" s="39">
        <f>IFERROR(_xll.qlBlackFormula(IF(O551&lt;$C$4,"Put","Call"),O551,$C$4,$C$10*SQRT($C$7),,$C$11),"")</f>
        <v>2.2773468886237313E-10</v>
      </c>
      <c r="R551" s="40">
        <f>IFERROR(_xll.qlBachelierBlackFormula(IF(O551&lt;$C$4,"Put","Call"),O551,$C$4,$C$12*SQRT($C$7)),"")</f>
        <v>1.5859426090950385E-40</v>
      </c>
      <c r="S551" s="41">
        <f>IFERROR((_xll.qlBlackFormula(IF(O551&lt;$C$4,"Put","Call"),O551+$C$14,$C$4,$C$9*SQRT($C$7))-
2*_xll.qlBlackFormula(IF(O551&lt;$C$4,"Put","Call"),O551,$C$4,$C$9*SQRT($C$7))+
_xll.qlBlackFormula(IF(O551&lt;$C$4,"Put","Call"),O551-$C$14,$C$4,$C$9*SQRT($C$7)))/$C$14^2,"")</f>
        <v>1.2293781139307344E-2</v>
      </c>
      <c r="T551" s="42">
        <f>IFERROR((_xll.qlBlackFormula(IF(O551&lt;$C$4,"Put","Call"),O551+$C$14,$C$4,$C$10*SQRT($C$7),,$C$11)-
2*_xll.qlBlackFormula(IF(O551&lt;$C$4,"Put","Call"),O551,$C$4,$C$10*SQRT($C$7),,$C$11)+
_xll.qlBlackFormula(IF(O551&lt;$C$4,"Put","Call"),O551-$C$14,$C$4,$C$10*SQRT($C$7),,$C$11))/$C$14^2,"")</f>
        <v>2.7521983946547001E-5</v>
      </c>
      <c r="U551" s="43">
        <f>IFERROR((_xll.qlBachelierBlackFormula(IF(O551&lt;$C$4,"Put","Call"),O551+$C$14,$C$4,$C$12*SQRT($C$7))-
2*_xll.qlBachelierBlackFormula(IF(O551&lt;$C$4,"Put","Call"),O551,$C$4,$C$12*SQRT($C$7))+
_xll.qlBachelierBlackFormula(IF(O551&lt;$C$4,"Put","Call"),O551-$C$14,$C$4,$C$12*SQRT($C$7)))/$C$14^2,"")</f>
        <v>2.628231281980921E-33</v>
      </c>
      <c r="V551" s="61">
        <f>IFERROR(_xll.qlBachelierBlackFormulaImpliedVol(IF(O551&lt;$C$4,"Put","Call"),O551,$C$4,$C$7,P551),"")</f>
        <v>1.1347182364135421E-2</v>
      </c>
      <c r="W551" s="61">
        <f>IFERROR(_xll.qlBachelierBlackFormulaImpliedVol(IF(O551&lt;$C$4,"Put","Call"),O551,$C$4,$C$7,Q551),"")</f>
        <v>7.7487280004569772E-3</v>
      </c>
      <c r="X551" s="61">
        <f>IFERROR(_xll.qlBachelierBlackFormulaImpliedVol(IF(O551&lt;$C$4,"Put","Call"),O551,$C$4,$C$7,R551),"")</f>
        <v>5.1427495674539036E-3</v>
      </c>
      <c r="Y551" s="42"/>
    </row>
    <row r="552" spans="15:25">
      <c r="O552" s="37">
        <f t="shared" si="9"/>
        <v>4.4700000000000246E-2</v>
      </c>
      <c r="P552" s="38">
        <f>IFERROR(_xll.qlBlackFormula(IF(O552&lt;$C$4,"Put","Call"),O552,$C$4,$C$9*SQRT($C$7)),"")</f>
        <v>6.8219950478581354E-7</v>
      </c>
      <c r="Q552" s="39">
        <f>IFERROR(_xll.qlBlackFormula(IF(O552&lt;$C$4,"Put","Call"),O552,$C$4,$C$10*SQRT($C$7),,$C$11),"")</f>
        <v>2.201482655339413E-10</v>
      </c>
      <c r="R552" s="40">
        <f>IFERROR(_xll.qlBachelierBlackFormula(IF(O552&lt;$C$4,"Put","Call"),O552,$C$4,$C$12*SQRT($C$7)),"")</f>
        <v>1.0537485116090393E-40</v>
      </c>
      <c r="S552" s="41">
        <f>IFERROR((_xll.qlBlackFormula(IF(O552&lt;$C$4,"Put","Call"),O552+$C$14,$C$4,$C$9*SQRT($C$7))-
2*_xll.qlBlackFormula(IF(O552&lt;$C$4,"Put","Call"),O552,$C$4,$C$9*SQRT($C$7))+
_xll.qlBlackFormula(IF(O552&lt;$C$4,"Put","Call"),O552-$C$14,$C$4,$C$9*SQRT($C$7)))/$C$14^2,"")</f>
        <v>1.2102355081359661E-2</v>
      </c>
      <c r="T552" s="42">
        <f>IFERROR((_xll.qlBlackFormula(IF(O552&lt;$C$4,"Put","Call"),O552+$C$14,$C$4,$C$10*SQRT($C$7),,$C$11)-
2*_xll.qlBlackFormula(IF(O552&lt;$C$4,"Put","Call"),O552,$C$4,$C$10*SQRT($C$7),,$C$11)+
_xll.qlBlackFormula(IF(O552&lt;$C$4,"Put","Call"),O552-$C$14,$C$4,$C$10*SQRT($C$7),,$C$11))/$C$14^2,"")</f>
        <v>2.2939927371921282E-5</v>
      </c>
      <c r="U552" s="43">
        <f>IFERROR((_xll.qlBachelierBlackFormula(IF(O552&lt;$C$4,"Put","Call"),O552+$C$14,$C$4,$C$12*SQRT($C$7))-
2*_xll.qlBachelierBlackFormula(IF(O552&lt;$C$4,"Put","Call"),O552,$C$4,$C$12*SQRT($C$7))+
_xll.qlBachelierBlackFormula(IF(O552&lt;$C$4,"Put","Call"),O552-$C$14,$C$4,$C$12*SQRT($C$7)))/$C$14^2,"")</f>
        <v>1.7549485165094898E-33</v>
      </c>
      <c r="V552" s="61">
        <f>IFERROR(_xll.qlBachelierBlackFormulaImpliedVol(IF(O552&lt;$C$4,"Put","Call"),O552,$C$4,$C$7,P552),"")</f>
        <v>1.1364219430297641E-2</v>
      </c>
      <c r="W552" s="61">
        <f>IFERROR(_xll.qlBachelierBlackFormulaImpliedVol(IF(O552&lt;$C$4,"Put","Call"),O552,$C$4,$C$7,Q552),"")</f>
        <v>7.7585391149788711E-3</v>
      </c>
      <c r="X552" s="61">
        <f>IFERROR(_xll.qlBachelierBlackFormulaImpliedVol(IF(O552&lt;$C$4,"Put","Call"),O552,$C$4,$C$7,R552),"")</f>
        <v>5.1557363087858573E-3</v>
      </c>
      <c r="Y552" s="42"/>
    </row>
    <row r="553" spans="15:25">
      <c r="O553" s="37">
        <f t="shared" si="9"/>
        <v>4.4800000000000249E-2</v>
      </c>
      <c r="P553" s="38">
        <f>IFERROR(_xll.qlBlackFormula(IF(O553&lt;$C$4,"Put","Call"),O553,$C$4,$C$9*SQRT($C$7)),"")</f>
        <v>6.7362603017108327E-7</v>
      </c>
      <c r="Q553" s="39">
        <f>IFERROR(_xll.qlBlackFormula(IF(O553&lt;$C$4,"Put","Call"),O553,$C$4,$C$10*SQRT($C$7),,$C$11),"")</f>
        <v>2.1282086690719779E-10</v>
      </c>
      <c r="R553" s="40">
        <f>IFERROR(_xll.qlBachelierBlackFormula(IF(O553&lt;$C$4,"Put","Call"),O553,$C$4,$C$12*SQRT($C$7)),"")</f>
        <v>6.9943817970957636E-41</v>
      </c>
      <c r="S553" s="41">
        <f>IFERROR((_xll.qlBlackFormula(IF(O553&lt;$C$4,"Put","Call"),O553+$C$14,$C$4,$C$9*SQRT($C$7))-
2*_xll.qlBlackFormula(IF(O553&lt;$C$4,"Put","Call"),O553,$C$4,$C$9*SQRT($C$7))+
_xll.qlBlackFormula(IF(O553&lt;$C$4,"Put","Call"),O553-$C$14,$C$4,$C$9*SQRT($C$7)))/$C$14^2,"")</f>
        <v>1.1917828953800311E-2</v>
      </c>
      <c r="T553" s="42">
        <f>IFERROR((_xll.qlBlackFormula(IF(O553&lt;$C$4,"Put","Call"),O553+$C$14,$C$4,$C$10*SQRT($C$7),,$C$11)-
2*_xll.qlBlackFormula(IF(O553&lt;$C$4,"Put","Call"),O553,$C$4,$C$10*SQRT($C$7),,$C$11)+
_xll.qlBlackFormula(IF(O553&lt;$C$4,"Put","Call"),O553-$C$14,$C$4,$C$10*SQRT($C$7),,$C$11))/$C$14^2,"")</f>
        <v>2.8994417135679677E-5</v>
      </c>
      <c r="U553" s="43">
        <f>IFERROR((_xll.qlBachelierBlackFormula(IF(O553&lt;$C$4,"Put","Call"),O553+$C$14,$C$4,$C$12*SQRT($C$7))-
2*_xll.qlBachelierBlackFormula(IF(O553&lt;$C$4,"Put","Call"),O553,$C$4,$C$12*SQRT($C$7))+
_xll.qlBachelierBlackFormula(IF(O553&lt;$C$4,"Put","Call"),O553-$C$14,$C$4,$C$12*SQRT($C$7)))/$C$14^2,"")</f>
        <v>1.1706385305280283E-33</v>
      </c>
      <c r="V553" s="61">
        <f>IFERROR(_xll.qlBachelierBlackFormulaImpliedVol(IF(O553&lt;$C$4,"Put","Call"),O553,$C$4,$C$7,P553),"")</f>
        <v>1.1381247718132167E-2</v>
      </c>
      <c r="W553" s="61">
        <f>IFERROR(_xll.qlBachelierBlackFormulaImpliedVol(IF(O553&lt;$C$4,"Put","Call"),O553,$C$4,$C$7,Q553),"")</f>
        <v>7.7683452075757086E-3</v>
      </c>
      <c r="X553" s="61">
        <f>IFERROR(_xll.qlBachelierBlackFormulaImpliedVol(IF(O553&lt;$C$4,"Put","Call"),O553,$C$4,$C$7,R553),"")</f>
        <v>5.1687230501178127E-3</v>
      </c>
      <c r="Y553" s="42"/>
    </row>
    <row r="554" spans="15:25">
      <c r="O554" s="37">
        <f t="shared" si="9"/>
        <v>4.4900000000000252E-2</v>
      </c>
      <c r="P554" s="38">
        <f>IFERROR(_xll.qlBlackFormula(IF(O554&lt;$C$4,"Put","Call"),O554,$C$4,$C$9*SQRT($C$7)),"")</f>
        <v>6.6517174322237716E-7</v>
      </c>
      <c r="Q554" s="39">
        <f>IFERROR(_xll.qlBlackFormula(IF(O554&lt;$C$4,"Put","Call"),O554,$C$4,$C$10*SQRT($C$7),,$C$11),"")</f>
        <v>2.0574344120059452E-10</v>
      </c>
      <c r="R554" s="40">
        <f>IFERROR(_xll.qlBachelierBlackFormula(IF(O554&lt;$C$4,"Put","Call"),O554,$C$4,$C$12*SQRT($C$7)),"")</f>
        <v>4.6379335847792842E-41</v>
      </c>
      <c r="S554" s="41">
        <f>IFERROR((_xll.qlBlackFormula(IF(O554&lt;$C$4,"Put","Call"),O554+$C$14,$C$4,$C$9*SQRT($C$7))-
2*_xll.qlBlackFormula(IF(O554&lt;$C$4,"Put","Call"),O554,$C$4,$C$9*SQRT($C$7))+
_xll.qlBlackFormula(IF(O554&lt;$C$4,"Put","Call"),O554-$C$14,$C$4,$C$9*SQRT($C$7)))/$C$14^2,"")</f>
        <v>1.1734684760494407E-2</v>
      </c>
      <c r="T554" s="42">
        <f>IFERROR((_xll.qlBlackFormula(IF(O554&lt;$C$4,"Put","Call"),O554+$C$14,$C$4,$C$10*SQRT($C$7),,$C$11)-
2*_xll.qlBlackFormula(IF(O554&lt;$C$4,"Put","Call"),O554,$C$4,$C$10*SQRT($C$7),,$C$11)+
_xll.qlBlackFormula(IF(O554&lt;$C$4,"Put","Call"),O554-$C$14,$C$4,$C$10*SQRT($C$7),,$C$11))/$C$14^2,"")</f>
        <v>2.522726539972639E-5</v>
      </c>
      <c r="U554" s="43">
        <f>IFERROR((_xll.qlBachelierBlackFormula(IF(O554&lt;$C$4,"Put","Call"),O554+$C$14,$C$4,$C$12*SQRT($C$7))-
2*_xll.qlBachelierBlackFormula(IF(O554&lt;$C$4,"Put","Call"),O554,$C$4,$C$12*SQRT($C$7))+
_xll.qlBachelierBlackFormula(IF(O554&lt;$C$4,"Put","Call"),O554-$C$14,$C$4,$C$12*SQRT($C$7)))/$C$14^2,"")</f>
        <v>7.8007952266180025E-34</v>
      </c>
      <c r="V554" s="61">
        <f>IFERROR(_xll.qlBachelierBlackFormulaImpliedVol(IF(O554&lt;$C$4,"Put","Call"),O554,$C$4,$C$7,P554),"")</f>
        <v>1.1398267254935429E-2</v>
      </c>
      <c r="W554" s="61">
        <f>IFERROR(_xll.qlBachelierBlackFormulaImpliedVol(IF(O554&lt;$C$4,"Put","Call"),O554,$C$4,$C$7,Q554),"")</f>
        <v>7.7781462868161686E-3</v>
      </c>
      <c r="X554" s="61">
        <f>IFERROR(_xll.qlBachelierBlackFormulaImpliedVol(IF(O554&lt;$C$4,"Put","Call"),O554,$C$4,$C$7,R554),"")</f>
        <v>5.1817097914497673E-3</v>
      </c>
      <c r="Y554" s="42"/>
    </row>
    <row r="555" spans="15:25">
      <c r="O555" s="37">
        <f t="shared" si="9"/>
        <v>4.5000000000000255E-2</v>
      </c>
      <c r="P555" s="38">
        <f>IFERROR(_xll.qlBlackFormula(IF(O555&lt;$C$4,"Put","Call"),O555,$C$4,$C$9*SQRT($C$7)),"")</f>
        <v>6.5683482378229465E-7</v>
      </c>
      <c r="Q555" s="39">
        <f>IFERROR(_xll.qlBlackFormula(IF(O555&lt;$C$4,"Put","Call"),O555,$C$4,$C$10*SQRT($C$7),,$C$11),"")</f>
        <v>1.9890725233560613E-10</v>
      </c>
      <c r="R555" s="40">
        <f>IFERROR(_xll.qlBachelierBlackFormula(IF(O555&lt;$C$4,"Put","Call"),O555,$C$4,$C$12*SQRT($C$7)),"")</f>
        <v>3.0722922113524953E-41</v>
      </c>
      <c r="S555" s="41">
        <f>IFERROR((_xll.qlBlackFormula(IF(O555&lt;$C$4,"Put","Call"),O555+$C$14,$C$4,$C$9*SQRT($C$7))-
2*_xll.qlBlackFormula(IF(O555&lt;$C$4,"Put","Call"),O555,$C$4,$C$9*SQRT($C$7))+
_xll.qlBlackFormula(IF(O555&lt;$C$4,"Put","Call"),O555-$C$14,$C$4,$C$9*SQRT($C$7)))/$C$14^2,"")</f>
        <v>1.1556509262457097E-2</v>
      </c>
      <c r="T555" s="42">
        <f>IFERROR((_xll.qlBlackFormula(IF(O555&lt;$C$4,"Put","Call"),O555+$C$14,$C$4,$C$10*SQRT($C$7),,$C$11)-
2*_xll.qlBlackFormula(IF(O555&lt;$C$4,"Put","Call"),O555,$C$4,$C$10*SQRT($C$7),,$C$11)+
_xll.qlBlackFormula(IF(O555&lt;$C$4,"Put","Call"),O555-$C$14,$C$4,$C$10*SQRT($C$7),,$C$11))/$C$14^2,"")</f>
        <v>2.3243351696266451E-5</v>
      </c>
      <c r="U555" s="43">
        <f>IFERROR((_xll.qlBachelierBlackFormula(IF(O555&lt;$C$4,"Put","Call"),O555+$C$14,$C$4,$C$12*SQRT($C$7))-
2*_xll.qlBachelierBlackFormula(IF(O555&lt;$C$4,"Put","Call"),O555,$C$4,$C$12*SQRT($C$7))+
_xll.qlBachelierBlackFormula(IF(O555&lt;$C$4,"Put","Call"),O555-$C$14,$C$4,$C$12*SQRT($C$7)))/$C$14^2,"")</f>
        <v>5.1929312991693916E-34</v>
      </c>
      <c r="V555" s="61">
        <f>IFERROR(_xll.qlBachelierBlackFormulaImpliedVol(IF(O555&lt;$C$4,"Put","Call"),O555,$C$4,$C$7,P555),"")</f>
        <v>1.1415278067871281E-2</v>
      </c>
      <c r="W555" s="61">
        <f>IFERROR(_xll.qlBachelierBlackFormulaImpliedVol(IF(O555&lt;$C$4,"Put","Call"),O555,$C$4,$C$7,Q555),"")</f>
        <v>7.7879423809288873E-3</v>
      </c>
      <c r="X555" s="61">
        <f>IFERROR(_xll.qlBachelierBlackFormulaImpliedVol(IF(O555&lt;$C$4,"Put","Call"),O555,$C$4,$C$7,R555),"")</f>
        <v>5.1946965327817219E-3</v>
      </c>
      <c r="Y555" s="42"/>
    </row>
    <row r="556" spans="15:25">
      <c r="O556" s="37">
        <f t="shared" si="9"/>
        <v>4.5100000000000258E-2</v>
      </c>
      <c r="P556" s="38">
        <f>IFERROR(_xll.qlBlackFormula(IF(O556&lt;$C$4,"Put","Call"),O556,$C$4,$C$9*SQRT($C$7)),"")</f>
        <v>6.4861348203668798E-7</v>
      </c>
      <c r="Q556" s="39">
        <f>IFERROR(_xll.qlBlackFormula(IF(O556&lt;$C$4,"Put","Call"),O556,$C$4,$C$10*SQRT($C$7),,$C$11),"")</f>
        <v>1.9230388151323942E-10</v>
      </c>
      <c r="R556" s="40">
        <f>IFERROR(_xll.qlBachelierBlackFormula(IF(O556&lt;$C$4,"Put","Call"),O556,$C$4,$C$12*SQRT($C$7)),"")</f>
        <v>2.0331213196639665E-41</v>
      </c>
      <c r="S556" s="41">
        <f>IFERROR((_xll.qlBlackFormula(IF(O556&lt;$C$4,"Put","Call"),O556+$C$14,$C$4,$C$9*SQRT($C$7))-
2*_xll.qlBlackFormula(IF(O556&lt;$C$4,"Put","Call"),O556,$C$4,$C$9*SQRT($C$7))+
_xll.qlBlackFormula(IF(O556&lt;$C$4,"Put","Call"),O556-$C$14,$C$4,$C$9*SQRT($C$7)))/$C$14^2,"")</f>
        <v>1.1381096362377257E-2</v>
      </c>
      <c r="T556" s="42">
        <f>IFERROR((_xll.qlBlackFormula(IF(O556&lt;$C$4,"Put","Call"),O556+$C$14,$C$4,$C$10*SQRT($C$7),,$C$11)-
2*_xll.qlBlackFormula(IF(O556&lt;$C$4,"Put","Call"),O556,$C$4,$C$10*SQRT($C$7),,$C$11)+
_xll.qlBlackFormula(IF(O556&lt;$C$4,"Put","Call"),O556-$C$14,$C$4,$C$10*SQRT($C$7),,$C$11))/$C$14^2,"")</f>
        <v>1.803895917034156E-5</v>
      </c>
      <c r="U556" s="43">
        <f>IFERROR((_xll.qlBachelierBlackFormula(IF(O556&lt;$C$4,"Put","Call"),O556+$C$14,$C$4,$C$12*SQRT($C$7))-
2*_xll.qlBachelierBlackFormula(IF(O556&lt;$C$4,"Put","Call"),O556,$C$4,$C$12*SQRT($C$7))+
_xll.qlBachelierBlackFormula(IF(O556&lt;$C$4,"Put","Call"),O556-$C$14,$C$4,$C$12*SQRT($C$7)))/$C$14^2,"")</f>
        <v>3.4533762995550122E-34</v>
      </c>
      <c r="V556" s="61">
        <f>IFERROR(_xll.qlBachelierBlackFormulaImpliedVol(IF(O556&lt;$C$4,"Put","Call"),O556,$C$4,$C$7,P556),"")</f>
        <v>1.1432280183940748E-2</v>
      </c>
      <c r="W556" s="61">
        <f>IFERROR(_xll.qlBachelierBlackFormulaImpliedVol(IF(O556&lt;$C$4,"Put","Call"),O556,$C$4,$C$7,Q556),"")</f>
        <v>7.7977334975784423E-3</v>
      </c>
      <c r="X556" s="61">
        <f>IFERROR(_xll.qlBachelierBlackFormulaImpliedVol(IF(O556&lt;$C$4,"Put","Call"),O556,$C$4,$C$7,R556),"")</f>
        <v>5.2076832741136765E-3</v>
      </c>
      <c r="Y556" s="42"/>
    </row>
    <row r="557" spans="15:25">
      <c r="O557" s="37">
        <f t="shared" si="9"/>
        <v>4.5200000000000261E-2</v>
      </c>
      <c r="P557" s="38">
        <f>IFERROR(_xll.qlBlackFormula(IF(O557&lt;$C$4,"Put","Call"),O557,$C$4,$C$9*SQRT($C$7)),"")</f>
        <v>6.4050595796766437E-7</v>
      </c>
      <c r="Q557" s="39">
        <f>IFERROR(_xll.qlBlackFormula(IF(O557&lt;$C$4,"Put","Call"),O557,$C$4,$C$10*SQRT($C$7),,$C$11),"")</f>
        <v>1.8592520207859126E-10</v>
      </c>
      <c r="R557" s="40">
        <f>IFERROR(_xll.qlBachelierBlackFormula(IF(O557&lt;$C$4,"Put","Call"),O557,$C$4,$C$12*SQRT($C$7)),"")</f>
        <v>1.3440852795078422E-41</v>
      </c>
      <c r="S557" s="41">
        <f>IFERROR((_xll.qlBlackFormula(IF(O557&lt;$C$4,"Put","Call"),O557+$C$14,$C$4,$C$9*SQRT($C$7))-
2*_xll.qlBlackFormula(IF(O557&lt;$C$4,"Put","Call"),O557,$C$4,$C$9*SQRT($C$7))+
_xll.qlBlackFormula(IF(O557&lt;$C$4,"Put","Call"),O557-$C$14,$C$4,$C$9*SQRT($C$7)))/$C$14^2,"")</f>
        <v>1.1209846205716698E-2</v>
      </c>
      <c r="T557" s="42">
        <f>IFERROR((_xll.qlBlackFormula(IF(O557&lt;$C$4,"Put","Call"),O557+$C$14,$C$4,$C$10*SQRT($C$7),,$C$11)-
2*_xll.qlBlackFormula(IF(O557&lt;$C$4,"Put","Call"),O557,$C$4,$C$10*SQRT($C$7),,$C$11)+
_xll.qlBlackFormula(IF(O557&lt;$C$4,"Put","Call"),O557-$C$14,$C$4,$C$10*SQRT($C$7),,$C$11))/$C$14^2,"")</f>
        <v>2.0175583236178282E-5</v>
      </c>
      <c r="U557" s="43">
        <f>IFERROR((_xll.qlBachelierBlackFormula(IF(O557&lt;$C$4,"Put","Call"),O557+$C$14,$C$4,$C$12*SQRT($C$7))-
2*_xll.qlBachelierBlackFormula(IF(O557&lt;$C$4,"Put","Call"),O557,$C$4,$C$12*SQRT($C$7))+
_xll.qlBachelierBlackFormula(IF(O557&lt;$C$4,"Put","Call"),O557-$C$14,$C$4,$C$12*SQRT($C$7)))/$C$14^2,"")</f>
        <v>2.294208398161779E-34</v>
      </c>
      <c r="V557" s="61">
        <f>IFERROR(_xll.qlBachelierBlackFormulaImpliedVol(IF(O557&lt;$C$4,"Put","Call"),O557,$C$4,$C$7,P557),"")</f>
        <v>1.1449273630004924E-2</v>
      </c>
      <c r="W557" s="61">
        <f>IFERROR(_xll.qlBachelierBlackFormulaImpliedVol(IF(O557&lt;$C$4,"Put","Call"),O557,$C$4,$C$7,Q557),"")</f>
        <v>7.8075196470719106E-3</v>
      </c>
      <c r="X557" s="61">
        <f>IFERROR(_xll.qlBachelierBlackFormulaImpliedVol(IF(O557&lt;$C$4,"Put","Call"),O557,$C$4,$C$7,R557),"")</f>
        <v>5.2206700154456311E-3</v>
      </c>
      <c r="Y557" s="42"/>
    </row>
    <row r="558" spans="15:25">
      <c r="O558" s="37">
        <f t="shared" si="9"/>
        <v>4.5300000000000264E-2</v>
      </c>
      <c r="P558" s="38">
        <f>IFERROR(_xll.qlBlackFormula(IF(O558&lt;$C$4,"Put","Call"),O558,$C$4,$C$9*SQRT($C$7)),"")</f>
        <v>6.3251052081238625E-7</v>
      </c>
      <c r="Q558" s="39">
        <f>IFERROR(_xll.qlBlackFormula(IF(O558&lt;$C$4,"Put","Call"),O558,$C$4,$C$10*SQRT($C$7),,$C$11),"")</f>
        <v>1.79763385277349E-10</v>
      </c>
      <c r="R558" s="40">
        <f>IFERROR(_xll.qlBachelierBlackFormula(IF(O558&lt;$C$4,"Put","Call"),O558,$C$4,$C$12*SQRT($C$7)),"")</f>
        <v>8.8767315548117269E-42</v>
      </c>
      <c r="S558" s="41">
        <f>IFERROR((_xll.qlBlackFormula(IF(O558&lt;$C$4,"Put","Call"),O558+$C$14,$C$4,$C$9*SQRT($C$7))-
2*_xll.qlBlackFormula(IF(O558&lt;$C$4,"Put","Call"),O558,$C$4,$C$9*SQRT($C$7))+
_xll.qlBlackFormula(IF(O558&lt;$C$4,"Put","Call"),O558-$C$14,$C$4,$C$9*SQRT($C$7)))/$C$14^2,"")</f>
        <v>1.1040266398028124E-2</v>
      </c>
      <c r="T558" s="42">
        <f>IFERROR((_xll.qlBlackFormula(IF(O558&lt;$C$4,"Put","Call"),O558+$C$14,$C$4,$C$10*SQRT($C$7),,$C$11)-
2*_xll.qlBlackFormula(IF(O558&lt;$C$4,"Put","Call"),O558,$C$4,$C$10*SQRT($C$7),,$C$11)+
_xll.qlBlackFormula(IF(O558&lt;$C$4,"Put","Call"),O558-$C$14,$C$4,$C$10*SQRT($C$7),,$C$11))/$C$14^2,"")</f>
        <v>2.1879554204931897E-5</v>
      </c>
      <c r="U558" s="43">
        <f>IFERROR((_xll.qlBachelierBlackFormula(IF(O558&lt;$C$4,"Put","Call"),O558+$C$14,$C$4,$C$12*SQRT($C$7))-
2*_xll.qlBachelierBlackFormula(IF(O558&lt;$C$4,"Put","Call"),O558,$C$4,$C$12*SQRT($C$7))+
_xll.qlBachelierBlackFormula(IF(O558&lt;$C$4,"Put","Call"),O558-$C$14,$C$4,$C$12*SQRT($C$7)))/$C$14^2,"")</f>
        <v>1.5225776733298794E-34</v>
      </c>
      <c r="V558" s="61">
        <f>IFERROR(_xll.qlBachelierBlackFormulaImpliedVol(IF(O558&lt;$C$4,"Put","Call"),O558,$C$4,$C$7,P558),"")</f>
        <v>1.1466258432789611E-2</v>
      </c>
      <c r="W558" s="61">
        <f>IFERROR(_xll.qlBachelierBlackFormulaImpliedVol(IF(O558&lt;$C$4,"Put","Call"),O558,$C$4,$C$7,Q558),"")</f>
        <v>7.8173008434967214E-3</v>
      </c>
      <c r="X558" s="61">
        <f>IFERROR(_xll.qlBachelierBlackFormulaImpliedVol(IF(O558&lt;$C$4,"Put","Call"),O558,$C$4,$C$7,R558),"")</f>
        <v>5.2336567567775856E-3</v>
      </c>
      <c r="Y558" s="42"/>
    </row>
    <row r="559" spans="15:25">
      <c r="O559" s="37">
        <f t="shared" si="9"/>
        <v>4.5400000000000267E-2</v>
      </c>
      <c r="P559" s="38">
        <f>IFERROR(_xll.qlBlackFormula(IF(O559&lt;$C$4,"Put","Call"),O559,$C$4,$C$9*SQRT($C$7)),"")</f>
        <v>6.2462546853609051E-7</v>
      </c>
      <c r="Q559" s="39">
        <f>IFERROR(_xll.qlBlackFormula(IF(O559&lt;$C$4,"Put","Call"),O559,$C$4,$C$10*SQRT($C$7),,$C$11),"")</f>
        <v>1.7381088295296947E-10</v>
      </c>
      <c r="R559" s="40">
        <f>IFERROR(_xll.qlBachelierBlackFormula(IF(O559&lt;$C$4,"Put","Call"),O559,$C$4,$C$12*SQRT($C$7)),"")</f>
        <v>5.8565526984170709E-42</v>
      </c>
      <c r="S559" s="41">
        <f>IFERROR((_xll.qlBlackFormula(IF(O559&lt;$C$4,"Put","Call"),O559+$C$14,$C$4,$C$9*SQRT($C$7))-
2*_xll.qlBlackFormula(IF(O559&lt;$C$4,"Put","Call"),O559,$C$4,$C$9*SQRT($C$7))+
_xll.qlBlackFormula(IF(O559&lt;$C$4,"Put","Call"),O559-$C$14,$C$4,$C$9*SQRT($C$7)))/$C$14^2,"")</f>
        <v>1.0868734602912603E-2</v>
      </c>
      <c r="T559" s="42">
        <f>IFERROR((_xll.qlBlackFormula(IF(O559&lt;$C$4,"Put","Call"),O559+$C$14,$C$4,$C$10*SQRT($C$7),,$C$11)-
2*_xll.qlBlackFormula(IF(O559&lt;$C$4,"Put","Call"),O559,$C$4,$C$10*SQRT($C$7),,$C$11)+
_xll.qlBlackFormula(IF(O559&lt;$C$4,"Put","Call"),O559-$C$14,$C$4,$C$10*SQRT($C$7),,$C$11))/$C$14^2,"")</f>
        <v>1.977368347349898E-5</v>
      </c>
      <c r="U559" s="43">
        <f>IFERROR((_xll.qlBachelierBlackFormula(IF(O559&lt;$C$4,"Put","Call"),O559+$C$14,$C$4,$C$12*SQRT($C$7))-
2*_xll.qlBachelierBlackFormula(IF(O559&lt;$C$4,"Put","Call"),O559,$C$4,$C$12*SQRT($C$7))+
_xll.qlBachelierBlackFormula(IF(O559&lt;$C$4,"Put","Call"),O559-$C$14,$C$4,$C$12*SQRT($C$7)))/$C$14^2,"")</f>
        <v>1.0094473613449673E-34</v>
      </c>
      <c r="V559" s="61">
        <f>IFERROR(_xll.qlBachelierBlackFormulaImpliedVol(IF(O559&lt;$C$4,"Put","Call"),O559,$C$4,$C$7,P559),"")</f>
        <v>1.1483234618867643E-2</v>
      </c>
      <c r="W559" s="61">
        <f>IFERROR(_xll.qlBachelierBlackFormulaImpliedVol(IF(O559&lt;$C$4,"Put","Call"),O559,$C$4,$C$7,Q559),"")</f>
        <v>7.8270771050502497E-3</v>
      </c>
      <c r="X559" s="61">
        <f>IFERROR(_xll.qlBachelierBlackFormulaImpliedVol(IF(O559&lt;$C$4,"Put","Call"),O559,$C$4,$C$7,R559),"")</f>
        <v>5.2466434981095402E-3</v>
      </c>
      <c r="Y559" s="42"/>
    </row>
    <row r="560" spans="15:25">
      <c r="O560" s="37">
        <f t="shared" si="9"/>
        <v>4.5500000000000269E-2</v>
      </c>
      <c r="P560" s="38">
        <f>IFERROR(_xll.qlBlackFormula(IF(O560&lt;$C$4,"Put","Call"),O560,$C$4,$C$9*SQRT($C$7)),"")</f>
        <v>6.1684912730914562E-7</v>
      </c>
      <c r="Q560" s="39">
        <f>IFERROR(_xll.qlBlackFormula(IF(O560&lt;$C$4,"Put","Call"),O560,$C$4,$C$10*SQRT($C$7),,$C$11),"")</f>
        <v>1.6806041136517465E-10</v>
      </c>
      <c r="R560" s="40">
        <f>IFERROR(_xll.qlBachelierBlackFormula(IF(O560&lt;$C$4,"Put","Call"),O560,$C$4,$C$12*SQRT($C$7)),"")</f>
        <v>3.8600569150144115E-42</v>
      </c>
      <c r="S560" s="41">
        <f>IFERROR((_xll.qlBlackFormula(IF(O560&lt;$C$4,"Put","Call"),O560+$C$14,$C$4,$C$9*SQRT($C$7))-
2*_xll.qlBlackFormula(IF(O560&lt;$C$4,"Put","Call"),O560,$C$4,$C$9*SQRT($C$7))+
_xll.qlBlackFormula(IF(O560&lt;$C$4,"Put","Call"),O560-$C$14,$C$4,$C$9*SQRT($C$7)))/$C$14^2,"")</f>
        <v>1.0707594631510471E-2</v>
      </c>
      <c r="T560" s="42">
        <f>IFERROR((_xll.qlBlackFormula(IF(O560&lt;$C$4,"Put","Call"),O560+$C$14,$C$4,$C$10*SQRT($C$7),,$C$11)-
2*_xll.qlBlackFormula(IF(O560&lt;$C$4,"Put","Call"),O560,$C$4,$C$10*SQRT($C$7),,$C$11)+
_xll.qlBlackFormula(IF(O560&lt;$C$4,"Put","Call"),O560-$C$14,$C$4,$C$10*SQRT($C$7),,$C$11))/$C$14^2,"")</f>
        <v>1.7209067059740584E-5</v>
      </c>
      <c r="U560" s="43">
        <f>IFERROR((_xll.qlBachelierBlackFormula(IF(O560&lt;$C$4,"Put","Call"),O560+$C$14,$C$4,$C$12*SQRT($C$7))-
2*_xll.qlBachelierBlackFormula(IF(O560&lt;$C$4,"Put","Call"),O560,$C$4,$C$12*SQRT($C$7))+
_xll.qlBachelierBlackFormula(IF(O560&lt;$C$4,"Put","Call"),O560-$C$14,$C$4,$C$12*SQRT($C$7)))/$C$14^2,"")</f>
        <v>6.6856791434518272E-35</v>
      </c>
      <c r="V560" s="61">
        <f>IFERROR(_xll.qlBachelierBlackFormulaImpliedVol(IF(O560&lt;$C$4,"Put","Call"),O560,$C$4,$C$7,P560),"")</f>
        <v>1.1500202214667604E-2</v>
      </c>
      <c r="W560" s="61">
        <f>IFERROR(_xll.qlBachelierBlackFormulaImpliedVol(IF(O560&lt;$C$4,"Put","Call"),O560,$C$4,$C$7,Q560),"")</f>
        <v>7.8368484533752232E-3</v>
      </c>
      <c r="X560" s="61">
        <f>IFERROR(_xll.qlBachelierBlackFormulaImpliedVol(IF(O560&lt;$C$4,"Put","Call"),O560,$C$4,$C$7,R560),"")</f>
        <v>5.2596302394414948E-3</v>
      </c>
      <c r="Y560" s="42"/>
    </row>
    <row r="561" spans="15:25">
      <c r="O561" s="37">
        <f t="shared" si="9"/>
        <v>4.5600000000000272E-2</v>
      </c>
      <c r="P561" s="38">
        <f>IFERROR(_xll.qlBlackFormula(IF(O561&lt;$C$4,"Put","Call"),O561,$C$4,$C$9*SQRT($C$7)),"")</f>
        <v>6.0917985101380991E-7</v>
      </c>
      <c r="Q561" s="39">
        <f>IFERROR(_xll.qlBlackFormula(IF(O561&lt;$C$4,"Put","Call"),O561,$C$4,$C$10*SQRT($C$7),,$C$11),"")</f>
        <v>1.6250494511148225E-10</v>
      </c>
      <c r="R561" s="40">
        <f>IFERROR(_xll.qlBachelierBlackFormula(IF(O561&lt;$C$4,"Put","Call"),O561,$C$4,$C$12*SQRT($C$7)),"")</f>
        <v>2.5416047931367081E-42</v>
      </c>
      <c r="S561" s="41">
        <f>IFERROR((_xll.qlBlackFormula(IF(O561&lt;$C$4,"Put","Call"),O561+$C$14,$C$4,$C$9*SQRT($C$7))-
2*_xll.qlBlackFormula(IF(O561&lt;$C$4,"Put","Call"),O561,$C$4,$C$9*SQRT($C$7))+
_xll.qlBlackFormula(IF(O561&lt;$C$4,"Put","Call"),O561-$C$14,$C$4,$C$9*SQRT($C$7)))/$C$14^2,"")</f>
        <v>1.0547078076357519E-2</v>
      </c>
      <c r="T561" s="42">
        <f>IFERROR((_xll.qlBlackFormula(IF(O561&lt;$C$4,"Put","Call"),O561+$C$14,$C$4,$C$10*SQRT($C$7),,$C$11)-
2*_xll.qlBlackFormula(IF(O561&lt;$C$4,"Put","Call"),O561,$C$4,$C$10*SQRT($C$7),,$C$11)+
_xll.qlBlackFormula(IF(O561&lt;$C$4,"Put","Call"),O561-$C$14,$C$4,$C$10*SQRT($C$7),,$C$11))/$C$14^2,"")</f>
        <v>1.5849044407131415E-5</v>
      </c>
      <c r="U561" s="43">
        <f>IFERROR((_xll.qlBachelierBlackFormula(IF(O561&lt;$C$4,"Put","Call"),O561+$C$14,$C$4,$C$12*SQRT($C$7))-
2*_xll.qlBachelierBlackFormula(IF(O561&lt;$C$4,"Put","Call"),O561,$C$4,$C$12*SQRT($C$7))+
_xll.qlBachelierBlackFormula(IF(O561&lt;$C$4,"Put","Call"),O561-$C$14,$C$4,$C$12*SQRT($C$7)))/$C$14^2,"")</f>
        <v>4.4234896165960457E-35</v>
      </c>
      <c r="V561" s="61">
        <f>IFERROR(_xll.qlBachelierBlackFormulaImpliedVol(IF(O561&lt;$C$4,"Put","Call"),O561,$C$4,$C$7,P561),"")</f>
        <v>1.1517161246492991E-2</v>
      </c>
      <c r="W561" s="61">
        <f>IFERROR(_xll.qlBachelierBlackFormulaImpliedVol(IF(O561&lt;$C$4,"Put","Call"),O561,$C$4,$C$7,Q561),"")</f>
        <v>7.8466148785949087E-3</v>
      </c>
      <c r="X561" s="61">
        <f>IFERROR(_xll.qlBachelierBlackFormulaImpliedVol(IF(O561&lt;$C$4,"Put","Call"),O561,$C$4,$C$7,R561),"")</f>
        <v>5.2726169807734494E-3</v>
      </c>
      <c r="Y561" s="42"/>
    </row>
    <row r="562" spans="15:25">
      <c r="O562" s="37">
        <f t="shared" si="9"/>
        <v>4.5700000000000275E-2</v>
      </c>
      <c r="P562" s="38">
        <f>IFERROR(_xll.qlBlackFormula(IF(O562&lt;$C$4,"Put","Call"),O562,$C$4,$C$9*SQRT($C$7)),"")</f>
        <v>6.0161602073131763E-7</v>
      </c>
      <c r="Q562" s="39">
        <f>IFERROR(_xll.qlBlackFormula(IF(O562&lt;$C$4,"Put","Call"),O562,$C$4,$C$10*SQRT($C$7),,$C$11),"")</f>
        <v>1.5713771092661028E-10</v>
      </c>
      <c r="R562" s="40">
        <f>IFERROR(_xll.qlBachelierBlackFormula(IF(O562&lt;$C$4,"Put","Call"),O562,$C$4,$C$12*SQRT($C$7)),"")</f>
        <v>1.6718024981643045E-42</v>
      </c>
      <c r="S562" s="41">
        <f>IFERROR((_xll.qlBlackFormula(IF(O562&lt;$C$4,"Put","Call"),O562+$C$14,$C$4,$C$9*SQRT($C$7))-
2*_xll.qlBlackFormula(IF(O562&lt;$C$4,"Put","Call"),O562,$C$4,$C$9*SQRT($C$7))+
_xll.qlBlackFormula(IF(O562&lt;$C$4,"Put","Call"),O562-$C$14,$C$4,$C$9*SQRT($C$7)))/$C$14^2,"")</f>
        <v>1.038751358623728E-2</v>
      </c>
      <c r="T562" s="42">
        <f>IFERROR((_xll.qlBlackFormula(IF(O562&lt;$C$4,"Put","Call"),O562+$C$14,$C$4,$C$10*SQRT($C$7),,$C$11)-
2*_xll.qlBlackFormula(IF(O562&lt;$C$4,"Put","Call"),O562,$C$4,$C$10*SQRT($C$7),,$C$11)+
_xll.qlBlackFormula(IF(O562&lt;$C$4,"Put","Call"),O562-$C$14,$C$4,$C$10*SQRT($C$7),,$C$11))/$C$14^2,"")</f>
        <v>1.9655333366587035E-5</v>
      </c>
      <c r="U562" s="43">
        <f>IFERROR((_xll.qlBachelierBlackFormula(IF(O562&lt;$C$4,"Put","Call"),O562+$C$14,$C$4,$C$12*SQRT($C$7))-
2*_xll.qlBachelierBlackFormula(IF(O562&lt;$C$4,"Put","Call"),O562,$C$4,$C$12*SQRT($C$7))+
_xll.qlBachelierBlackFormula(IF(O562&lt;$C$4,"Put","Call"),O562-$C$14,$C$4,$C$12*SQRT($C$7)))/$C$14^2,"")</f>
        <v>2.9237627528223325E-35</v>
      </c>
      <c r="V562" s="61">
        <f>IFERROR(_xll.qlBachelierBlackFormulaImpliedVol(IF(O562&lt;$C$4,"Put","Call"),O562,$C$4,$C$7,P562),"")</f>
        <v>1.1534111740484904E-2</v>
      </c>
      <c r="W562" s="61">
        <f>IFERROR(_xll.qlBachelierBlackFormulaImpliedVol(IF(O562&lt;$C$4,"Put","Call"),O562,$C$4,$C$7,Q562),"")</f>
        <v>7.8563764215119469E-3</v>
      </c>
      <c r="X562" s="61">
        <f>IFERROR(_xll.qlBachelierBlackFormulaImpliedVol(IF(O562&lt;$C$4,"Put","Call"),O562,$C$4,$C$7,R562),"")</f>
        <v>5.2856037221054039E-3</v>
      </c>
      <c r="Y562" s="42"/>
    </row>
    <row r="563" spans="15:25">
      <c r="O563" s="37">
        <f t="shared" si="9"/>
        <v>4.5800000000000278E-2</v>
      </c>
      <c r="P563" s="38">
        <f>IFERROR(_xll.qlBlackFormula(IF(O563&lt;$C$4,"Put","Call"),O563,$C$4,$C$9*SQRT($C$7)),"")</f>
        <v>5.9415604426194194E-7</v>
      </c>
      <c r="Q563" s="39">
        <f>IFERROR(_xll.qlBlackFormula(IF(O563&lt;$C$4,"Put","Call"),O563,$C$4,$C$10*SQRT($C$7),,$C$11),"")</f>
        <v>1.5195218028284104E-10</v>
      </c>
      <c r="R563" s="40">
        <f>IFERROR(_xll.qlBachelierBlackFormula(IF(O563&lt;$C$4,"Put","Call"),O563,$C$4,$C$12*SQRT($C$7)),"")</f>
        <v>1.0985618975695877E-42</v>
      </c>
      <c r="S563" s="41">
        <f>IFERROR((_xll.qlBlackFormula(IF(O563&lt;$C$4,"Put","Call"),O563+$C$14,$C$4,$C$9*SQRT($C$7))-
2*_xll.qlBlackFormula(IF(O563&lt;$C$4,"Put","Call"),O563,$C$4,$C$9*SQRT($C$7))+
_xll.qlBlackFormula(IF(O563&lt;$C$4,"Put","Call"),O563-$C$14,$C$4,$C$9*SQRT($C$7)))/$C$14^2,"")</f>
        <v>1.0230321211885827E-2</v>
      </c>
      <c r="T563" s="42">
        <f>IFERROR((_xll.qlBlackFormula(IF(O563&lt;$C$4,"Put","Call"),O563+$C$14,$C$4,$C$10*SQRT($C$7),,$C$11)-
2*_xll.qlBlackFormula(IF(O563&lt;$C$4,"Put","Call"),O563,$C$4,$C$10*SQRT($C$7),,$C$11)+
_xll.qlBlackFormula(IF(O563&lt;$C$4,"Put","Call"),O563-$C$14,$C$4,$C$10*SQRT($C$7),,$C$11))/$C$14^2,"")</f>
        <v>1.8489709738456406E-5</v>
      </c>
      <c r="U563" s="43">
        <f>IFERROR((_xll.qlBachelierBlackFormula(IF(O563&lt;$C$4,"Put","Call"),O563+$C$14,$C$4,$C$12*SQRT($C$7))-
2*_xll.qlBachelierBlackFormula(IF(O563&lt;$C$4,"Put","Call"),O563,$C$4,$C$12*SQRT($C$7))+
_xll.qlBachelierBlackFormula(IF(O563&lt;$C$4,"Put","Call"),O563-$C$14,$C$4,$C$12*SQRT($C$7)))/$C$14^2,"")</f>
        <v>1.9305314329517555E-35</v>
      </c>
      <c r="V563" s="61">
        <f>IFERROR(_xll.qlBachelierBlackFormulaImpliedVol(IF(O563&lt;$C$4,"Put","Call"),O563,$C$4,$C$7,P563),"")</f>
        <v>1.1551053722665627E-2</v>
      </c>
      <c r="W563" s="61">
        <f>IFERROR(_xll.qlBachelierBlackFormulaImpliedVol(IF(O563&lt;$C$4,"Put","Call"),O563,$C$4,$C$7,Q563),"")</f>
        <v>7.8661330758257823E-3</v>
      </c>
      <c r="X563" s="61">
        <f>IFERROR(_xll.qlBachelierBlackFormulaImpliedVol(IF(O563&lt;$C$4,"Put","Call"),O563,$C$4,$C$7,R563),"")</f>
        <v>5.2985904634373585E-3</v>
      </c>
      <c r="Y563" s="42"/>
    </row>
    <row r="564" spans="15:25">
      <c r="O564" s="37">
        <f t="shared" si="9"/>
        <v>4.5900000000000281E-2</v>
      </c>
      <c r="P564" s="38">
        <f>IFERROR(_xll.qlBlackFormula(IF(O564&lt;$C$4,"Put","Call"),O564,$C$4,$C$9*SQRT($C$7)),"")</f>
        <v>5.8679835564435967E-7</v>
      </c>
      <c r="Q564" s="39">
        <f>IFERROR(_xll.qlBlackFormula(IF(O564&lt;$C$4,"Put","Call"),O564,$C$4,$C$10*SQRT($C$7),,$C$11),"")</f>
        <v>1.4694205095476551E-10</v>
      </c>
      <c r="R564" s="40">
        <f>IFERROR(_xll.qlBachelierBlackFormula(IF(O564&lt;$C$4,"Put","Call"),O564,$C$4,$C$12*SQRT($C$7)),"")</f>
        <v>7.2115178664055864E-43</v>
      </c>
      <c r="S564" s="41">
        <f>IFERROR((_xll.qlBlackFormula(IF(O564&lt;$C$4,"Put","Call"),O564+$C$14,$C$4,$C$9*SQRT($C$7))-
2*_xll.qlBlackFormula(IF(O564&lt;$C$4,"Put","Call"),O564,$C$4,$C$9*SQRT($C$7))+
_xll.qlBlackFormula(IF(O564&lt;$C$4,"Put","Call"),O564-$C$14,$C$4,$C$9*SQRT($C$7)))/$C$14^2,"")</f>
        <v>1.0073591741040049E-2</v>
      </c>
      <c r="T564" s="42">
        <f>IFERROR((_xll.qlBlackFormula(IF(O564&lt;$C$4,"Put","Call"),O564+$C$14,$C$4,$C$10*SQRT($C$7),,$C$11)-
2*_xll.qlBlackFormula(IF(O564&lt;$C$4,"Put","Call"),O564,$C$4,$C$10*SQRT($C$7),,$C$11)+
_xll.qlBlackFormula(IF(O564&lt;$C$4,"Put","Call"),O564-$C$14,$C$4,$C$10*SQRT($C$7),,$C$11))/$C$14^2,"")</f>
        <v>1.5142886935639795E-5</v>
      </c>
      <c r="U564" s="43">
        <f>IFERROR((_xll.qlBachelierBlackFormula(IF(O564&lt;$C$4,"Put","Call"),O564+$C$14,$C$4,$C$12*SQRT($C$7))-
2*_xll.qlBachelierBlackFormula(IF(O564&lt;$C$4,"Put","Call"),O564,$C$4,$C$12*SQRT($C$7))+
_xll.qlBachelierBlackFormula(IF(O564&lt;$C$4,"Put","Call"),O564-$C$14,$C$4,$C$12*SQRT($C$7)))/$C$14^2,"")</f>
        <v>1.2734129324267828E-35</v>
      </c>
      <c r="V564" s="61">
        <f>IFERROR(_xll.qlBachelierBlackFormulaImpliedVol(IF(O564&lt;$C$4,"Put","Call"),O564,$C$4,$C$7,P564),"")</f>
        <v>1.1567987218916297E-2</v>
      </c>
      <c r="W564" s="61">
        <f>IFERROR(_xll.qlBachelierBlackFormulaImpliedVol(IF(O564&lt;$C$4,"Put","Call"),O564,$C$4,$C$7,Q564),"")</f>
        <v>7.8758848676435209E-3</v>
      </c>
      <c r="X564" s="61">
        <f>IFERROR(_xll.qlBachelierBlackFormulaImpliedVol(IF(O564&lt;$C$4,"Put","Call"),O564,$C$4,$C$7,R564),"")</f>
        <v>5.3115772047693131E-3</v>
      </c>
      <c r="Y564" s="42"/>
    </row>
    <row r="565" spans="15:25">
      <c r="O565" s="37">
        <f t="shared" si="9"/>
        <v>4.6000000000000284E-2</v>
      </c>
      <c r="P565" s="38">
        <f>IFERROR(_xll.qlBlackFormula(IF(O565&lt;$C$4,"Put","Call"),O565,$C$4,$C$9*SQRT($C$7)),"")</f>
        <v>5.7954141468822423E-7</v>
      </c>
      <c r="Q565" s="39">
        <f>IFERROR(_xll.qlBlackFormula(IF(O565&lt;$C$4,"Put","Call"),O565,$C$4,$C$10*SQRT($C$7),,$C$11),"")</f>
        <v>1.4210124393841731E-10</v>
      </c>
      <c r="R565" s="40">
        <f>IFERROR(_xll.qlBachelierBlackFormula(IF(O565&lt;$C$4,"Put","Call"),O565,$C$4,$C$12*SQRT($C$7)),"")</f>
        <v>4.7292405260540984E-43</v>
      </c>
      <c r="S565" s="41">
        <f>IFERROR((_xll.qlBlackFormula(IF(O565&lt;$C$4,"Put","Call"),O565+$C$14,$C$4,$C$9*SQRT($C$7))-
2*_xll.qlBlackFormula(IF(O565&lt;$C$4,"Put","Call"),O565,$C$4,$C$9*SQRT($C$7))+
_xll.qlBlackFormula(IF(O565&lt;$C$4,"Put","Call"),O565-$C$14,$C$4,$C$9*SQRT($C$7)))/$C$14^2,"")</f>
        <v>9.9199149769361745E-3</v>
      </c>
      <c r="T565" s="42">
        <f>IFERROR((_xll.qlBlackFormula(IF(O565&lt;$C$4,"Put","Call"),O565+$C$14,$C$4,$C$10*SQRT($C$7),,$C$11)-
2*_xll.qlBlackFormula(IF(O565&lt;$C$4,"Put","Call"),O565,$C$4,$C$10*SQRT($C$7),,$C$11)+
_xll.qlBlackFormula(IF(O565&lt;$C$4,"Put","Call"),O565-$C$14,$C$4,$C$10*SQRT($C$7),,$C$11))/$C$14^2,"")</f>
        <v>1.5813683263125385E-5</v>
      </c>
      <c r="U565" s="43">
        <f>IFERROR((_xll.qlBachelierBlackFormula(IF(O565&lt;$C$4,"Put","Call"),O565+$C$14,$C$4,$C$12*SQRT($C$7))-
2*_xll.qlBachelierBlackFormula(IF(O565&lt;$C$4,"Put","Call"),O565,$C$4,$C$12*SQRT($C$7))+
_xll.qlBachelierBlackFormula(IF(O565&lt;$C$4,"Put","Call"),O565-$C$14,$C$4,$C$12*SQRT($C$7)))/$C$14^2,"")</f>
        <v>8.3911071237011462E-36</v>
      </c>
      <c r="V565" s="61">
        <f>IFERROR(_xll.qlBachelierBlackFormulaImpliedVol(IF(O565&lt;$C$4,"Put","Call"),O565,$C$4,$C$7,P565),"")</f>
        <v>1.1584912254966221E-2</v>
      </c>
      <c r="W565" s="61">
        <f>IFERROR(_xll.qlBachelierBlackFormulaImpliedVol(IF(O565&lt;$C$4,"Put","Call"),O565,$C$4,$C$7,Q565),"")</f>
        <v>7.8856317996665488E-3</v>
      </c>
      <c r="X565" s="61">
        <f>IFERROR(_xll.qlBachelierBlackFormulaImpliedVol(IF(O565&lt;$C$4,"Put","Call"),O565,$C$4,$C$7,R565),"")</f>
        <v>5.3245639461012677E-3</v>
      </c>
      <c r="Y565" s="42"/>
    </row>
    <row r="566" spans="15:25">
      <c r="O566" s="37">
        <f t="shared" si="9"/>
        <v>4.6100000000000287E-2</v>
      </c>
      <c r="P566" s="38">
        <f>IFERROR(_xll.qlBlackFormula(IF(O566&lt;$C$4,"Put","Call"),O566,$C$4,$C$9*SQRT($C$7)),"")</f>
        <v>5.7238370650944055E-7</v>
      </c>
      <c r="Q566" s="39">
        <f>IFERROR(_xll.qlBlackFormula(IF(O566&lt;$C$4,"Put","Call"),O566,$C$4,$C$10*SQRT($C$7),,$C$11),"")</f>
        <v>1.3742390110314888E-10</v>
      </c>
      <c r="R566" s="40">
        <f>IFERROR(_xll.qlBachelierBlackFormula(IF(O566&lt;$C$4,"Put","Call"),O566,$C$4,$C$12*SQRT($C$7)),"")</f>
        <v>3.098265743079603E-43</v>
      </c>
      <c r="S566" s="41">
        <f>IFERROR((_xll.qlBlackFormula(IF(O566&lt;$C$4,"Put","Call"),O566+$C$14,$C$4,$C$9*SQRT($C$7))-
2*_xll.qlBlackFormula(IF(O566&lt;$C$4,"Put","Call"),O566,$C$4,$C$9*SQRT($C$7))+
_xll.qlBlackFormula(IF(O566&lt;$C$4,"Put","Call"),O566-$C$14,$C$4,$C$9*SQRT($C$7)))/$C$14^2,"")</f>
        <v>9.774184228910493E-3</v>
      </c>
      <c r="T566" s="42">
        <f>IFERROR((_xll.qlBlackFormula(IF(O566&lt;$C$4,"Put","Call"),O566+$C$14,$C$4,$C$10*SQRT($C$7),,$C$11)-
2*_xll.qlBlackFormula(IF(O566&lt;$C$4,"Put","Call"),O566,$C$4,$C$10*SQRT($C$7),,$C$11)+
_xll.qlBlackFormula(IF(O566&lt;$C$4,"Put","Call"),O566-$C$14,$C$4,$C$10*SQRT($C$7),,$C$11))/$C$14^2,"")</f>
        <v>1.3733847627882267E-5</v>
      </c>
      <c r="U566" s="43">
        <f>IFERROR((_xll.qlBachelierBlackFormula(IF(O566&lt;$C$4,"Put","Call"),O566+$C$14,$C$4,$C$12*SQRT($C$7))-
2*_xll.qlBachelierBlackFormula(IF(O566&lt;$C$4,"Put","Call"),O566,$C$4,$C$12*SQRT($C$7))+
_xll.qlBachelierBlackFormula(IF(O566&lt;$C$4,"Put","Call"),O566-$C$14,$C$4,$C$12*SQRT($C$7)))/$C$14^2,"")</f>
        <v>5.5236595877578378E-36</v>
      </c>
      <c r="V566" s="61">
        <f>IFERROR(_xll.qlBachelierBlackFormulaImpliedVol(IF(O566&lt;$C$4,"Put","Call"),O566,$C$4,$C$7,P566),"")</f>
        <v>1.160182885642333E-2</v>
      </c>
      <c r="W566" s="61">
        <f>IFERROR(_xll.qlBachelierBlackFormulaImpliedVol(IF(O566&lt;$C$4,"Put","Call"),O566,$C$4,$C$7,Q566),"")</f>
        <v>7.8953739001577129E-3</v>
      </c>
      <c r="X566" s="61">
        <f>IFERROR(_xll.qlBachelierBlackFormulaImpliedVol(IF(O566&lt;$C$4,"Put","Call"),O566,$C$4,$C$7,R566),"")</f>
        <v>5.3375506874332223E-3</v>
      </c>
      <c r="Y566" s="42"/>
    </row>
    <row r="567" spans="15:25">
      <c r="O567" s="37">
        <f t="shared" si="9"/>
        <v>4.6200000000000289E-2</v>
      </c>
      <c r="P567" s="38">
        <f>IFERROR(_xll.qlBlackFormula(IF(O567&lt;$C$4,"Put","Call"),O567,$C$4,$C$9*SQRT($C$7)),"")</f>
        <v>5.6532374108392482E-7</v>
      </c>
      <c r="Q567" s="39">
        <f>IFERROR(_xll.qlBlackFormula(IF(O567&lt;$C$4,"Put","Call"),O567,$C$4,$C$10*SQRT($C$7),,$C$11),"")</f>
        <v>1.3290436540190734E-10</v>
      </c>
      <c r="R567" s="40">
        <f>IFERROR(_xll.qlBachelierBlackFormula(IF(O567&lt;$C$4,"Put","Call"),O567,$C$4,$C$12*SQRT($C$7)),"")</f>
        <v>2.0277221673843333E-43</v>
      </c>
      <c r="S567" s="41">
        <f>IFERROR((_xll.qlBlackFormula(IF(O567&lt;$C$4,"Put","Call"),O567+$C$14,$C$4,$C$9*SQRT($C$7))-
2*_xll.qlBlackFormula(IF(O567&lt;$C$4,"Put","Call"),O567,$C$4,$C$9*SQRT($C$7))+
_xll.qlBlackFormula(IF(O567&lt;$C$4,"Put","Call"),O567-$C$14,$C$4,$C$9*SQRT($C$7)))/$C$14^2,"")</f>
        <v>9.6253990800770125E-3</v>
      </c>
      <c r="T567" s="42">
        <f>IFERROR((_xll.qlBlackFormula(IF(O567&lt;$C$4,"Put","Call"),O567+$C$14,$C$4,$C$10*SQRT($C$7),,$C$11)-
2*_xll.qlBlackFormula(IF(O567&lt;$C$4,"Put","Call"),O567,$C$4,$C$10*SQRT($C$7),,$C$11)+
_xll.qlBlackFormula(IF(O567&lt;$C$4,"Put","Call"),O567-$C$14,$C$4,$C$10*SQRT($C$7),,$C$11))/$C$14^2,"")</f>
        <v>1.6301404668718289E-5</v>
      </c>
      <c r="U567" s="43">
        <f>IFERROR((_xll.qlBachelierBlackFormula(IF(O567&lt;$C$4,"Put","Call"),O567+$C$14,$C$4,$C$12*SQRT($C$7))-
2*_xll.qlBachelierBlackFormula(IF(O567&lt;$C$4,"Put","Call"),O567,$C$4,$C$12*SQRT($C$7))+
_xll.qlBachelierBlackFormula(IF(O567&lt;$C$4,"Put","Call"),O567-$C$14,$C$4,$C$12*SQRT($C$7)))/$C$14^2,"")</f>
        <v>3.6323875420820186E-36</v>
      </c>
      <c r="V567" s="61">
        <f>IFERROR(_xll.qlBachelierBlackFormulaImpliedVol(IF(O567&lt;$C$4,"Put","Call"),O567,$C$4,$C$7,P567),"")</f>
        <v>1.161873704876158E-2</v>
      </c>
      <c r="W567" s="61">
        <f>IFERROR(_xll.qlBachelierBlackFormulaImpliedVol(IF(O567&lt;$C$4,"Put","Call"),O567,$C$4,$C$7,Q567),"")</f>
        <v>7.9051111593845501E-3</v>
      </c>
      <c r="X567" s="61">
        <f>IFERROR(_xll.qlBachelierBlackFormulaImpliedVol(IF(O567&lt;$C$4,"Put","Call"),O567,$C$4,$C$7,R567),"")</f>
        <v>5.3505374287651768E-3</v>
      </c>
      <c r="Y567" s="42"/>
    </row>
    <row r="568" spans="15:25">
      <c r="O568" s="37">
        <f t="shared" si="9"/>
        <v>4.6300000000000292E-2</v>
      </c>
      <c r="P568" s="38">
        <f>IFERROR(_xll.qlBlackFormula(IF(O568&lt;$C$4,"Put","Call"),O568,$C$4,$C$9*SQRT($C$7)),"")</f>
        <v>5.583600528024057E-7</v>
      </c>
      <c r="Q568" s="39">
        <f>IFERROR(_xll.qlBlackFormula(IF(O568&lt;$C$4,"Put","Call"),O568,$C$4,$C$10*SQRT($C$7),,$C$11),"")</f>
        <v>1.2853718586723789E-10</v>
      </c>
      <c r="R568" s="40">
        <f>IFERROR(_xll.qlBachelierBlackFormula(IF(O568&lt;$C$4,"Put","Call"),O568,$C$4,$C$12*SQRT($C$7)),"")</f>
        <v>1.3257472393147248E-43</v>
      </c>
      <c r="S568" s="41">
        <f>IFERROR((_xll.qlBlackFormula(IF(O568&lt;$C$4,"Put","Call"),O568+$C$14,$C$4,$C$9*SQRT($C$7))-
2*_xll.qlBlackFormula(IF(O568&lt;$C$4,"Put","Call"),O568,$C$4,$C$9*SQRT($C$7))+
_xll.qlBlackFormula(IF(O568&lt;$C$4,"Put","Call"),O568-$C$14,$C$4,$C$9*SQRT($C$7)))/$C$14^2,"")</f>
        <v>9.4835854359159085E-3</v>
      </c>
      <c r="T568" s="42">
        <f>IFERROR((_xll.qlBlackFormula(IF(O568&lt;$C$4,"Put","Call"),O568+$C$14,$C$4,$C$10*SQRT($C$7),,$C$11)-
2*_xll.qlBlackFormula(IF(O568&lt;$C$4,"Put","Call"),O568,$C$4,$C$10*SQRT($C$7),,$C$11)+
_xll.qlBlackFormula(IF(O568&lt;$C$4,"Put","Call"),O568-$C$14,$C$4,$C$10*SQRT($C$7),,$C$11))/$C$14^2,"")</f>
        <v>1.7780777076009672E-5</v>
      </c>
      <c r="U568" s="43">
        <f>IFERROR((_xll.qlBachelierBlackFormula(IF(O568&lt;$C$4,"Put","Call"),O568+$C$14,$C$4,$C$12*SQRT($C$7))-
2*_xll.qlBachelierBlackFormula(IF(O568&lt;$C$4,"Put","Call"),O568,$C$4,$C$12*SQRT($C$7))+
_xll.qlBachelierBlackFormula(IF(O568&lt;$C$4,"Put","Call"),O568-$C$14,$C$4,$C$12*SQRT($C$7)))/$C$14^2,"")</f>
        <v>2.3862452589478838E-36</v>
      </c>
      <c r="V568" s="61">
        <f>IFERROR(_xll.qlBachelierBlackFormulaImpliedVol(IF(O568&lt;$C$4,"Put","Call"),O568,$C$4,$C$7,P568),"")</f>
        <v>1.1635636857311546E-2</v>
      </c>
      <c r="W568" s="61">
        <f>IFERROR(_xll.qlBachelierBlackFormulaImpliedVol(IF(O568&lt;$C$4,"Put","Call"),O568,$C$4,$C$7,Q568),"")</f>
        <v>7.9148436155080451E-3</v>
      </c>
      <c r="X568" s="61">
        <f>IFERROR(_xll.qlBachelierBlackFormulaImpliedVol(IF(O568&lt;$C$4,"Put","Call"),O568,$C$4,$C$7,R568),"")</f>
        <v>5.3635241700971314E-3</v>
      </c>
      <c r="Y568" s="42"/>
    </row>
    <row r="569" spans="15:25">
      <c r="O569" s="37">
        <f t="shared" si="9"/>
        <v>4.6400000000000295E-2</v>
      </c>
      <c r="P569" s="38">
        <f>IFERROR(_xll.qlBlackFormula(IF(O569&lt;$C$4,"Put","Call"),O569,$C$4,$C$9*SQRT($C$7)),"")</f>
        <v>5.5149120004176675E-7</v>
      </c>
      <c r="Q569" s="39">
        <f>IFERROR(_xll.qlBlackFormula(IF(O569&lt;$C$4,"Put","Call"),O569,$C$4,$C$10*SQRT($C$7),,$C$11),"")</f>
        <v>1.2431710209036456E-10</v>
      </c>
      <c r="R569" s="40">
        <f>IFERROR(_xll.qlBachelierBlackFormula(IF(O569&lt;$C$4,"Put","Call"),O569,$C$4,$C$12*SQRT($C$7)),"")</f>
        <v>8.6591545310820857E-44</v>
      </c>
      <c r="S569" s="41">
        <f>IFERROR((_xll.qlBlackFormula(IF(O569&lt;$C$4,"Put","Call"),O569+$C$14,$C$4,$C$9*SQRT($C$7))-
2*_xll.qlBlackFormula(IF(O569&lt;$C$4,"Put","Call"),O569,$C$4,$C$9*SQRT($C$7))+
_xll.qlBlackFormula(IF(O569&lt;$C$4,"Put","Call"),O569-$C$14,$C$4,$C$9*SQRT($C$7)))/$C$14^2,"")</f>
        <v>9.3402776256358479E-3</v>
      </c>
      <c r="T569" s="42">
        <f>IFERROR((_xll.qlBlackFormula(IF(O569&lt;$C$4,"Put","Call"),O569+$C$14,$C$4,$C$10*SQRT($C$7),,$C$11)-
2*_xll.qlBlackFormula(IF(O569&lt;$C$4,"Put","Call"),O569,$C$4,$C$10*SQRT($C$7),,$C$11)+
_xll.qlBlackFormula(IF(O569&lt;$C$4,"Put","Call"),O569-$C$14,$C$4,$C$10*SQRT($C$7),,$C$11))/$C$14^2,"")</f>
        <v>1.6488310264027708E-5</v>
      </c>
      <c r="U569" s="43">
        <f>IFERROR((_xll.qlBachelierBlackFormula(IF(O569&lt;$C$4,"Put","Call"),O569+$C$14,$C$4,$C$12*SQRT($C$7))-
2*_xll.qlBachelierBlackFormula(IF(O569&lt;$C$4,"Put","Call"),O569,$C$4,$C$12*SQRT($C$7))+
_xll.qlBachelierBlackFormula(IF(O569&lt;$C$4,"Put","Call"),O569-$C$14,$C$4,$C$12*SQRT($C$7)))/$C$14^2,"")</f>
        <v>1.5660139061605401E-36</v>
      </c>
      <c r="V569" s="61">
        <f>IFERROR(_xll.qlBachelierBlackFormulaImpliedVol(IF(O569&lt;$C$4,"Put","Call"),O569,$C$4,$C$7,P569),"")</f>
        <v>1.1652528307280847E-2</v>
      </c>
      <c r="W569" s="61">
        <f>IFERROR(_xll.qlBachelierBlackFormulaImpliedVol(IF(O569&lt;$C$4,"Put","Call"),O569,$C$4,$C$7,Q569),"")</f>
        <v>7.9245712737247721E-3</v>
      </c>
      <c r="X569" s="61">
        <f>IFERROR(_xll.qlBachelierBlackFormulaImpliedVol(IF(O569&lt;$C$4,"Put","Call"),O569,$C$4,$C$7,R569),"")</f>
        <v>5.376510911429086E-3</v>
      </c>
      <c r="Y569" s="42"/>
    </row>
    <row r="570" spans="15:25">
      <c r="O570" s="37">
        <f t="shared" si="9"/>
        <v>4.6500000000000298E-2</v>
      </c>
      <c r="P570" s="38">
        <f>IFERROR(_xll.qlBlackFormula(IF(O570&lt;$C$4,"Put","Call"),O570,$C$4,$C$9*SQRT($C$7)),"")</f>
        <v>5.447157647237931E-7</v>
      </c>
      <c r="Q570" s="39">
        <f>IFERROR(_xll.qlBlackFormula(IF(O570&lt;$C$4,"Put","Call"),O570,$C$4,$C$10*SQRT($C$7),,$C$11),"")</f>
        <v>1.2023903991907801E-10</v>
      </c>
      <c r="R570" s="40">
        <f>IFERROR(_xll.qlBachelierBlackFormula(IF(O570&lt;$C$4,"Put","Call"),O570,$C$4,$C$12*SQRT($C$7)),"")</f>
        <v>5.6500553555108554E-44</v>
      </c>
      <c r="S570" s="41">
        <f>IFERROR((_xll.qlBlackFormula(IF(O570&lt;$C$4,"Put","Call"),O570+$C$14,$C$4,$C$9*SQRT($C$7))-
2*_xll.qlBlackFormula(IF(O570&lt;$C$4,"Put","Call"),O570,$C$4,$C$9*SQRT($C$7))+
_xll.qlBlackFormula(IF(O570&lt;$C$4,"Put","Call"),O570-$C$14,$C$4,$C$9*SQRT($C$7)))/$C$14^2,"")</f>
        <v>9.2029837492812929E-3</v>
      </c>
      <c r="T570" s="42">
        <f>IFERROR((_xll.qlBlackFormula(IF(O570&lt;$C$4,"Put","Call"),O570+$C$14,$C$4,$C$10*SQRT($C$7),,$C$11)-
2*_xll.qlBlackFormula(IF(O570&lt;$C$4,"Put","Call"),O570,$C$4,$C$10*SQRT($C$7),,$C$11)+
_xll.qlBlackFormula(IF(O570&lt;$C$4,"Put","Call"),O570-$C$14,$C$4,$C$10*SQRT($C$7),,$C$11))/$C$14^2,"")</f>
        <v>1.2406243424249971E-5</v>
      </c>
      <c r="U570" s="43">
        <f>IFERROR((_xll.qlBachelierBlackFormula(IF(O570&lt;$C$4,"Put","Call"),O570+$C$14,$C$4,$C$12*SQRT($C$7))-
2*_xll.qlBachelierBlackFormula(IF(O570&lt;$C$4,"Put","Call"),O570,$C$4,$C$12*SQRT($C$7))+
_xll.qlBachelierBlackFormula(IF(O570&lt;$C$4,"Put","Call"),O570-$C$14,$C$4,$C$12*SQRT($C$7)))/$C$14^2,"")</f>
        <v>1.0266768759966584E-36</v>
      </c>
      <c r="V570" s="61">
        <f>IFERROR(_xll.qlBachelierBlackFormulaImpliedVol(IF(O570&lt;$C$4,"Put","Call"),O570,$C$4,$C$7,P570),"")</f>
        <v>1.1669411423740613E-2</v>
      </c>
      <c r="W570" s="61">
        <f>IFERROR(_xll.qlBachelierBlackFormulaImpliedVol(IF(O570&lt;$C$4,"Put","Call"),O570,$C$4,$C$7,Q570),"")</f>
        <v>7.9342941473794868E-3</v>
      </c>
      <c r="X570" s="61">
        <f>IFERROR(_xll.qlBachelierBlackFormulaImpliedVol(IF(O570&lt;$C$4,"Put","Call"),O570,$C$4,$C$7,R570),"")</f>
        <v>5.3894976527610406E-3</v>
      </c>
      <c r="Y570" s="42"/>
    </row>
    <row r="571" spans="15:25">
      <c r="O571" s="37">
        <f t="shared" si="9"/>
        <v>4.6600000000000301E-2</v>
      </c>
      <c r="P571" s="38">
        <f>IFERROR(_xll.qlBlackFormula(IF(O571&lt;$C$4,"Put","Call"),O571,$C$4,$C$9*SQRT($C$7)),"")</f>
        <v>5.3803235191633116E-7</v>
      </c>
      <c r="Q571" s="39">
        <f>IFERROR(_xll.qlBlackFormula(IF(O571&lt;$C$4,"Put","Call"),O571,$C$4,$C$10*SQRT($C$7),,$C$11),"")</f>
        <v>1.162980993729573E-10</v>
      </c>
      <c r="R571" s="40">
        <f>IFERROR(_xll.qlBachelierBlackFormula(IF(O571&lt;$C$4,"Put","Call"),O571,$C$4,$C$12*SQRT($C$7)),"")</f>
        <v>3.6829205258474093E-44</v>
      </c>
      <c r="S571" s="41">
        <f>IFERROR((_xll.qlBlackFormula(IF(O571&lt;$C$4,"Put","Call"),O571+$C$14,$C$4,$C$9*SQRT($C$7))-
2*_xll.qlBlackFormula(IF(O571&lt;$C$4,"Put","Call"),O571,$C$4,$C$9*SQRT($C$7))+
_xll.qlBlackFormula(IF(O571&lt;$C$4,"Put","Call"),O571-$C$14,$C$4,$C$9*SQRT($C$7)))/$C$14^2,"")</f>
        <v>9.0660723083024232E-3</v>
      </c>
      <c r="T571" s="42">
        <f>IFERROR((_xll.qlBlackFormula(IF(O571&lt;$C$4,"Put","Call"),O571+$C$14,$C$4,$C$10*SQRT($C$7),,$C$11)-
2*_xll.qlBlackFormula(IF(O571&lt;$C$4,"Put","Call"),O571,$C$4,$C$10*SQRT($C$7),,$C$11)+
_xll.qlBlackFormula(IF(O571&lt;$C$4,"Put","Call"),O571-$C$14,$C$4,$C$10*SQRT($C$7),,$C$11))/$C$14^2,"")</f>
        <v>1.2355561240938235E-5</v>
      </c>
      <c r="U571" s="43">
        <f>IFERROR((_xll.qlBachelierBlackFormula(IF(O571&lt;$C$4,"Put","Call"),O571+$C$14,$C$4,$C$12*SQRT($C$7))-
2*_xll.qlBachelierBlackFormula(IF(O571&lt;$C$4,"Put","Call"),O571,$C$4,$C$12*SQRT($C$7))+
_xll.qlBachelierBlackFormula(IF(O571&lt;$C$4,"Put","Call"),O571-$C$14,$C$4,$C$12*SQRT($C$7)))/$C$14^2,"")</f>
        <v>6.7240289960665973E-37</v>
      </c>
      <c r="V571" s="61">
        <f>IFERROR(_xll.qlBachelierBlackFormulaImpliedVol(IF(O571&lt;$C$4,"Put","Call"),O571,$C$4,$C$7,P571),"")</f>
        <v>1.1686286231630913E-2</v>
      </c>
      <c r="W571" s="61">
        <f>IFERROR(_xll.qlBachelierBlackFormulaImpliedVol(IF(O571&lt;$C$4,"Put","Call"),O571,$C$4,$C$7,Q571),"")</f>
        <v>7.9440122397605416E-3</v>
      </c>
      <c r="X571" s="61">
        <f>IFERROR(_xll.qlBachelierBlackFormulaImpliedVol(IF(O571&lt;$C$4,"Put","Call"),O571,$C$4,$C$7,R571),"")</f>
        <v>5.4024843940929951E-3</v>
      </c>
      <c r="Y571" s="42"/>
    </row>
    <row r="572" spans="15:25">
      <c r="O572" s="37">
        <f t="shared" si="9"/>
        <v>4.6700000000000304E-2</v>
      </c>
      <c r="P572" s="38">
        <f>IFERROR(_xll.qlBlackFormula(IF(O572&lt;$C$4,"Put","Call"),O572,$C$4,$C$9*SQRT($C$7)),"")</f>
        <v>5.3143958941470314E-7</v>
      </c>
      <c r="Q572" s="39">
        <f>IFERROR(_xll.qlBlackFormula(IF(O572&lt;$C$4,"Put","Call"),O572,$C$4,$C$10*SQRT($C$7),,$C$11),"")</f>
        <v>1.1248956176544951E-10</v>
      </c>
      <c r="R572" s="40">
        <f>IFERROR(_xll.qlBachelierBlackFormula(IF(O572&lt;$C$4,"Put","Call"),O572,$C$4,$C$12*SQRT($C$7)),"")</f>
        <v>2.3982497156446426E-44</v>
      </c>
      <c r="S572" s="41">
        <f>IFERROR((_xll.qlBlackFormula(IF(O572&lt;$C$4,"Put","Call"),O572+$C$14,$C$4,$C$9*SQRT($C$7))-
2*_xll.qlBlackFormula(IF(O572&lt;$C$4,"Put","Call"),O572,$C$4,$C$9*SQRT($C$7))+
_xll.qlBlackFormula(IF(O572&lt;$C$4,"Put","Call"),O572-$C$14,$C$4,$C$9*SQRT($C$7)))/$C$14^2,"")</f>
        <v>8.9301624837836817E-3</v>
      </c>
      <c r="T572" s="42">
        <f>IFERROR((_xll.qlBlackFormula(IF(O572&lt;$C$4,"Put","Call"),O572+$C$14,$C$4,$C$10*SQRT($C$7),,$C$11)-
2*_xll.qlBlackFormula(IF(O572&lt;$C$4,"Put","Call"),O572,$C$4,$C$10*SQRT($C$7),,$C$11)+
_xll.qlBlackFormula(IF(O572&lt;$C$4,"Put","Call"),O572-$C$14,$C$4,$C$10*SQRT($C$7),,$C$11))/$C$14^2,"")</f>
        <v>1.4686252218237553E-5</v>
      </c>
      <c r="U572" s="43">
        <f>IFERROR((_xll.qlBachelierBlackFormula(IF(O572&lt;$C$4,"Put","Call"),O572+$C$14,$C$4,$C$12*SQRT($C$7))-
2*_xll.qlBachelierBlackFormula(IF(O572&lt;$C$4,"Put","Call"),O572,$C$4,$C$12*SQRT($C$7))+
_xll.qlBachelierBlackFormula(IF(O572&lt;$C$4,"Put","Call"),O572-$C$14,$C$4,$C$12*SQRT($C$7)))/$C$14^2,"")</f>
        <v>4.3992942036168668E-37</v>
      </c>
      <c r="V572" s="61">
        <f>IFERROR(_xll.qlBachelierBlackFormulaImpliedVol(IF(O572&lt;$C$4,"Put","Call"),O572,$C$4,$C$7,P572),"")</f>
        <v>1.1703152755764548E-2</v>
      </c>
      <c r="W572" s="61">
        <f>IFERROR(_xll.qlBachelierBlackFormulaImpliedVol(IF(O572&lt;$C$4,"Put","Call"),O572,$C$4,$C$7,Q572),"")</f>
        <v>7.9537255749567506E-3</v>
      </c>
      <c r="X572" s="61">
        <f>IFERROR(_xll.qlBachelierBlackFormulaImpliedVol(IF(O572&lt;$C$4,"Put","Call"),O572,$C$4,$C$7,R572),"")</f>
        <v>5.4154711354249497E-3</v>
      </c>
      <c r="Y572" s="42"/>
    </row>
    <row r="573" spans="15:25">
      <c r="O573" s="37">
        <f t="shared" si="9"/>
        <v>4.6800000000000307E-2</v>
      </c>
      <c r="P573" s="38">
        <f>IFERROR(_xll.qlBlackFormula(IF(O573&lt;$C$4,"Put","Call"),O573,$C$4,$C$9*SQRT($C$7)),"")</f>
        <v>5.2493612733687529E-7</v>
      </c>
      <c r="Q573" s="39">
        <f>IFERROR(_xll.qlBlackFormula(IF(O573&lt;$C$4,"Put","Call"),O573,$C$4,$C$10*SQRT($C$7),,$C$11),"")</f>
        <v>1.0880887071350603E-10</v>
      </c>
      <c r="R573" s="40">
        <f>IFERROR(_xll.qlBachelierBlackFormula(IF(O573&lt;$C$4,"Put","Call"),O573,$C$4,$C$12*SQRT($C$7)),"")</f>
        <v>1.5601230166946355E-44</v>
      </c>
      <c r="S573" s="41">
        <f>IFERROR((_xll.qlBlackFormula(IF(O573&lt;$C$4,"Put","Call"),O573+$C$14,$C$4,$C$9*SQRT($C$7))-
2*_xll.qlBlackFormula(IF(O573&lt;$C$4,"Put","Call"),O573,$C$4,$C$9*SQRT($C$7))+
_xll.qlBlackFormula(IF(O573&lt;$C$4,"Put","Call"),O573-$C$14,$C$4,$C$9*SQRT($C$7)))/$C$14^2,"")</f>
        <v>8.7951403497936627E-3</v>
      </c>
      <c r="T573" s="42">
        <f>IFERROR((_xll.qlBlackFormula(IF(O573&lt;$C$4,"Put","Call"),O573+$C$14,$C$4,$C$10*SQRT($C$7),,$C$11)-
2*_xll.qlBlackFormula(IF(O573&lt;$C$4,"Put","Call"),O573,$C$4,$C$10*SQRT($C$7),,$C$11)+
_xll.qlBlackFormula(IF(O573&lt;$C$4,"Put","Call"),O573-$C$14,$C$4,$C$10*SQRT($C$7),,$C$11))/$C$14^2,"")</f>
        <v>1.1342482952652183E-5</v>
      </c>
      <c r="U573" s="43">
        <f>IFERROR((_xll.qlBachelierBlackFormula(IF(O573&lt;$C$4,"Put","Call"),O573+$C$14,$C$4,$C$12*SQRT($C$7))-
2*_xll.qlBachelierBlackFormula(IF(O573&lt;$C$4,"Put","Call"),O573,$C$4,$C$12*SQRT($C$7))+
_xll.qlBachelierBlackFormula(IF(O573&lt;$C$4,"Put","Call"),O573-$C$14,$C$4,$C$12*SQRT($C$7)))/$C$14^2,"")</f>
        <v>2.8753721862193379E-37</v>
      </c>
      <c r="V573" s="61">
        <f>IFERROR(_xll.qlBachelierBlackFormulaImpliedVol(IF(O573&lt;$C$4,"Put","Call"),O573,$C$4,$C$7,P573),"")</f>
        <v>1.1720011020823241E-2</v>
      </c>
      <c r="W573" s="61">
        <f>IFERROR(_xll.qlBachelierBlackFormulaImpliedVol(IF(O573&lt;$C$4,"Put","Call"),O573,$C$4,$C$7,Q573),"")</f>
        <v>7.9634341618717401E-3</v>
      </c>
      <c r="X573" s="61">
        <f>IFERROR(_xll.qlBachelierBlackFormulaImpliedVol(IF(O573&lt;$C$4,"Put","Call"),O573,$C$4,$C$7,R573),"")</f>
        <v>5.4284578767569043E-3</v>
      </c>
      <c r="Y573" s="42"/>
    </row>
    <row r="574" spans="15:25">
      <c r="O574" s="37">
        <f t="shared" si="9"/>
        <v>4.6900000000000309E-2</v>
      </c>
      <c r="P574" s="38">
        <f>IFERROR(_xll.qlBlackFormula(IF(O574&lt;$C$4,"Put","Call"),O574,$C$4,$C$9*SQRT($C$7)),"")</f>
        <v>5.1852063773393499E-7</v>
      </c>
      <c r="Q574" s="39">
        <f>IFERROR(_xll.qlBlackFormula(IF(O574&lt;$C$4,"Put","Call"),O574,$C$4,$C$10*SQRT($C$7),,$C$11),"")</f>
        <v>1.0525162860707318E-10</v>
      </c>
      <c r="R574" s="40">
        <f>IFERROR(_xll.qlBachelierBlackFormula(IF(O574&lt;$C$4,"Put","Call"),O574,$C$4,$C$12*SQRT($C$7)),"")</f>
        <v>1.0138778914380225E-44</v>
      </c>
      <c r="S574" s="41">
        <f>IFERROR((_xll.qlBlackFormula(IF(O574&lt;$C$4,"Put","Call"),O574+$C$14,$C$4,$C$9*SQRT($C$7))-
2*_xll.qlBlackFormula(IF(O574&lt;$C$4,"Put","Call"),O574,$C$4,$C$9*SQRT($C$7))+
_xll.qlBlackFormula(IF(O574&lt;$C$4,"Put","Call"),O574-$C$14,$C$4,$C$9*SQRT($C$7)))/$C$14^2,"")</f>
        <v>8.6656396000703208E-3</v>
      </c>
      <c r="T574" s="42">
        <f>IFERROR((_xll.qlBlackFormula(IF(O574&lt;$C$4,"Put","Call"),O574+$C$14,$C$4,$C$10*SQRT($C$7),,$C$11)-
2*_xll.qlBlackFormula(IF(O574&lt;$C$4,"Put","Call"),O574,$C$4,$C$10*SQRT($C$7),,$C$11)+
_xll.qlBlackFormula(IF(O574&lt;$C$4,"Put","Call"),O574-$C$14,$C$4,$C$10*SQRT($C$7),,$C$11))/$C$14^2,"")</f>
        <v>1.1487976784569902E-5</v>
      </c>
      <c r="U574" s="43">
        <f>IFERROR((_xll.qlBachelierBlackFormula(IF(O574&lt;$C$4,"Put","Call"),O574+$C$14,$C$4,$C$12*SQRT($C$7))-
2*_xll.qlBachelierBlackFormula(IF(O574&lt;$C$4,"Put","Call"),O574,$C$4,$C$12*SQRT($C$7))+
_xll.qlBachelierBlackFormula(IF(O574&lt;$C$4,"Put","Call"),O574-$C$14,$C$4,$C$12*SQRT($C$7)))/$C$14^2,"")</f>
        <v>1.8774256937025787E-37</v>
      </c>
      <c r="V574" s="61">
        <f>IFERROR(_xll.qlBachelierBlackFormulaImpliedVol(IF(O574&lt;$C$4,"Put","Call"),O574,$C$4,$C$7,P574),"")</f>
        <v>1.1736861051352916E-2</v>
      </c>
      <c r="W574" s="61">
        <f>IFERROR(_xll.qlBachelierBlackFormulaImpliedVol(IF(O574&lt;$C$4,"Put","Call"),O574,$C$4,$C$7,Q574),"")</f>
        <v>7.9731380187669544E-3</v>
      </c>
      <c r="X574" s="61">
        <f>IFERROR(_xll.qlBachelierBlackFormulaImpliedVol(IF(O574&lt;$C$4,"Put","Call"),O574,$C$4,$C$7,R574),"")</f>
        <v>5.4414446180888589E-3</v>
      </c>
      <c r="Y574" s="42"/>
    </row>
    <row r="575" spans="15:25">
      <c r="O575" s="37">
        <f t="shared" si="9"/>
        <v>4.7000000000000312E-2</v>
      </c>
      <c r="P575" s="38">
        <f>IFERROR(_xll.qlBlackFormula(IF(O575&lt;$C$4,"Put","Call"),O575,$C$4,$C$9*SQRT($C$7)),"")</f>
        <v>5.121918142055678E-7</v>
      </c>
      <c r="Q575" s="39">
        <f>IFERROR(_xll.qlBlackFormula(IF(O575&lt;$C$4,"Put","Call"),O575,$C$4,$C$10*SQRT($C$7),,$C$11),"")</f>
        <v>1.0181359266779929E-10</v>
      </c>
      <c r="R575" s="40">
        <f>IFERROR(_xll.qlBachelierBlackFormula(IF(O575&lt;$C$4,"Put","Call"),O575,$C$4,$C$12*SQRT($C$7)),"")</f>
        <v>6.5822565704291183E-45</v>
      </c>
      <c r="S575" s="41">
        <f>IFERROR((_xll.qlBlackFormula(IF(O575&lt;$C$4,"Put","Call"),O575+$C$14,$C$4,$C$9*SQRT($C$7))-
2*_xll.qlBlackFormula(IF(O575&lt;$C$4,"Put","Call"),O575,$C$4,$C$9*SQRT($C$7))+
_xll.qlBlackFormula(IF(O575&lt;$C$4,"Put","Call"),O575-$C$14,$C$4,$C$9*SQRT($C$7)))/$C$14^2,"")</f>
        <v>8.5403702034349879E-3</v>
      </c>
      <c r="T575" s="42">
        <f>IFERROR((_xll.qlBlackFormula(IF(O575&lt;$C$4,"Put","Call"),O575+$C$14,$C$4,$C$10*SQRT($C$7),,$C$11)-
2*_xll.qlBlackFormula(IF(O575&lt;$C$4,"Put","Call"),O575,$C$4,$C$10*SQRT($C$7),,$C$11)+
_xll.qlBlackFormula(IF(O575&lt;$C$4,"Put","Call"),O575-$C$14,$C$4,$C$10*SQRT($C$7),,$C$11))/$C$14^2,"")</f>
        <v>1.2806867054039258E-5</v>
      </c>
      <c r="U575" s="43">
        <f>IFERROR((_xll.qlBachelierBlackFormula(IF(O575&lt;$C$4,"Put","Call"),O575+$C$14,$C$4,$C$12*SQRT($C$7))-
2*_xll.qlBachelierBlackFormula(IF(O575&lt;$C$4,"Put","Call"),O575,$C$4,$C$12*SQRT($C$7))+
_xll.qlBachelierBlackFormula(IF(O575&lt;$C$4,"Put","Call"),O575-$C$14,$C$4,$C$12*SQRT($C$7)))/$C$14^2,"")</f>
        <v>1.2245854048638382E-37</v>
      </c>
      <c r="V575" s="61">
        <f>IFERROR(_xll.qlBachelierBlackFormulaImpliedVol(IF(O575&lt;$C$4,"Put","Call"),O575,$C$4,$C$7,P575),"")</f>
        <v>1.1753702871796931E-2</v>
      </c>
      <c r="W575" s="61">
        <f>IFERROR(_xll.qlBachelierBlackFormulaImpliedVol(IF(O575&lt;$C$4,"Put","Call"),O575,$C$4,$C$7,Q575),"")</f>
        <v>7.9828371364970632E-3</v>
      </c>
      <c r="X575" s="61">
        <f>IFERROR(_xll.qlBachelierBlackFormulaImpliedVol(IF(O575&lt;$C$4,"Put","Call"),O575,$C$4,$C$7,R575),"")</f>
        <v>5.4544313594208135E-3</v>
      </c>
      <c r="Y575" s="42"/>
    </row>
    <row r="576" spans="15:25">
      <c r="O576" s="37">
        <f t="shared" si="9"/>
        <v>4.7100000000000315E-2</v>
      </c>
      <c r="P576" s="38">
        <f>IFERROR(_xll.qlBlackFormula(IF(O576&lt;$C$4,"Put","Call"),O576,$C$4,$C$9*SQRT($C$7)),"")</f>
        <v>5.0594837151800291E-7</v>
      </c>
      <c r="Q576" s="39">
        <f>IFERROR(_xll.qlBlackFormula(IF(O576&lt;$C$4,"Put","Call"),O576,$C$4,$C$10*SQRT($C$7),,$C$11),"")</f>
        <v>9.8490677336017138E-11</v>
      </c>
      <c r="R576" s="40">
        <f>IFERROR(_xll.qlBachelierBlackFormula(IF(O576&lt;$C$4,"Put","Call"),O576,$C$4,$C$12*SQRT($C$7)),"")</f>
        <v>4.2690012693465226E-45</v>
      </c>
      <c r="S576" s="41">
        <f>IFERROR((_xll.qlBlackFormula(IF(O576&lt;$C$4,"Put","Call"),O576+$C$14,$C$4,$C$9*SQRT($C$7))-
2*_xll.qlBlackFormula(IF(O576&lt;$C$4,"Put","Call"),O576,$C$4,$C$9*SQRT($C$7))+
_xll.qlBlackFormula(IF(O576&lt;$C$4,"Put","Call"),O576-$C$14,$C$4,$C$9*SQRT($C$7)))/$C$14^2,"")</f>
        <v>8.4099296706566674E-3</v>
      </c>
      <c r="T576" s="42">
        <f>IFERROR((_xll.qlBlackFormula(IF(O576&lt;$C$4,"Put","Call"),O576+$C$14,$C$4,$C$10*SQRT($C$7),,$C$11)-
2*_xll.qlBlackFormula(IF(O576&lt;$C$4,"Put","Call"),O576,$C$4,$C$10*SQRT($C$7),,$C$11)+
_xll.qlBlackFormula(IF(O576&lt;$C$4,"Put","Call"),O576-$C$14,$C$4,$C$10*SQRT($C$7),,$C$11))/$C$14^2,"")</f>
        <v>7.2933325245800752E-6</v>
      </c>
      <c r="U576" s="43">
        <f>IFERROR((_xll.qlBachelierBlackFormula(IF(O576&lt;$C$4,"Put","Call"),O576+$C$14,$C$4,$C$12*SQRT($C$7))-
2*_xll.qlBachelierBlackFormula(IF(O576&lt;$C$4,"Put","Call"),O576,$C$4,$C$12*SQRT($C$7))+
_xll.qlBachelierBlackFormula(IF(O576&lt;$C$4,"Put","Call"),O576-$C$14,$C$4,$C$12*SQRT($C$7)))/$C$14^2,"")</f>
        <v>7.9794513792302751E-38</v>
      </c>
      <c r="V576" s="61">
        <f>IFERROR(_xll.qlBachelierBlackFormulaImpliedVol(IF(O576&lt;$C$4,"Put","Call"),O576,$C$4,$C$7,P576),"")</f>
        <v>1.1770536506459364E-2</v>
      </c>
      <c r="W576" s="61">
        <f>IFERROR(_xll.qlBachelierBlackFormulaImpliedVol(IF(O576&lt;$C$4,"Put","Call"),O576,$C$4,$C$7,Q576),"")</f>
        <v>7.9925315693839989E-3</v>
      </c>
      <c r="X576" s="61">
        <f>IFERROR(_xll.qlBachelierBlackFormulaImpliedVol(IF(O576&lt;$C$4,"Put","Call"),O576,$C$4,$C$7,R576),"")</f>
        <v>5.467418100752768E-3</v>
      </c>
      <c r="Y576" s="42"/>
    </row>
    <row r="577" spans="15:25">
      <c r="O577" s="37">
        <f t="shared" si="9"/>
        <v>4.7200000000000318E-2</v>
      </c>
      <c r="P577" s="38">
        <f>IFERROR(_xll.qlBlackFormula(IF(O577&lt;$C$4,"Put","Call"),O577,$C$4,$C$9*SQRT($C$7)),"")</f>
        <v>4.9978904522557655E-7</v>
      </c>
      <c r="Q577" s="39">
        <f>IFERROR(_xll.qlBlackFormula(IF(O577&lt;$C$4,"Put","Call"),O577,$C$4,$C$10*SQRT($C$7),,$C$11),"")</f>
        <v>9.5278929013166184E-11</v>
      </c>
      <c r="R577" s="40">
        <f>IFERROR(_xll.qlBachelierBlackFormula(IF(O577&lt;$C$4,"Put","Call"),O577,$C$4,$C$12*SQRT($C$7)),"")</f>
        <v>2.7659228582717834E-45</v>
      </c>
      <c r="S577" s="41">
        <f>IFERROR((_xll.qlBlackFormula(IF(O577&lt;$C$4,"Put","Call"),O577+$C$14,$C$4,$C$9*SQRT($C$7))-
2*_xll.qlBlackFormula(IF(O577&lt;$C$4,"Put","Call"),O577,$C$4,$C$9*SQRT($C$7))+
_xll.qlBlackFormula(IF(O577&lt;$C$4,"Put","Call"),O577-$C$14,$C$4,$C$9*SQRT($C$7)))/$C$14^2,"")</f>
        <v>8.2865165467252422E-3</v>
      </c>
      <c r="T577" s="42">
        <f>IFERROR((_xll.qlBlackFormula(IF(O577&lt;$C$4,"Put","Call"),O577+$C$14,$C$4,$C$10*SQRT($C$7),,$C$11)-
2*_xll.qlBlackFormula(IF(O577&lt;$C$4,"Put","Call"),O577,$C$4,$C$10*SQRT($C$7),,$C$11)+
_xll.qlBlackFormula(IF(O577&lt;$C$4,"Put","Call"),O577-$C$14,$C$4,$C$10*SQRT($C$7),,$C$11))/$C$14^2,"")</f>
        <v>8.7241326795071903E-6</v>
      </c>
      <c r="U577" s="43">
        <f>IFERROR((_xll.qlBachelierBlackFormula(IF(O577&lt;$C$4,"Put","Call"),O577+$C$14,$C$4,$C$12*SQRT($C$7))-
2*_xll.qlBachelierBlackFormula(IF(O577&lt;$C$4,"Put","Call"),O577,$C$4,$C$12*SQRT($C$7))+
_xll.qlBachelierBlackFormula(IF(O577&lt;$C$4,"Put","Call"),O577-$C$14,$C$4,$C$12*SQRT($C$7)))/$C$14^2,"")</f>
        <v>5.1941515486671527E-38</v>
      </c>
      <c r="V577" s="61">
        <f>IFERROR(_xll.qlBachelierBlackFormulaImpliedVol(IF(O577&lt;$C$4,"Put","Call"),O577,$C$4,$C$7,P577),"")</f>
        <v>1.1787361979502501E-2</v>
      </c>
      <c r="W577" s="61">
        <f>IFERROR(_xll.qlBachelierBlackFormulaImpliedVol(IF(O577&lt;$C$4,"Put","Call"),O577,$C$4,$C$7,Q577),"")</f>
        <v>8.0022213009040763E-3</v>
      </c>
      <c r="X577" s="61">
        <f>IFERROR(_xll.qlBachelierBlackFormulaImpliedVol(IF(O577&lt;$C$4,"Put","Call"),O577,$C$4,$C$7,R577),"")</f>
        <v>5.4804048420847226E-3</v>
      </c>
      <c r="Y577" s="42"/>
    </row>
    <row r="578" spans="15:25">
      <c r="O578" s="37">
        <f t="shared" si="9"/>
        <v>4.7300000000000321E-2</v>
      </c>
      <c r="P578" s="38">
        <f>IFERROR(_xll.qlBlackFormula(IF(O578&lt;$C$4,"Put","Call"),O578,$C$4,$C$9*SQRT($C$7)),"")</f>
        <v>4.937125913165168E-7</v>
      </c>
      <c r="Q578" s="39">
        <f>IFERROR(_xll.qlBlackFormula(IF(O578&lt;$C$4,"Put","Call"),O578,$C$4,$C$10*SQRT($C$7),,$C$11),"")</f>
        <v>9.2174536941981583E-11</v>
      </c>
      <c r="R578" s="40">
        <f>IFERROR(_xll.qlBachelierBlackFormula(IF(O578&lt;$C$4,"Put","Call"),O578,$C$4,$C$12*SQRT($C$7)),"")</f>
        <v>1.7902600653499271E-45</v>
      </c>
      <c r="S578" s="41">
        <f>IFERROR((_xll.qlBlackFormula(IF(O578&lt;$C$4,"Put","Call"),O578+$C$14,$C$4,$C$9*SQRT($C$7))-
2*_xll.qlBlackFormula(IF(O578&lt;$C$4,"Put","Call"),O578,$C$4,$C$9*SQRT($C$7))+
_xll.qlBlackFormula(IF(O578&lt;$C$4,"Put","Call"),O578-$C$14,$C$4,$C$9*SQRT($C$7)))/$C$14^2,"")</f>
        <v>8.162781973790334E-3</v>
      </c>
      <c r="T578" s="42">
        <f>IFERROR((_xll.qlBlackFormula(IF(O578&lt;$C$4,"Put","Call"),O578+$C$14,$C$4,$C$10*SQRT($C$7),,$C$11)-
2*_xll.qlBlackFormula(IF(O578&lt;$C$4,"Put","Call"),O578,$C$4,$C$10*SQRT($C$7),,$C$11)+
_xll.qlBlackFormula(IF(O578&lt;$C$4,"Put","Call"),O578-$C$14,$C$4,$C$10*SQRT($C$7),,$C$11))/$C$14^2,"")</f>
        <v>1.0770107262785144E-5</v>
      </c>
      <c r="U578" s="43">
        <f>IFERROR((_xll.qlBachelierBlackFormula(IF(O578&lt;$C$4,"Put","Call"),O578+$C$14,$C$4,$C$12*SQRT($C$7))-
2*_xll.qlBachelierBlackFormula(IF(O578&lt;$C$4,"Put","Call"),O578,$C$4,$C$12*SQRT($C$7))+
_xll.qlBachelierBlackFormula(IF(O578&lt;$C$4,"Put","Call"),O578-$C$14,$C$4,$C$12*SQRT($C$7)))/$C$14^2,"")</f>
        <v>3.3776436990779361E-38</v>
      </c>
      <c r="V578" s="61">
        <f>IFERROR(_xll.qlBachelierBlackFormulaImpliedVol(IF(O578&lt;$C$4,"Put","Call"),O578,$C$4,$C$7,P578),"")</f>
        <v>1.1804179314982743E-2</v>
      </c>
      <c r="W578" s="61">
        <f>IFERROR(_xll.qlBachelierBlackFormulaImpliedVol(IF(O578&lt;$C$4,"Put","Call"),O578,$C$4,$C$7,Q578),"")</f>
        <v>8.011906331545424E-3</v>
      </c>
      <c r="X578" s="61">
        <f>IFERROR(_xll.qlBachelierBlackFormulaImpliedVol(IF(O578&lt;$C$4,"Put","Call"),O578,$C$4,$C$7,R578),"")</f>
        <v>5.4933915834166772E-3</v>
      </c>
      <c r="Y578" s="42"/>
    </row>
    <row r="579" spans="15:25">
      <c r="O579" s="37">
        <f t="shared" si="9"/>
        <v>4.7400000000000324E-2</v>
      </c>
      <c r="P579" s="38">
        <f>IFERROR(_xll.qlBlackFormula(IF(O579&lt;$C$4,"Put","Call"),O579,$C$4,$C$9*SQRT($C$7)),"")</f>
        <v>4.8771778585014202E-7</v>
      </c>
      <c r="Q579" s="39">
        <f>IFERROR(_xll.qlBlackFormula(IF(O579&lt;$C$4,"Put","Call"),O579,$C$4,$C$10*SQRT($C$7),,$C$11),"")</f>
        <v>8.9173830741797286E-11</v>
      </c>
      <c r="R579" s="40">
        <f>IFERROR(_xll.qlBachelierBlackFormula(IF(O579&lt;$C$4,"Put","Call"),O579,$C$4,$C$12*SQRT($C$7)),"")</f>
        <v>1.1575891433895778E-45</v>
      </c>
      <c r="S579" s="41">
        <f>IFERROR((_xll.qlBlackFormula(IF(O579&lt;$C$4,"Put","Call"),O579+$C$14,$C$4,$C$9*SQRT($C$7))-
2*_xll.qlBlackFormula(IF(O579&lt;$C$4,"Put","Call"),O579,$C$4,$C$9*SQRT($C$7))+
_xll.qlBlackFormula(IF(O579&lt;$C$4,"Put","Call"),O579-$C$14,$C$4,$C$9*SQRT($C$7)))/$C$14^2,"")</f>
        <v>8.0449114099492673E-3</v>
      </c>
      <c r="T579" s="42">
        <f>IFERROR((_xll.qlBlackFormula(IF(O579&lt;$C$4,"Put","Call"),O579+$C$14,$C$4,$C$10*SQRT($C$7),,$C$11)-
2*_xll.qlBlackFormula(IF(O579&lt;$C$4,"Put","Call"),O579,$C$4,$C$10*SQRT($C$7),,$C$11)+
_xll.qlBlackFormula(IF(O579&lt;$C$4,"Put","Call"),O579-$C$14,$C$4,$C$10*SQRT($C$7),,$C$11))/$C$14^2,"")</f>
        <v>7.0576875864226532E-6</v>
      </c>
      <c r="U579" s="43">
        <f>IFERROR((_xll.qlBachelierBlackFormula(IF(O579&lt;$C$4,"Put","Call"),O579+$C$14,$C$4,$C$12*SQRT($C$7))-
2*_xll.qlBachelierBlackFormula(IF(O579&lt;$C$4,"Put","Call"),O579,$C$4,$C$12*SQRT($C$7))+
_xll.qlBachelierBlackFormula(IF(O579&lt;$C$4,"Put","Call"),O579-$C$14,$C$4,$C$12*SQRT($C$7)))/$C$14^2,"")</f>
        <v>2.1941720527414004E-38</v>
      </c>
      <c r="V579" s="61">
        <f>IFERROR(_xll.qlBachelierBlackFormulaImpliedVol(IF(O579&lt;$C$4,"Put","Call"),O579,$C$4,$C$7,P579),"")</f>
        <v>1.1820988536830619E-2</v>
      </c>
      <c r="W579" s="61">
        <f>IFERROR(_xll.qlBachelierBlackFormulaImpliedVol(IF(O579&lt;$C$4,"Put","Call"),O579,$C$4,$C$7,Q579),"")</f>
        <v>8.0215867100217903E-3</v>
      </c>
      <c r="X579" s="61">
        <f>IFERROR(_xll.qlBachelierBlackFormulaImpliedVol(IF(O579&lt;$C$4,"Put","Call"),O579,$C$4,$C$7,R579),"")</f>
        <v>5.5063783247486318E-3</v>
      </c>
      <c r="Y579" s="42"/>
    </row>
    <row r="580" spans="15:25">
      <c r="O580" s="37">
        <f t="shared" si="9"/>
        <v>4.7500000000000327E-2</v>
      </c>
      <c r="P580" s="38">
        <f>IFERROR(_xll.qlBlackFormula(IF(O580&lt;$C$4,"Put","Call"),O580,$C$4,$C$9*SQRT($C$7)),"")</f>
        <v>4.8180342460414108E-7</v>
      </c>
      <c r="Q580" s="39">
        <f>IFERROR(_xll.qlBlackFormula(IF(O580&lt;$C$4,"Put","Call"),O580,$C$4,$C$10*SQRT($C$7),,$C$11),"")</f>
        <v>8.6273258675930337E-11</v>
      </c>
      <c r="R580" s="40">
        <f>IFERROR(_xll.qlBachelierBlackFormula(IF(O580&lt;$C$4,"Put","Call"),O580,$C$4,$C$12*SQRT($C$7)),"")</f>
        <v>7.4774756139321365E-46</v>
      </c>
      <c r="S580" s="41">
        <f>IFERROR((_xll.qlBlackFormula(IF(O580&lt;$C$4,"Put","Call"),O580+$C$14,$C$4,$C$9*SQRT($C$7))-
2*_xll.qlBlackFormula(IF(O580&lt;$C$4,"Put","Call"),O580,$C$4,$C$9*SQRT($C$7))+
_xll.qlBlackFormula(IF(O580&lt;$C$4,"Put","Call"),O580-$C$14,$C$4,$C$9*SQRT($C$7)))/$C$14^2,"")</f>
        <v>7.9290063860623042E-3</v>
      </c>
      <c r="T580" s="42">
        <f>IFERROR((_xll.qlBlackFormula(IF(O580&lt;$C$4,"Put","Call"),O580+$C$14,$C$4,$C$10*SQRT($C$7),,$C$11)-
2*_xll.qlBlackFormula(IF(O580&lt;$C$4,"Put","Call"),O580,$C$4,$C$10*SQRT($C$7),,$C$11)+
_xll.qlBlackFormula(IF(O580&lt;$C$4,"Put","Call"),O580-$C$14,$C$4,$C$10*SQRT($C$7),,$C$11))/$C$14^2,"")</f>
        <v>8.0995767822390795E-6</v>
      </c>
      <c r="U580" s="43">
        <f>IFERROR((_xll.qlBachelierBlackFormula(IF(O580&lt;$C$4,"Put","Call"),O580+$C$14,$C$4,$C$12*SQRT($C$7))-
2*_xll.qlBachelierBlackFormula(IF(O580&lt;$C$4,"Put","Call"),O580,$C$4,$C$12*SQRT($C$7))+
_xll.qlBachelierBlackFormula(IF(O580&lt;$C$4,"Put","Call"),O580-$C$14,$C$4,$C$12*SQRT($C$7)))/$C$14^2,"")</f>
        <v>1.4239185936102083E-38</v>
      </c>
      <c r="V580" s="61">
        <f>IFERROR(_xll.qlBachelierBlackFormulaImpliedVol(IF(O580&lt;$C$4,"Put","Call"),O580,$C$4,$C$7,P580),"")</f>
        <v>1.1837789668859084E-2</v>
      </c>
      <c r="W580" s="61">
        <f>IFERROR(_xll.qlBachelierBlackFormulaImpliedVol(IF(O580&lt;$C$4,"Put","Call"),O580,$C$4,$C$7,Q580),"")</f>
        <v>8.0312624273795475E-3</v>
      </c>
      <c r="X580" s="61">
        <f>IFERROR(_xll.qlBachelierBlackFormulaImpliedVol(IF(O580&lt;$C$4,"Put","Call"),O580,$C$4,$C$7,R580),"")</f>
        <v>5.5193650660805864E-3</v>
      </c>
      <c r="Y580" s="42"/>
    </row>
    <row r="581" spans="15:25">
      <c r="O581" s="37">
        <f t="shared" si="9"/>
        <v>4.760000000000033E-2</v>
      </c>
      <c r="P581" s="38">
        <f>IFERROR(_xll.qlBlackFormula(IF(O581&lt;$C$4,"Put","Call"),O581,$C$4,$C$9*SQRT($C$7)),"")</f>
        <v>4.7596832273543492E-7</v>
      </c>
      <c r="Q581" s="39">
        <f>IFERROR(_xll.qlBlackFormula(IF(O581&lt;$C$4,"Put","Call"),O581,$C$4,$C$10*SQRT($C$7),,$C$11),"")</f>
        <v>8.3469398792770363E-11</v>
      </c>
      <c r="R581" s="40">
        <f>IFERROR(_xll.qlBachelierBlackFormula(IF(O581&lt;$C$4,"Put","Call"),O581,$C$4,$C$12*SQRT($C$7)),"")</f>
        <v>4.8252273900833435E-46</v>
      </c>
      <c r="S581" s="41">
        <f>IFERROR((_xll.qlBlackFormula(IF(O581&lt;$C$4,"Put","Call"),O581+$C$14,$C$4,$C$9*SQRT($C$7))-
2*_xll.qlBlackFormula(IF(O581&lt;$C$4,"Put","Call"),O581,$C$4,$C$9*SQRT($C$7))+
_xll.qlBlackFormula(IF(O581&lt;$C$4,"Put","Call"),O581-$C$14,$C$4,$C$9*SQRT($C$7)))/$C$14^2,"")</f>
        <v>7.8075270383494606E-3</v>
      </c>
      <c r="T581" s="42">
        <f>IFERROR((_xll.qlBlackFormula(IF(O581&lt;$C$4,"Put","Call"),O581+$C$14,$C$4,$C$10*SQRT($C$7),,$C$11)-
2*_xll.qlBlackFormula(IF(O581&lt;$C$4,"Put","Call"),O581,$C$4,$C$10*SQRT($C$7),,$C$11)+
_xll.qlBlackFormula(IF(O581&lt;$C$4,"Put","Call"),O581-$C$14,$C$4,$C$10*SQRT($C$7),,$C$11))/$C$14^2,"")</f>
        <v>8.4992568057445953E-6</v>
      </c>
      <c r="U581" s="43">
        <f>IFERROR((_xll.qlBachelierBlackFormula(IF(O581&lt;$C$4,"Put","Call"),O581+$C$14,$C$4,$C$12*SQRT($C$7))-
2*_xll.qlBachelierBlackFormula(IF(O581&lt;$C$4,"Put","Call"),O581,$C$4,$C$12*SQRT($C$7))+
_xll.qlBachelierBlackFormula(IF(O581&lt;$C$4,"Put","Call"),O581-$C$14,$C$4,$C$12*SQRT($C$7)))/$C$14^2,"")</f>
        <v>9.2311810557950878E-39</v>
      </c>
      <c r="V581" s="61">
        <f>IFERROR(_xll.qlBachelierBlackFormulaImpliedVol(IF(O581&lt;$C$4,"Put","Call"),O581,$C$4,$C$7,P581),"")</f>
        <v>1.1854582734750912E-2</v>
      </c>
      <c r="W581" s="61">
        <f>IFERROR(_xll.qlBachelierBlackFormulaImpliedVol(IF(O581&lt;$C$4,"Put","Call"),O581,$C$4,$C$7,Q581),"")</f>
        <v>8.0409334934924675E-3</v>
      </c>
      <c r="X581" s="61">
        <f>IFERROR(_xll.qlBachelierBlackFormulaImpliedVol(IF(O581&lt;$C$4,"Put","Call"),O581,$C$4,$C$7,R581),"")</f>
        <v>5.5323518074125409E-3</v>
      </c>
      <c r="Y581" s="42"/>
    </row>
    <row r="582" spans="15:25">
      <c r="O582" s="37">
        <f t="shared" si="9"/>
        <v>4.7700000000000332E-2</v>
      </c>
      <c r="P582" s="38">
        <f>IFERROR(_xll.qlBlackFormula(IF(O582&lt;$C$4,"Put","Call"),O582,$C$4,$C$9*SQRT($C$7)),"")</f>
        <v>4.7021131442883407E-7</v>
      </c>
      <c r="Q582" s="39">
        <f>IFERROR(_xll.qlBlackFormula(IF(O582&lt;$C$4,"Put","Call"),O582,$C$4,$C$10*SQRT($C$7),,$C$11),"")</f>
        <v>8.0758948556294292E-11</v>
      </c>
      <c r="R582" s="40">
        <f>IFERROR(_xll.qlBachelierBlackFormula(IF(O582&lt;$C$4,"Put","Call"),O582,$C$4,$C$12*SQRT($C$7)),"")</f>
        <v>3.1105899295048537E-46</v>
      </c>
      <c r="S582" s="41">
        <f>IFERROR((_xll.qlBlackFormula(IF(O582&lt;$C$4,"Put","Call"),O582+$C$14,$C$4,$C$9*SQRT($C$7))-
2*_xll.qlBlackFormula(IF(O582&lt;$C$4,"Put","Call"),O582,$C$4,$C$9*SQRT($C$7))+
_xll.qlBlackFormula(IF(O582&lt;$C$4,"Put","Call"),O582-$C$14,$C$4,$C$9*SQRT($C$7)))/$C$14^2,"")</f>
        <v>7.6955907873368576E-3</v>
      </c>
      <c r="T582" s="42">
        <f>IFERROR((_xll.qlBlackFormula(IF(O582&lt;$C$4,"Put","Call"),O582+$C$14,$C$4,$C$10*SQRT($C$7),,$C$11)-
2*_xll.qlBlackFormula(IF(O582&lt;$C$4,"Put","Call"),O582,$C$4,$C$10*SQRT($C$7),,$C$11)+
_xll.qlBlackFormula(IF(O582&lt;$C$4,"Put","Call"),O582-$C$14,$C$4,$C$10*SQRT($C$7),,$C$11))/$C$14^2,"")</f>
        <v>9.6492818754740069E-6</v>
      </c>
      <c r="U582" s="43">
        <f>IFERROR((_xll.qlBachelierBlackFormula(IF(O582&lt;$C$4,"Put","Call"),O582+$C$14,$C$4,$C$12*SQRT($C$7))-
2*_xll.qlBachelierBlackFormula(IF(O582&lt;$C$4,"Put","Call"),O582,$C$4,$C$12*SQRT($C$7))+
_xll.qlBachelierBlackFormula(IF(O582&lt;$C$4,"Put","Call"),O582-$C$14,$C$4,$C$12*SQRT($C$7)))/$C$14^2,"")</f>
        <v>5.9784281157087633E-39</v>
      </c>
      <c r="V582" s="61">
        <f>IFERROR(_xll.qlBachelierBlackFormulaImpliedVol(IF(O582&lt;$C$4,"Put","Call"),O582,$C$4,$C$7,P582),"")</f>
        <v>1.1871367758073551E-2</v>
      </c>
      <c r="W582" s="61">
        <f>IFERROR(_xll.qlBachelierBlackFormulaImpliedVol(IF(O582&lt;$C$4,"Put","Call"),O582,$C$4,$C$7,Q582),"")</f>
        <v>8.0505999307088159E-3</v>
      </c>
      <c r="X582" s="61">
        <f>IFERROR(_xll.qlBachelierBlackFormulaImpliedVol(IF(O582&lt;$C$4,"Put","Call"),O582,$C$4,$C$7,R582),"")</f>
        <v>5.5453385487444955E-3</v>
      </c>
      <c r="Y582" s="42"/>
    </row>
    <row r="583" spans="15:25">
      <c r="O583" s="37">
        <f t="shared" si="9"/>
        <v>4.7800000000000335E-2</v>
      </c>
      <c r="P583" s="38">
        <f>IFERROR(_xll.qlBlackFormula(IF(O583&lt;$C$4,"Put","Call"),O583,$C$4,$C$9*SQRT($C$7)),"")</f>
        <v>4.6453125258507978E-7</v>
      </c>
      <c r="Q583" s="39">
        <f>IFERROR(_xll.qlBlackFormula(IF(O583&lt;$C$4,"Put","Call"),O583,$C$4,$C$10*SQRT($C$7),,$C$11),"")</f>
        <v>7.8138720005496394E-11</v>
      </c>
      <c r="R583" s="40">
        <f>IFERROR(_xll.qlBachelierBlackFormula(IF(O583&lt;$C$4,"Put","Call"),O583,$C$4,$C$12*SQRT($C$7)),"")</f>
        <v>2.0032258540972498E-46</v>
      </c>
      <c r="S583" s="41">
        <f>IFERROR((_xll.qlBlackFormula(IF(O583&lt;$C$4,"Put","Call"),O583+$C$14,$C$4,$C$9*SQRT($C$7))-
2*_xll.qlBlackFormula(IF(O583&lt;$C$4,"Put","Call"),O583,$C$4,$C$9*SQRT($C$7))+
_xll.qlBlackFormula(IF(O583&lt;$C$4,"Put","Call"),O583-$C$14,$C$4,$C$9*SQRT($C$7)))/$C$14^2,"")</f>
        <v>7.579812394875509E-3</v>
      </c>
      <c r="T583" s="42">
        <f>IFERROR((_xll.qlBlackFormula(IF(O583&lt;$C$4,"Put","Call"),O583+$C$14,$C$4,$C$10*SQRT($C$7),,$C$11)-
2*_xll.qlBlackFormula(IF(O583&lt;$C$4,"Put","Call"),O583,$C$4,$C$10*SQRT($C$7),,$C$11)+
_xll.qlBlackFormula(IF(O583&lt;$C$4,"Put","Call"),O583-$C$14,$C$4,$C$10*SQRT($C$7),,$C$11))/$C$14^2,"")</f>
        <v>1.2520151778067659E-5</v>
      </c>
      <c r="U583" s="43">
        <f>IFERROR((_xll.qlBachelierBlackFormula(IF(O583&lt;$C$4,"Put","Call"),O583+$C$14,$C$4,$C$12*SQRT($C$7))-
2*_xll.qlBachelierBlackFormula(IF(O583&lt;$C$4,"Put","Call"),O583,$C$4,$C$12*SQRT($C$7))+
_xll.qlBachelierBlackFormula(IF(O583&lt;$C$4,"Put","Call"),O583-$C$14,$C$4,$C$12*SQRT($C$7)))/$C$14^2,"")</f>
        <v>3.8678923995891493E-39</v>
      </c>
      <c r="V583" s="61">
        <f>IFERROR(_xll.qlBachelierBlackFormulaImpliedVol(IF(O583&lt;$C$4,"Put","Call"),O583,$C$4,$C$7,P583),"")</f>
        <v>1.1888144762270561E-2</v>
      </c>
      <c r="W583" s="61">
        <f>IFERROR(_xll.qlBachelierBlackFormulaImpliedVol(IF(O583&lt;$C$4,"Put","Call"),O583,$C$4,$C$7,Q583),"")</f>
        <v>8.0602617491452345E-3</v>
      </c>
      <c r="X583" s="61">
        <f>IFERROR(_xll.qlBachelierBlackFormulaImpliedVol(IF(O583&lt;$C$4,"Put","Call"),O583,$C$4,$C$7,R583),"")</f>
        <v>5.558325290076451E-3</v>
      </c>
      <c r="Y583" s="42"/>
    </row>
    <row r="584" spans="15:25">
      <c r="O584" s="37">
        <f t="shared" si="9"/>
        <v>4.7900000000000338E-2</v>
      </c>
      <c r="P584" s="38">
        <f>IFERROR(_xll.qlBlackFormula(IF(O584&lt;$C$4,"Put","Call"),O584,$C$4,$C$9*SQRT($C$7)),"")</f>
        <v>4.5892700847575479E-7</v>
      </c>
      <c r="Q584" s="39">
        <f>IFERROR(_xll.qlBlackFormula(IF(O584&lt;$C$4,"Put","Call"),O584,$C$4,$C$10*SQRT($C$7),,$C$11),"")</f>
        <v>7.5605639188172611E-11</v>
      </c>
      <c r="R584" s="40">
        <f>IFERROR(_xll.qlBachelierBlackFormula(IF(O584&lt;$C$4,"Put","Call"),O584,$C$4,$C$12*SQRT($C$7)),"")</f>
        <v>1.288781309808543E-46</v>
      </c>
      <c r="S584" s="41">
        <f>IFERROR((_xll.qlBlackFormula(IF(O584&lt;$C$4,"Put","Call"),O584+$C$14,$C$4,$C$9*SQRT($C$7))-
2*_xll.qlBlackFormula(IF(O584&lt;$C$4,"Put","Call"),O584,$C$4,$C$9*SQRT($C$7))+
_xll.qlBlackFormula(IF(O584&lt;$C$4,"Put","Call"),O584-$C$14,$C$4,$C$9*SQRT($C$7)))/$C$14^2,"")</f>
        <v>7.4727368424307248E-3</v>
      </c>
      <c r="T584" s="42">
        <f>IFERROR((_xll.qlBlackFormula(IF(O584&lt;$C$4,"Put","Call"),O584+$C$14,$C$4,$C$10*SQRT($C$7),,$C$11)-
2*_xll.qlBlackFormula(IF(O584&lt;$C$4,"Put","Call"),O584,$C$4,$C$10*SQRT($C$7),,$C$11)+
_xll.qlBlackFormula(IF(O584&lt;$C$4,"Put","Call"),O584-$C$14,$C$4,$C$10*SQRT($C$7),,$C$11))/$C$14^2,"")</f>
        <v>6.6361915014416638E-6</v>
      </c>
      <c r="U584" s="43">
        <f>IFERROR((_xll.qlBachelierBlackFormula(IF(O584&lt;$C$4,"Put","Call"),O584+$C$14,$C$4,$C$12*SQRT($C$7))-
2*_xll.qlBachelierBlackFormula(IF(O584&lt;$C$4,"Put","Call"),O584,$C$4,$C$12*SQRT($C$7))+
_xll.qlBachelierBlackFormula(IF(O584&lt;$C$4,"Put","Call"),O584-$C$14,$C$4,$C$12*SQRT($C$7)))/$C$14^2,"")</f>
        <v>2.4998812955806499E-39</v>
      </c>
      <c r="V584" s="61">
        <f>IFERROR(_xll.qlBachelierBlackFormulaImpliedVol(IF(O584&lt;$C$4,"Put","Call"),O584,$C$4,$C$7,P584),"")</f>
        <v>1.1904913770659425E-2</v>
      </c>
      <c r="W584" s="61">
        <f>IFERROR(_xll.qlBachelierBlackFormulaImpliedVol(IF(O584&lt;$C$4,"Put","Call"),O584,$C$4,$C$7,Q584),"")</f>
        <v>8.069918956599963E-3</v>
      </c>
      <c r="X584" s="61">
        <f>IFERROR(_xll.qlBachelierBlackFormulaImpliedVol(IF(O584&lt;$C$4,"Put","Call"),O584,$C$4,$C$7,R584),"")</f>
        <v>5.5713120314084047E-3</v>
      </c>
      <c r="Y584" s="42"/>
    </row>
    <row r="585" spans="15:25">
      <c r="O585" s="37">
        <f t="shared" si="9"/>
        <v>4.8000000000000341E-2</v>
      </c>
      <c r="P585" s="38">
        <f>IFERROR(_xll.qlBlackFormula(IF(O585&lt;$C$4,"Put","Call"),O585,$C$4,$C$9*SQRT($C$7)),"")</f>
        <v>4.5339747143950211E-7</v>
      </c>
      <c r="Q585" s="39">
        <f>IFERROR(_xll.qlBlackFormula(IF(O585&lt;$C$4,"Put","Call"),O585,$C$4,$C$10*SQRT($C$7),,$C$11),"")</f>
        <v>7.3156733948468171E-11</v>
      </c>
      <c r="R585" s="40">
        <f>IFERROR(_xll.qlBachelierBlackFormula(IF(O585&lt;$C$4,"Put","Call"),O585,$C$4,$C$12*SQRT($C$7)),"")</f>
        <v>8.2830575565926228E-47</v>
      </c>
      <c r="S585" s="41">
        <f>IFERROR((_xll.qlBlackFormula(IF(O585&lt;$C$4,"Put","Call"),O585+$C$14,$C$4,$C$9*SQRT($C$7))-
2*_xll.qlBlackFormula(IF(O585&lt;$C$4,"Put","Call"),O585,$C$4,$C$9*SQRT($C$7))+
_xll.qlBlackFormula(IF(O585&lt;$C$4,"Put","Call"),O585-$C$14,$C$4,$C$9*SQRT($C$7)))/$C$14^2,"")</f>
        <v>7.3609284933931571E-3</v>
      </c>
      <c r="T585" s="42">
        <f>IFERROR((_xll.qlBlackFormula(IF(O585&lt;$C$4,"Put","Call"),O585+$C$14,$C$4,$C$10*SQRT($C$7),,$C$11)-
2*_xll.qlBlackFormula(IF(O585&lt;$C$4,"Put","Call"),O585,$C$4,$C$10*SQRT($C$7),,$C$11)+
_xll.qlBlackFormula(IF(O585&lt;$C$4,"Put","Call"),O585-$C$14,$C$4,$C$10*SQRT($C$7),,$C$11))/$C$14^2,"")</f>
        <v>7.2122861953427421E-6</v>
      </c>
      <c r="U585" s="43">
        <f>IFERROR((_xll.qlBachelierBlackFormula(IF(O585&lt;$C$4,"Put","Call"),O585+$C$14,$C$4,$C$12*SQRT($C$7))-
2*_xll.qlBachelierBlackFormula(IF(O585&lt;$C$4,"Put","Call"),O585,$C$4,$C$12*SQRT($C$7))+
_xll.qlBachelierBlackFormula(IF(O585&lt;$C$4,"Put","Call"),O585-$C$14,$C$4,$C$12*SQRT($C$7)))/$C$14^2,"")</f>
        <v>1.6140687223545328E-39</v>
      </c>
      <c r="V585" s="61">
        <f>IFERROR(_xll.qlBachelierBlackFormulaImpliedVol(IF(O585&lt;$C$4,"Put","Call"),O585,$C$4,$C$7,P585),"")</f>
        <v>1.1921674806465042E-2</v>
      </c>
      <c r="W585" s="61">
        <f>IFERROR(_xll.qlBachelierBlackFormulaImpliedVol(IF(O585&lt;$C$4,"Put","Call"),O585,$C$4,$C$7,Q585),"")</f>
        <v>8.0795715784183052E-3</v>
      </c>
      <c r="X585" s="61">
        <f>IFERROR(_xll.qlBachelierBlackFormulaImpliedVol(IF(O585&lt;$C$4,"Put","Call"),O585,$C$4,$C$7,R585),"")</f>
        <v>5.5842987727403592E-3</v>
      </c>
      <c r="Y585" s="42"/>
    </row>
    <row r="586" spans="15:25">
      <c r="O586" s="37">
        <f t="shared" si="9"/>
        <v>4.8100000000000344E-2</v>
      </c>
      <c r="P586" s="38">
        <f>IFERROR(_xll.qlBlackFormula(IF(O586&lt;$C$4,"Put","Call"),O586,$C$4,$C$9*SQRT($C$7)),"")</f>
        <v>4.4794154855719387E-7</v>
      </c>
      <c r="Q586" s="39">
        <f>IFERROR(_xll.qlBlackFormula(IF(O586&lt;$C$4,"Put","Call"),O586,$C$4,$C$10*SQRT($C$7),,$C$11),"")</f>
        <v>7.0789138606467243E-11</v>
      </c>
      <c r="R586" s="40">
        <f>IFERROR(_xll.qlBachelierBlackFormula(IF(O586&lt;$C$4,"Put","Call"),O586,$C$4,$C$12*SQRT($C$7)),"")</f>
        <v>5.3181948664505196E-47</v>
      </c>
      <c r="S586" s="41">
        <f>IFERROR((_xll.qlBlackFormula(IF(O586&lt;$C$4,"Put","Call"),O586+$C$14,$C$4,$C$9*SQRT($C$7))-
2*_xll.qlBlackFormula(IF(O586&lt;$C$4,"Put","Call"),O586,$C$4,$C$9*SQRT($C$7))+
_xll.qlBlackFormula(IF(O586&lt;$C$4,"Put","Call"),O586-$C$14,$C$4,$C$9*SQRT($C$7)))/$C$14^2,"")</f>
        <v>7.2548736156498143E-3</v>
      </c>
      <c r="T586" s="42">
        <f>IFERROR((_xll.qlBlackFormula(IF(O586&lt;$C$4,"Put","Call"),O586+$C$14,$C$4,$C$10*SQRT($C$7),,$C$11)-
2*_xll.qlBlackFormula(IF(O586&lt;$C$4,"Put","Call"),O586,$C$4,$C$10*SQRT($C$7),,$C$11)+
_xll.qlBlackFormula(IF(O586&lt;$C$4,"Put","Call"),O586-$C$14,$C$4,$C$10*SQRT($C$7),,$C$11))/$C$14^2,"")</f>
        <v>7.8304585330286272E-6</v>
      </c>
      <c r="U586" s="43">
        <f>IFERROR((_xll.qlBachelierBlackFormula(IF(O586&lt;$C$4,"Put","Call"),O586+$C$14,$C$4,$C$12*SQRT($C$7))-
2*_xll.qlBachelierBlackFormula(IF(O586&lt;$C$4,"Put","Call"),O586,$C$4,$C$12*SQRT($C$7))+
_xll.qlBachelierBlackFormula(IF(O586&lt;$C$4,"Put","Call"),O586-$C$14,$C$4,$C$12*SQRT($C$7)))/$C$14^2,"")</f>
        <v>1.041075651906323E-39</v>
      </c>
      <c r="V586" s="61">
        <f>IFERROR(_xll.qlBachelierBlackFormulaImpliedVol(IF(O586&lt;$C$4,"Put","Call"),O586,$C$4,$C$7,P586),"")</f>
        <v>1.1938427892779749E-2</v>
      </c>
      <c r="W586" s="61">
        <f>IFERROR(_xll.qlBachelierBlackFormulaImpliedVol(IF(O586&lt;$C$4,"Put","Call"),O586,$C$4,$C$7,Q586),"")</f>
        <v>8.0892196019165079E-3</v>
      </c>
      <c r="X586" s="61">
        <f>IFERROR(_xll.qlBachelierBlackFormulaImpliedVol(IF(O586&lt;$C$4,"Put","Call"),O586,$C$4,$C$7,R586),"")</f>
        <v>5.5972855140723138E-3</v>
      </c>
      <c r="Y586" s="42"/>
    </row>
    <row r="587" spans="15:25">
      <c r="O587" s="37">
        <f t="shared" si="9"/>
        <v>4.8200000000000347E-2</v>
      </c>
      <c r="P587" s="38">
        <f>IFERROR(_xll.qlBlackFormula(IF(O587&lt;$C$4,"Put","Call"),O587,$C$4,$C$9*SQRT($C$7)),"")</f>
        <v>4.4255816434988609E-7</v>
      </c>
      <c r="Q587" s="39">
        <f>IFERROR(_xll.qlBlackFormula(IF(O587&lt;$C$4,"Put","Call"),O587,$C$4,$C$10*SQRT($C$7),,$C$11),"")</f>
        <v>6.850009071079145E-11</v>
      </c>
      <c r="R587" s="40">
        <f>IFERROR(_xll.qlBachelierBlackFormula(IF(O587&lt;$C$4,"Put","Call"),O587,$C$4,$C$12*SQRT($C$7)),"")</f>
        <v>3.4111428842350235E-47</v>
      </c>
      <c r="S587" s="41">
        <f>IFERROR((_xll.qlBlackFormula(IF(O587&lt;$C$4,"Put","Call"),O587+$C$14,$C$4,$C$9*SQRT($C$7))-
2*_xll.qlBlackFormula(IF(O587&lt;$C$4,"Put","Call"),O587,$C$4,$C$9*SQRT($C$7))+
_xll.qlBlackFormula(IF(O587&lt;$C$4,"Put","Call"),O587-$C$14,$C$4,$C$9*SQRT($C$7)))/$C$14^2,"")</f>
        <v>7.1490914825154874E-3</v>
      </c>
      <c r="T587" s="42">
        <f>IFERROR((_xll.qlBlackFormula(IF(O587&lt;$C$4,"Put","Call"),O587+$C$14,$C$4,$C$10*SQRT($C$7),,$C$11)-
2*_xll.qlBlackFormula(IF(O587&lt;$C$4,"Put","Call"),O587,$C$4,$C$10*SQRT($C$7),,$C$11)+
_xll.qlBlackFormula(IF(O587&lt;$C$4,"Put","Call"),O587-$C$14,$C$4,$C$10*SQRT($C$7),,$C$11))/$C$14^2,"")</f>
        <v>5.5370152919174182E-6</v>
      </c>
      <c r="U587" s="43">
        <f>IFERROR((_xll.qlBachelierBlackFormula(IF(O587&lt;$C$4,"Put","Call"),O587+$C$14,$C$4,$C$12*SQRT($C$7))-
2*_xll.qlBachelierBlackFormula(IF(O587&lt;$C$4,"Put","Call"),O587,$C$4,$C$12*SQRT($C$7))+
_xll.qlBachelierBlackFormula(IF(O587&lt;$C$4,"Put","Call"),O587-$C$14,$C$4,$C$12*SQRT($C$7)))/$C$14^2,"")</f>
        <v>6.7081101717090623E-40</v>
      </c>
      <c r="V587" s="61">
        <f>IFERROR(_xll.qlBachelierBlackFormulaImpliedVol(IF(O587&lt;$C$4,"Put","Call"),O587,$C$4,$C$7,P587),"")</f>
        <v>1.1955173052566227E-2</v>
      </c>
      <c r="W587" s="61">
        <f>IFERROR(_xll.qlBachelierBlackFormulaImpliedVol(IF(O587&lt;$C$4,"Put","Call"),O587,$C$4,$C$7,Q587),"")</f>
        <v>8.0988630620982219E-3</v>
      </c>
      <c r="X587" s="61">
        <f>IFERROR(_xll.qlBachelierBlackFormulaImpliedVol(IF(O587&lt;$C$4,"Put","Call"),O587,$C$4,$C$7,R587),"")</f>
        <v>5.6102722554042693E-3</v>
      </c>
      <c r="Y587" s="42"/>
    </row>
    <row r="588" spans="15:25">
      <c r="O588" s="37">
        <f t="shared" si="9"/>
        <v>4.830000000000035E-2</v>
      </c>
      <c r="P588" s="38">
        <f>IFERROR(_xll.qlBlackFormula(IF(O588&lt;$C$4,"Put","Call"),O588,$C$4,$C$9*SQRT($C$7)),"")</f>
        <v>4.3724626047668506E-7</v>
      </c>
      <c r="Q588" s="39">
        <f>IFERROR(_xll.qlBlackFormula(IF(O588&lt;$C$4,"Put","Call"),O588,$C$4,$C$10*SQRT($C$7),,$C$11),"")</f>
        <v>6.6286918454220619E-11</v>
      </c>
      <c r="R588" s="40">
        <f>IFERROR(_xll.qlBachelierBlackFormula(IF(O588&lt;$C$4,"Put","Call"),O588,$C$4,$C$12*SQRT($C$7)),"")</f>
        <v>2.185735741031417E-47</v>
      </c>
      <c r="S588" s="41">
        <f>IFERROR((_xll.qlBlackFormula(IF(O588&lt;$C$4,"Put","Call"),O588+$C$14,$C$4,$C$9*SQRT($C$7))-
2*_xll.qlBlackFormula(IF(O588&lt;$C$4,"Put","Call"),O588,$C$4,$C$9*SQRT($C$7))+
_xll.qlBlackFormula(IF(O588&lt;$C$4,"Put","Call"),O588-$C$14,$C$4,$C$9*SQRT($C$7)))/$C$14^2,"")</f>
        <v>7.0452744658187905E-3</v>
      </c>
      <c r="T588" s="42">
        <f>IFERROR((_xll.qlBlackFormula(IF(O588&lt;$C$4,"Put","Call"),O588+$C$14,$C$4,$C$10*SQRT($C$7),,$C$11)-
2*_xll.qlBlackFormula(IF(O588&lt;$C$4,"Put","Call"),O588,$C$4,$C$10*SQRT($C$7),,$C$11)+
_xll.qlBlackFormula(IF(O588&lt;$C$4,"Put","Call"),O588-$C$14,$C$4,$C$10*SQRT($C$7),,$C$11))/$C$14^2,"")</f>
        <v>6.2319036683339213E-6</v>
      </c>
      <c r="U588" s="43">
        <f>IFERROR((_xll.qlBachelierBlackFormula(IF(O588&lt;$C$4,"Put","Call"),O588+$C$14,$C$4,$C$12*SQRT($C$7))-
2*_xll.qlBachelierBlackFormula(IF(O588&lt;$C$4,"Put","Call"),O588,$C$4,$C$12*SQRT($C$7))+
_xll.qlBachelierBlackFormula(IF(O588&lt;$C$4,"Put","Call"),O588-$C$14,$C$4,$C$12*SQRT($C$7)))/$C$14^2,"")</f>
        <v>4.3179311764938825E-40</v>
      </c>
      <c r="V588" s="61">
        <f>IFERROR(_xll.qlBachelierBlackFormulaImpliedVol(IF(O588&lt;$C$4,"Put","Call"),O588,$C$4,$C$7,P588),"")</f>
        <v>1.1971910308683609E-2</v>
      </c>
      <c r="W588" s="61">
        <f>IFERROR(_xll.qlBachelierBlackFormulaImpliedVol(IF(O588&lt;$C$4,"Put","Call"),O588,$C$4,$C$7,Q588),"")</f>
        <v>8.1085019576190905E-3</v>
      </c>
      <c r="X588" s="61">
        <f>IFERROR(_xll.qlBachelierBlackFormulaImpliedVol(IF(O588&lt;$C$4,"Put","Call"),O588,$C$4,$C$7,R588),"")</f>
        <v>5.623258996736223E-3</v>
      </c>
      <c r="Y588" s="42"/>
    </row>
    <row r="589" spans="15:25">
      <c r="O589" s="37">
        <f t="shared" si="9"/>
        <v>4.8400000000000352E-2</v>
      </c>
      <c r="P589" s="38">
        <f>IFERROR(_xll.qlBlackFormula(IF(O589&lt;$C$4,"Put","Call"),O589,$C$4,$C$9*SQRT($C$7)),"")</f>
        <v>4.3200479543460793E-7</v>
      </c>
      <c r="Q589" s="39">
        <f>IFERROR(_xll.qlBlackFormula(IF(O589&lt;$C$4,"Put","Call"),O589,$C$4,$C$10*SQRT($C$7),,$C$11),"")</f>
        <v>6.4147043976607183E-11</v>
      </c>
      <c r="R589" s="40">
        <f>IFERROR(_xll.qlBachelierBlackFormula(IF(O589&lt;$C$4,"Put","Call"),O589,$C$4,$C$12*SQRT($C$7)),"")</f>
        <v>1.3991280214067416E-47</v>
      </c>
      <c r="S589" s="41">
        <f>IFERROR((_xll.qlBlackFormula(IF(O589&lt;$C$4,"Put","Call"),O589+$C$14,$C$4,$C$9*SQRT($C$7))-
2*_xll.qlBlackFormula(IF(O589&lt;$C$4,"Put","Call"),O589,$C$4,$C$9*SQRT($C$7))+
_xll.qlBlackFormula(IF(O589&lt;$C$4,"Put","Call"),O589-$C$14,$C$4,$C$9*SQRT($C$7)))/$C$14^2,"")</f>
        <v>6.9446664334427664E-3</v>
      </c>
      <c r="T589" s="42">
        <f>IFERROR((_xll.qlBlackFormula(IF(O589&lt;$C$4,"Put","Call"),O589+$C$14,$C$4,$C$10*SQRT($C$7),,$C$11)-
2*_xll.qlBlackFormula(IF(O589&lt;$C$4,"Put","Call"),O589,$C$4,$C$10*SQRT($C$7),,$C$11)+
_xll.qlBlackFormula(IF(O589&lt;$C$4,"Put","Call"),O589-$C$14,$C$4,$C$10*SQRT($C$7),,$C$11))/$C$14^2,"")</f>
        <v>1.0486334268252396E-5</v>
      </c>
      <c r="U589" s="43">
        <f>IFERROR((_xll.qlBachelierBlackFormula(IF(O589&lt;$C$4,"Put","Call"),O589+$C$14,$C$4,$C$12*SQRT($C$7))-
2*_xll.qlBachelierBlackFormula(IF(O589&lt;$C$4,"Put","Call"),O589,$C$4,$C$12*SQRT($C$7))+
_xll.qlBachelierBlackFormula(IF(O589&lt;$C$4,"Put","Call"),O589-$C$14,$C$4,$C$12*SQRT($C$7)))/$C$14^2,"")</f>
        <v>2.7765715834162522E-40</v>
      </c>
      <c r="V589" s="61">
        <f>IFERROR(_xll.qlBachelierBlackFormulaImpliedVol(IF(O589&lt;$C$4,"Put","Call"),O589,$C$4,$C$7,P589),"")</f>
        <v>1.1988639683888762E-2</v>
      </c>
      <c r="W589" s="61">
        <f>IFERROR(_xll.qlBachelierBlackFormulaImpliedVol(IF(O589&lt;$C$4,"Put","Call"),O589,$C$4,$C$7,Q589),"")</f>
        <v>8.1181363221832486E-3</v>
      </c>
      <c r="X589" s="61">
        <f>IFERROR(_xll.qlBachelierBlackFormulaImpliedVol(IF(O589&lt;$C$4,"Put","Call"),O589,$C$4,$C$7,R589),"")</f>
        <v>5.6362457380681776E-3</v>
      </c>
      <c r="Y589" s="42"/>
    </row>
    <row r="590" spans="15:25">
      <c r="O590" s="37">
        <f t="shared" si="9"/>
        <v>4.8500000000000355E-2</v>
      </c>
      <c r="P590" s="38">
        <f>IFERROR(_xll.qlBlackFormula(IF(O590&lt;$C$4,"Put","Call"),O590,$C$4,$C$9*SQRT($C$7)),"")</f>
        <v>4.2683274427738727E-7</v>
      </c>
      <c r="Q590" s="39">
        <f>IFERROR(_xll.qlBlackFormula(IF(O590&lt;$C$4,"Put","Call"),O590,$C$4,$C$10*SQRT($C$7),,$C$11),"")</f>
        <v>6.2077986195944839E-11</v>
      </c>
      <c r="R590" s="40">
        <f>IFERROR(_xll.qlBachelierBlackFormula(IF(O590&lt;$C$4,"Put","Call"),O590,$C$4,$C$12*SQRT($C$7)),"")</f>
        <v>8.9470382500896868E-48</v>
      </c>
      <c r="S590" s="41">
        <f>IFERROR((_xll.qlBlackFormula(IF(O590&lt;$C$4,"Put","Call"),O590+$C$14,$C$4,$C$9*SQRT($C$7))-
2*_xll.qlBlackFormula(IF(O590&lt;$C$4,"Put","Call"),O590,$C$4,$C$9*SQRT($C$7))+
_xll.qlBlackFormula(IF(O590&lt;$C$4,"Put","Call"),O590-$C$14,$C$4,$C$9*SQRT($C$7)))/$C$14^2,"")</f>
        <v>6.8446305718226127E-3</v>
      </c>
      <c r="T590" s="42">
        <f>IFERROR((_xll.qlBlackFormula(IF(O590&lt;$C$4,"Put","Call"),O590+$C$14,$C$4,$C$10*SQRT($C$7),,$C$11)-
2*_xll.qlBlackFormula(IF(O590&lt;$C$4,"Put","Call"),O590,$C$4,$C$10*SQRT($C$7),,$C$11)+
_xll.qlBlackFormula(IF(O590&lt;$C$4,"Put","Call"),O590-$C$14,$C$4,$C$10*SQRT($C$7),,$C$11))/$C$14^2,"")</f>
        <v>4.7715719247677451E-6</v>
      </c>
      <c r="U590" s="43">
        <f>IFERROR((_xll.qlBachelierBlackFormula(IF(O590&lt;$C$4,"Put","Call"),O590+$C$14,$C$4,$C$12*SQRT($C$7))-
2*_xll.qlBachelierBlackFormula(IF(O590&lt;$C$4,"Put","Call"),O590,$C$4,$C$12*SQRT($C$7))+
_xll.qlBachelierBlackFormula(IF(O590&lt;$C$4,"Put","Call"),O590-$C$14,$C$4,$C$12*SQRT($C$7)))/$C$14^2,"")</f>
        <v>1.783609041580487E-40</v>
      </c>
      <c r="V590" s="61">
        <f>IFERROR(_xll.qlBachelierBlackFormulaImpliedVol(IF(O590&lt;$C$4,"Put","Call"),O590,$C$4,$C$7,P590),"")</f>
        <v>1.2005361200810964E-2</v>
      </c>
      <c r="W590" s="61">
        <f>IFERROR(_xll.qlBachelierBlackFormulaImpliedVol(IF(O590&lt;$C$4,"Put","Call"),O590,$C$4,$C$7,Q590),"")</f>
        <v>8.1277661399861735E-3</v>
      </c>
      <c r="X590" s="61">
        <f>IFERROR(_xll.qlBachelierBlackFormulaImpliedVol(IF(O590&lt;$C$4,"Put","Call"),O590,$C$4,$C$7,R590),"")</f>
        <v>5.6492324794001321E-3</v>
      </c>
      <c r="Y590" s="42"/>
    </row>
    <row r="591" spans="15:25">
      <c r="O591" s="37">
        <f t="shared" si="9"/>
        <v>4.8600000000000358E-2</v>
      </c>
      <c r="P591" s="38">
        <f>IFERROR(_xll.qlBlackFormula(IF(O591&lt;$C$4,"Put","Call"),O591,$C$4,$C$9*SQRT($C$7)),"")</f>
        <v>4.2172909832056006E-7</v>
      </c>
      <c r="Q591" s="39">
        <f>IFERROR(_xll.qlBlackFormula(IF(O591&lt;$C$4,"Put","Call"),O591,$C$4,$C$10*SQRT($C$7),,$C$11),"")</f>
        <v>6.0077337660217691E-11</v>
      </c>
      <c r="R591" s="40">
        <f>IFERROR(_xll.qlBachelierBlackFormula(IF(O591&lt;$C$4,"Put","Call"),O591,$C$4,$C$12*SQRT($C$7)),"")</f>
        <v>5.7156174402324752E-48</v>
      </c>
      <c r="S591" s="41">
        <f>IFERROR((_xll.qlBlackFormula(IF(O591&lt;$C$4,"Put","Call"),O591+$C$14,$C$4,$C$9*SQRT($C$7))-
2*_xll.qlBlackFormula(IF(O591&lt;$C$4,"Put","Call"),O591,$C$4,$C$9*SQRT($C$7))+
_xll.qlBlackFormula(IF(O591&lt;$C$4,"Put","Call"),O591-$C$14,$C$4,$C$9*SQRT($C$7)))/$C$14^2,"")</f>
        <v>6.7388759672590715E-3</v>
      </c>
      <c r="T591" s="42">
        <f>IFERROR((_xll.qlBlackFormula(IF(O591&lt;$C$4,"Put","Call"),O591+$C$14,$C$4,$C$10*SQRT($C$7),,$C$11)-
2*_xll.qlBlackFormula(IF(O591&lt;$C$4,"Put","Call"),O591,$C$4,$C$10*SQRT($C$7),,$C$11)+
_xll.qlBlackFormula(IF(O591&lt;$C$4,"Put","Call"),O591-$C$14,$C$4,$C$10*SQRT($C$7),,$C$11))/$C$14^2,"")</f>
        <v>7.2447052647050735E-6</v>
      </c>
      <c r="U591" s="43">
        <f>IFERROR((_xll.qlBachelierBlackFormula(IF(O591&lt;$C$4,"Put","Call"),O591+$C$14,$C$4,$C$12*SQRT($C$7))-
2*_xll.qlBachelierBlackFormula(IF(O591&lt;$C$4,"Put","Call"),O591,$C$4,$C$12*SQRT($C$7))+
_xll.qlBachelierBlackFormula(IF(O591&lt;$C$4,"Put","Call"),O591-$C$14,$C$4,$C$12*SQRT($C$7)))/$C$14^2,"")</f>
        <v>1.1445851002601339E-40</v>
      </c>
      <c r="V591" s="61">
        <f>IFERROR(_xll.qlBachelierBlackFormulaImpliedVol(IF(O591&lt;$C$4,"Put","Call"),O591,$C$4,$C$7,P591),"")</f>
        <v>1.2022074881967468E-2</v>
      </c>
      <c r="W591" s="61">
        <f>IFERROR(_xll.qlBachelierBlackFormulaImpliedVol(IF(O591&lt;$C$4,"Put","Call"),O591,$C$4,$C$7,Q591),"")</f>
        <v>8.1373914395422488E-3</v>
      </c>
      <c r="X591" s="61">
        <f>IFERROR(_xll.qlBachelierBlackFormulaImpliedVol(IF(O591&lt;$C$4,"Put","Call"),O591,$C$4,$C$7,R591),"")</f>
        <v>5.6622192207320876E-3</v>
      </c>
      <c r="Y591" s="42"/>
    </row>
    <row r="592" spans="15:25">
      <c r="O592" s="37">
        <f t="shared" si="9"/>
        <v>4.8700000000000361E-2</v>
      </c>
      <c r="P592" s="38">
        <f>IFERROR(_xll.qlBlackFormula(IF(O592&lt;$C$4,"Put","Call"),O592,$C$4,$C$9*SQRT($C$7)),"")</f>
        <v>4.1669286486104977E-7</v>
      </c>
      <c r="Q592" s="39">
        <f>IFERROR(_xll.qlBlackFormula(IF(O592&lt;$C$4,"Put","Call"),O592,$C$4,$C$10*SQRT($C$7),,$C$11),"")</f>
        <v>5.8142786757413522E-11</v>
      </c>
      <c r="R592" s="40">
        <f>IFERROR(_xll.qlBachelierBlackFormula(IF(O592&lt;$C$4,"Put","Call"),O592,$C$4,$C$12*SQRT($C$7)),"")</f>
        <v>3.6476151556751015E-48</v>
      </c>
      <c r="S592" s="41">
        <f>IFERROR((_xll.qlBlackFormula(IF(O592&lt;$C$4,"Put","Call"),O592+$C$14,$C$4,$C$9*SQRT($C$7))-
2*_xll.qlBlackFormula(IF(O592&lt;$C$4,"Put","Call"),O592,$C$4,$C$9*SQRT($C$7))+
_xll.qlBlackFormula(IF(O592&lt;$C$4,"Put","Call"),O592-$C$14,$C$4,$C$9*SQRT($C$7)))/$C$14^2,"")</f>
        <v>6.6423269167662901E-3</v>
      </c>
      <c r="T592" s="42">
        <f>IFERROR((_xll.qlBlackFormula(IF(O592&lt;$C$4,"Put","Call"),O592+$C$14,$C$4,$C$10*SQRT($C$7),,$C$11)-
2*_xll.qlBlackFormula(IF(O592&lt;$C$4,"Put","Call"),O592,$C$4,$C$10*SQRT($C$7),,$C$11)+
_xll.qlBlackFormula(IF(O592&lt;$C$4,"Put","Call"),O592-$C$14,$C$4,$C$10*SQRT($C$7),,$C$11))/$C$14^2,"")</f>
        <v>8.0908055658187212E-6</v>
      </c>
      <c r="U592" s="43">
        <f>IFERROR((_xll.qlBachelierBlackFormula(IF(O592&lt;$C$4,"Put","Call"),O592+$C$14,$C$4,$C$12*SQRT($C$7))-
2*_xll.qlBachelierBlackFormula(IF(O592&lt;$C$4,"Put","Call"),O592,$C$4,$C$12*SQRT($C$7))+
_xll.qlBachelierBlackFormula(IF(O592&lt;$C$4,"Put","Call"),O592-$C$14,$C$4,$C$12*SQRT($C$7)))/$C$14^2,"")</f>
        <v>7.3376018709154617E-41</v>
      </c>
      <c r="V592" s="61">
        <f>IFERROR(_xll.qlBachelierBlackFormulaImpliedVol(IF(O592&lt;$C$4,"Put","Call"),O592,$C$4,$C$7,P592),"")</f>
        <v>1.2038780749763058E-2</v>
      </c>
      <c r="W592" s="61">
        <f>IFERROR(_xll.qlBachelierBlackFormulaImpliedVol(IF(O592&lt;$C$4,"Put","Call"),O592,$C$4,$C$7,Q592),"")</f>
        <v>8.1470122243780668E-3</v>
      </c>
      <c r="X592" s="61">
        <f>IFERROR(_xll.qlBachelierBlackFormulaImpliedVol(IF(O592&lt;$C$4,"Put","Call"),O592,$C$4,$C$7,R592),"")</f>
        <v>5.6752059620640413E-3</v>
      </c>
      <c r="Y592" s="42"/>
    </row>
    <row r="593" spans="15:25">
      <c r="O593" s="37">
        <f t="shared" ref="O593:O605" si="10">O592+0.01%</f>
        <v>4.8800000000000364E-2</v>
      </c>
      <c r="P593" s="38">
        <f>IFERROR(_xll.qlBlackFormula(IF(O593&lt;$C$4,"Put","Call"),O593,$C$4,$C$9*SQRT($C$7)),"")</f>
        <v>4.1172306691084485E-7</v>
      </c>
      <c r="Q593" s="39">
        <f>IFERROR(_xll.qlBlackFormula(IF(O593&lt;$C$4,"Put","Call"),O593,$C$4,$C$10*SQRT($C$7),,$C$11),"")</f>
        <v>5.6272093496006126E-11</v>
      </c>
      <c r="R593" s="40">
        <f>IFERROR(_xll.qlBachelierBlackFormula(IF(O593&lt;$C$4,"Put","Call"),O593,$C$4,$C$12*SQRT($C$7)),"")</f>
        <v>2.325502716972651E-48</v>
      </c>
      <c r="S593" s="41">
        <f>IFERROR((_xll.qlBlackFormula(IF(O593&lt;$C$4,"Put","Call"),O593+$C$14,$C$4,$C$9*SQRT($C$7))-
2*_xll.qlBlackFormula(IF(O593&lt;$C$4,"Put","Call"),O593,$C$4,$C$9*SQRT($C$7))+
_xll.qlBlackFormula(IF(O593&lt;$C$4,"Put","Call"),O593-$C$14,$C$4,$C$9*SQRT($C$7)))/$C$14^2,"")</f>
        <v>6.5497529918949731E-3</v>
      </c>
      <c r="T593" s="42">
        <f>IFERROR((_xll.qlBlackFormula(IF(O593&lt;$C$4,"Put","Call"),O593+$C$14,$C$4,$C$10*SQRT($C$7),,$C$11)-
2*_xll.qlBlackFormula(IF(O593&lt;$C$4,"Put","Call"),O593,$C$4,$C$10*SQRT($C$7),,$C$11)+
_xll.qlBlackFormula(IF(O593&lt;$C$4,"Put","Call"),O593-$C$14,$C$4,$C$10*SQRT($C$7),,$C$11))/$C$14^2,"")</f>
        <v>6.5432101967361093E-6</v>
      </c>
      <c r="U593" s="43">
        <f>IFERROR((_xll.qlBachelierBlackFormula(IF(O593&lt;$C$4,"Put","Call"),O593+$C$14,$C$4,$C$12*SQRT($C$7))-
2*_xll.qlBachelierBlackFormula(IF(O593&lt;$C$4,"Put","Call"),O593,$C$4,$C$12*SQRT($C$7))+
_xll.qlBachelierBlackFormula(IF(O593&lt;$C$4,"Put","Call"),O593-$C$14,$C$4,$C$12*SQRT($C$7)))/$C$14^2,"")</f>
        <v>4.6991340002047832E-41</v>
      </c>
      <c r="V593" s="61">
        <f>IFERROR(_xll.qlBachelierBlackFormulaImpliedVol(IF(O593&lt;$C$4,"Put","Call"),O593,$C$4,$C$7,P593),"")</f>
        <v>1.205547882648594E-2</v>
      </c>
      <c r="W593" s="61">
        <f>IFERROR(_xll.qlBachelierBlackFormulaImpliedVol(IF(O593&lt;$C$4,"Put","Call"),O593,$C$4,$C$7,Q593),"")</f>
        <v>8.1566285212035274E-3</v>
      </c>
      <c r="X593" s="61">
        <f>IFERROR(_xll.qlBachelierBlackFormulaImpliedVol(IF(O593&lt;$C$4,"Put","Call"),O593,$C$4,$C$7,R593),"")</f>
        <v>5.6881927033959959E-3</v>
      </c>
      <c r="Y593" s="42"/>
    </row>
    <row r="594" spans="15:25">
      <c r="O594" s="37">
        <f t="shared" si="10"/>
        <v>4.8900000000000367E-2</v>
      </c>
      <c r="P594" s="38">
        <f>IFERROR(_xll.qlBlackFormula(IF(O594&lt;$C$4,"Put","Call"),O594,$C$4,$C$9*SQRT($C$7)),"")</f>
        <v>4.0681874292672189E-7</v>
      </c>
      <c r="Q594" s="39">
        <f>IFERROR(_xll.qlBlackFormula(IF(O594&lt;$C$4,"Put","Call"),O594,$C$4,$C$10*SQRT($C$7),,$C$11),"")</f>
        <v>5.4463100235262565E-11</v>
      </c>
      <c r="R594" s="40">
        <f>IFERROR(_xll.qlBachelierBlackFormula(IF(O594&lt;$C$4,"Put","Call"),O594,$C$4,$C$12*SQRT($C$7)),"")</f>
        <v>1.4811077450134848E-48</v>
      </c>
      <c r="S594" s="41">
        <f>IFERROR((_xll.qlBlackFormula(IF(O594&lt;$C$4,"Put","Call"),O594+$C$14,$C$4,$C$9*SQRT($C$7))-
2*_xll.qlBlackFormula(IF(O594&lt;$C$4,"Put","Call"),O594,$C$4,$C$9*SQRT($C$7))+
_xll.qlBlackFormula(IF(O594&lt;$C$4,"Put","Call"),O594-$C$14,$C$4,$C$9*SQRT($C$7)))/$C$14^2,"")</f>
        <v>6.4490678795207489E-3</v>
      </c>
      <c r="T594" s="42">
        <f>IFERROR((_xll.qlBlackFormula(IF(O594&lt;$C$4,"Put","Call"),O594+$C$14,$C$4,$C$10*SQRT($C$7),,$C$11)-
2*_xll.qlBlackFormula(IF(O594&lt;$C$4,"Put","Call"),O594,$C$4,$C$10*SQRT($C$7),,$C$11)+
_xll.qlBlackFormula(IF(O594&lt;$C$4,"Put","Call"),O594-$C$14,$C$4,$C$10*SQRT($C$7),,$C$11))/$C$14^2,"")</f>
        <v>3.1398220952961331E-6</v>
      </c>
      <c r="U594" s="43">
        <f>IFERROR((_xll.qlBachelierBlackFormula(IF(O594&lt;$C$4,"Put","Call"),O594+$C$14,$C$4,$C$12*SQRT($C$7))-
2*_xll.qlBachelierBlackFormula(IF(O594&lt;$C$4,"Put","Call"),O594,$C$4,$C$12*SQRT($C$7))+
_xll.qlBachelierBlackFormula(IF(O594&lt;$C$4,"Put","Call"),O594-$C$14,$C$4,$C$12*SQRT($C$7)))/$C$14^2,"")</f>
        <v>3.0063472607170319E-41</v>
      </c>
      <c r="V594" s="61">
        <f>IFERROR(_xll.qlBachelierBlackFormulaImpliedVol(IF(O594&lt;$C$4,"Put","Call"),O594,$C$4,$C$7,P594),"")</f>
        <v>1.207216913434114E-2</v>
      </c>
      <c r="W594" s="61">
        <f>IFERROR(_xll.qlBachelierBlackFormulaImpliedVol(IF(O594&lt;$C$4,"Put","Call"),O594,$C$4,$C$7,Q594),"")</f>
        <v>8.1662403226505104E-3</v>
      </c>
      <c r="X594" s="61">
        <f>IFERROR(_xll.qlBachelierBlackFormulaImpliedVol(IF(O594&lt;$C$4,"Put","Call"),O594,$C$4,$C$7,R594),"")</f>
        <v>5.7011794447279504E-3</v>
      </c>
      <c r="Y594" s="42"/>
    </row>
    <row r="595" spans="15:25">
      <c r="O595" s="37">
        <f t="shared" si="10"/>
        <v>4.900000000000037E-2</v>
      </c>
      <c r="P595" s="38">
        <f>IFERROR(_xll.qlBlackFormula(IF(O595&lt;$C$4,"Put","Call"),O595,$C$4,$C$9*SQRT($C$7)),"")</f>
        <v>4.0197894652791899E-7</v>
      </c>
      <c r="Q595" s="39">
        <f>IFERROR(_xll.qlBlackFormula(IF(O595&lt;$C$4,"Put","Call"),O595,$C$4,$C$10*SQRT($C$7),,$C$11),"")</f>
        <v>5.2713719611568231E-11</v>
      </c>
      <c r="R595" s="40">
        <f>IFERROR(_xll.qlBachelierBlackFormula(IF(O595&lt;$C$4,"Put","Call"),O595,$C$4,$C$12*SQRT($C$7)),"")</f>
        <v>9.4236337257334207E-49</v>
      </c>
      <c r="S595" s="41">
        <f>IFERROR((_xll.qlBlackFormula(IF(O595&lt;$C$4,"Put","Call"),O595+$C$14,$C$4,$C$9*SQRT($C$7))-
2*_xll.qlBlackFormula(IF(O595&lt;$C$4,"Put","Call"),O595,$C$4,$C$9*SQRT($C$7))+
_xll.qlBlackFormula(IF(O595&lt;$C$4,"Put","Call"),O595-$C$14,$C$4,$C$9*SQRT($C$7)))/$C$14^2,"")</f>
        <v>6.3607905292743794E-3</v>
      </c>
      <c r="T595" s="42">
        <f>IFERROR((_xll.qlBlackFormula(IF(O595&lt;$C$4,"Put","Call"),O595+$C$14,$C$4,$C$10*SQRT($C$7),,$C$11)-
2*_xll.qlBlackFormula(IF(O595&lt;$C$4,"Put","Call"),O595,$C$4,$C$10*SQRT($C$7),,$C$11)+
_xll.qlBlackFormula(IF(O595&lt;$C$4,"Put","Call"),O595-$C$14,$C$4,$C$10*SQRT($C$7),,$C$11))/$C$14^2,"")</f>
        <v>4.6358474060770088E-6</v>
      </c>
      <c r="U595" s="43">
        <f>IFERROR((_xll.qlBachelierBlackFormula(IF(O595&lt;$C$4,"Put","Call"),O595+$C$14,$C$4,$C$12*SQRT($C$7))-
2*_xll.qlBachelierBlackFormula(IF(O595&lt;$C$4,"Put","Call"),O595,$C$4,$C$12*SQRT($C$7))+
_xll.qlBachelierBlackFormula(IF(O595&lt;$C$4,"Put","Call"),O595-$C$14,$C$4,$C$12*SQRT($C$7)))/$C$14^2,"")</f>
        <v>1.9214013561573106E-41</v>
      </c>
      <c r="V595" s="61">
        <f>IFERROR(_xll.qlBachelierBlackFormulaImpliedVol(IF(O595&lt;$C$4,"Put","Call"),O595,$C$4,$C$7,P595),"")</f>
        <v>1.2088851695382851E-2</v>
      </c>
      <c r="W595" s="61">
        <f>IFERROR(_xll.qlBachelierBlackFormulaImpliedVol(IF(O595&lt;$C$4,"Put","Call"),O595,$C$4,$C$7,Q595),"")</f>
        <v>8.1758476360387078E-3</v>
      </c>
      <c r="X595" s="61">
        <f>IFERROR(_xll.qlBachelierBlackFormulaImpliedVol(IF(O595&lt;$C$4,"Put","Call"),O595,$C$4,$C$7,R595),"")</f>
        <v>5.7141661860599059E-3</v>
      </c>
      <c r="Y595" s="42"/>
    </row>
    <row r="596" spans="15:25">
      <c r="O596" s="37">
        <f t="shared" si="10"/>
        <v>4.9100000000000373E-2</v>
      </c>
      <c r="P596" s="38">
        <f>IFERROR(_xll.qlBlackFormula(IF(O596&lt;$C$4,"Put","Call"),O596,$C$4,$C$9*SQRT($C$7)),"")</f>
        <v>3.9720274626641621E-7</v>
      </c>
      <c r="Q596" s="39">
        <f>IFERROR(_xll.qlBlackFormula(IF(O596&lt;$C$4,"Put","Call"),O596,$C$4,$C$10*SQRT($C$7),,$C$11),"")</f>
        <v>5.1021941899203537E-11</v>
      </c>
      <c r="R596" s="40">
        <f>IFERROR(_xll.qlBachelierBlackFormula(IF(O596&lt;$C$4,"Put","Call"),O596,$C$4,$C$12*SQRT($C$7)),"")</f>
        <v>5.9897964893788873E-49</v>
      </c>
      <c r="S596" s="41">
        <f>IFERROR((_xll.qlBlackFormula(IF(O596&lt;$C$4,"Put","Call"),O596+$C$14,$C$4,$C$9*SQRT($C$7))-
2*_xll.qlBlackFormula(IF(O596&lt;$C$4,"Put","Call"),O596,$C$4,$C$9*SQRT($C$7))+
_xll.qlBlackFormula(IF(O596&lt;$C$4,"Put","Call"),O596-$C$14,$C$4,$C$9*SQRT($C$7)))/$C$14^2,"")</f>
        <v>6.2698407900794225E-3</v>
      </c>
      <c r="T596" s="42">
        <f>IFERROR((_xll.qlBlackFormula(IF(O596&lt;$C$4,"Put","Call"),O596+$C$14,$C$4,$C$10*SQRT($C$7),,$C$11)-
2*_xll.qlBlackFormula(IF(O596&lt;$C$4,"Put","Call"),O596,$C$4,$C$10*SQRT($C$7),,$C$11)+
_xll.qlBlackFormula(IF(O596&lt;$C$4,"Put","Call"),O596-$C$14,$C$4,$C$10*SQRT($C$7),,$C$11))/$C$14^2,"")</f>
        <v>6.7230666622629288E-6</v>
      </c>
      <c r="U596" s="43">
        <f>IFERROR((_xll.qlBachelierBlackFormula(IF(O596&lt;$C$4,"Put","Call"),O596+$C$14,$C$4,$C$12*SQRT($C$7))-
2*_xll.qlBachelierBlackFormula(IF(O596&lt;$C$4,"Put","Call"),O596,$C$4,$C$12*SQRT($C$7))+
_xll.qlBachelierBlackFormula(IF(O596&lt;$C$4,"Put","Call"),O596-$C$14,$C$4,$C$12*SQRT($C$7)))/$C$14^2,"")</f>
        <v>1.2267460665597911E-41</v>
      </c>
      <c r="V596" s="61">
        <f>IFERROR(_xll.qlBachelierBlackFormulaImpliedVol(IF(O596&lt;$C$4,"Put","Call"),O596,$C$4,$C$7,P596),"")</f>
        <v>1.2105526531583961E-2</v>
      </c>
      <c r="W596" s="61">
        <f>IFERROR(_xll.qlBachelierBlackFormulaImpliedVol(IF(O596&lt;$C$4,"Put","Call"),O596,$C$4,$C$7,Q596),"")</f>
        <v>8.1854505174936299E-3</v>
      </c>
      <c r="X596" s="61">
        <f>IFERROR(_xll.qlBachelierBlackFormulaImpliedVol(IF(O596&lt;$C$4,"Put","Call"),O596,$C$4,$C$7,R596),"")</f>
        <v>5.7271529273918596E-3</v>
      </c>
      <c r="Y596" s="42"/>
    </row>
    <row r="597" spans="15:25">
      <c r="O597" s="37">
        <f t="shared" si="10"/>
        <v>4.9200000000000375E-2</v>
      </c>
      <c r="P597" s="38">
        <f>IFERROR(_xll.qlBlackFormula(IF(O597&lt;$C$4,"Put","Call"),O597,$C$4,$C$9*SQRT($C$7)),"")</f>
        <v>3.9248922534635287E-7</v>
      </c>
      <c r="Q597" s="39">
        <f>IFERROR(_xll.qlBlackFormula(IF(O597&lt;$C$4,"Put","Call"),O597,$C$4,$C$10*SQRT($C$7),,$C$11),"")</f>
        <v>4.9385824785191519E-11</v>
      </c>
      <c r="R597" s="40">
        <f>IFERROR(_xll.qlBachelierBlackFormula(IF(O597&lt;$C$4,"Put","Call"),O597,$C$4,$C$12*SQRT($C$7)),"")</f>
        <v>3.8033618144060219E-49</v>
      </c>
      <c r="S597" s="41">
        <f>IFERROR((_xll.qlBlackFormula(IF(O597&lt;$C$4,"Put","Call"),O597+$C$14,$C$4,$C$9*SQRT($C$7))-
2*_xll.qlBlackFormula(IF(O597&lt;$C$4,"Put","Call"),O597,$C$4,$C$9*SQRT($C$7))+
_xll.qlBlackFormula(IF(O597&lt;$C$4,"Put","Call"),O597-$C$14,$C$4,$C$9*SQRT($C$7)))/$C$14^2,"")</f>
        <v>6.1752331391017479E-3</v>
      </c>
      <c r="T597" s="42">
        <f>IFERROR((_xll.qlBlackFormula(IF(O597&lt;$C$4,"Put","Call"),O597+$C$14,$C$4,$C$10*SQRT($C$7),,$C$11)-
2*_xll.qlBlackFormula(IF(O597&lt;$C$4,"Put","Call"),O597,$C$4,$C$10*SQRT($C$7),,$C$11)+
_xll.qlBlackFormula(IF(O597&lt;$C$4,"Put","Call"),O597-$C$14,$C$4,$C$10*SQRT($C$7),,$C$11))/$C$14^2,"")</f>
        <v>5.8372750300341137E-6</v>
      </c>
      <c r="U597" s="43">
        <f>IFERROR((_xll.qlBachelierBlackFormula(IF(O597&lt;$C$4,"Put","Call"),O597+$C$14,$C$4,$C$12*SQRT($C$7))-
2*_xll.qlBachelierBlackFormula(IF(O597&lt;$C$4,"Put","Call"),O597,$C$4,$C$12*SQRT($C$7))+
_xll.qlBachelierBlackFormula(IF(O597&lt;$C$4,"Put","Call"),O597-$C$14,$C$4,$C$12*SQRT($C$7)))/$C$14^2,"")</f>
        <v>7.8243610950308471E-42</v>
      </c>
      <c r="V597" s="61">
        <f>IFERROR(_xll.qlBachelierBlackFormulaImpliedVol(IF(O597&lt;$C$4,"Put","Call"),O597,$C$4,$C$7,P597),"")</f>
        <v>1.2122193664805953E-2</v>
      </c>
      <c r="W597" s="61">
        <f>IFERROR(_xll.qlBachelierBlackFormulaImpliedVol(IF(O597&lt;$C$4,"Put","Call"),O597,$C$4,$C$7,Q597),"")</f>
        <v>8.1950489207745312E-3</v>
      </c>
      <c r="X597" s="61">
        <f>IFERROR(_xll.qlBachelierBlackFormulaImpliedVol(IF(O597&lt;$C$4,"Put","Call"),O597,$C$4,$C$7,R597),"")</f>
        <v>5.7401396687238142E-3</v>
      </c>
      <c r="Y597" s="42"/>
    </row>
    <row r="598" spans="15:25">
      <c r="O598" s="37">
        <f t="shared" si="10"/>
        <v>4.9300000000000378E-2</v>
      </c>
      <c r="P598" s="38">
        <f>IFERROR(_xll.qlBlackFormula(IF(O598&lt;$C$4,"Put","Call"),O598,$C$4,$C$9*SQRT($C$7)),"")</f>
        <v>3.8783748138020919E-7</v>
      </c>
      <c r="Q598" s="39">
        <f>IFERROR(_xll.qlBlackFormula(IF(O598&lt;$C$4,"Put","Call"),O598,$C$4,$C$10*SQRT($C$7),,$C$11),"")</f>
        <v>4.780348908383607E-11</v>
      </c>
      <c r="R598" s="40">
        <f>IFERROR(_xll.qlBachelierBlackFormula(IF(O598&lt;$C$4,"Put","Call"),O598,$C$4,$C$12*SQRT($C$7)),"")</f>
        <v>2.4125987809204339E-49</v>
      </c>
      <c r="S598" s="41">
        <f>IFERROR((_xll.qlBlackFormula(IF(O598&lt;$C$4,"Put","Call"),O598+$C$14,$C$4,$C$9*SQRT($C$7))-
2*_xll.qlBlackFormula(IF(O598&lt;$C$4,"Put","Call"),O598,$C$4,$C$9*SQRT($C$7))+
_xll.qlBlackFormula(IF(O598&lt;$C$4,"Put","Call"),O598-$C$14,$C$4,$C$9*SQRT($C$7)))/$C$14^2,"")</f>
        <v>6.0897077989010076E-3</v>
      </c>
      <c r="T598" s="42">
        <f>IFERROR((_xll.qlBlackFormula(IF(O598&lt;$C$4,"Put","Call"),O598+$C$14,$C$4,$C$10*SQRT($C$7),,$C$11)-
2*_xll.qlBlackFormula(IF(O598&lt;$C$4,"Put","Call"),O598,$C$4,$C$10*SQRT($C$7),,$C$11)+
_xll.qlBlackFormula(IF(O598&lt;$C$4,"Put","Call"),O598-$C$14,$C$4,$C$10*SQRT($C$7),,$C$11))/$C$14^2,"")</f>
        <v>6.0856876043438686E-6</v>
      </c>
      <c r="U598" s="43">
        <f>IFERROR((_xll.qlBachelierBlackFormula(IF(O598&lt;$C$4,"Put","Call"),O598+$C$14,$C$4,$C$12*SQRT($C$7))-
2*_xll.qlBachelierBlackFormula(IF(O598&lt;$C$4,"Put","Call"),O598,$C$4,$C$12*SQRT($C$7))+
_xll.qlBachelierBlackFormula(IF(O598&lt;$C$4,"Put","Call"),O598-$C$14,$C$4,$C$12*SQRT($C$7)))/$C$14^2,"")</f>
        <v>4.9854082332988988E-42</v>
      </c>
      <c r="V598" s="61">
        <f>IFERROR(_xll.qlBachelierBlackFormulaImpliedVol(IF(O598&lt;$C$4,"Put","Call"),O598,$C$4,$C$7,P598),"")</f>
        <v>1.2138853116784618E-2</v>
      </c>
      <c r="W598" s="61">
        <f>IFERROR(_xll.qlBachelierBlackFormulaImpliedVol(IF(O598&lt;$C$4,"Put","Call"),O598,$C$4,$C$7,Q598),"")</f>
        <v>8.2046428957514329E-3</v>
      </c>
      <c r="X598" s="61">
        <f>IFERROR(_xll.qlBachelierBlackFormulaImpliedVol(IF(O598&lt;$C$4,"Put","Call"),O598,$C$4,$C$7,R598),"")</f>
        <v>5.7531264100557696E-3</v>
      </c>
      <c r="Y598" s="42"/>
    </row>
    <row r="599" spans="15:25">
      <c r="O599" s="37">
        <f t="shared" si="10"/>
        <v>4.9400000000000381E-2</v>
      </c>
      <c r="P599" s="38">
        <f>IFERROR(_xll.qlBlackFormula(IF(O599&lt;$C$4,"Put","Call"),O599,$C$4,$C$9*SQRT($C$7)),"")</f>
        <v>3.832466261584781E-7</v>
      </c>
      <c r="Q599" s="39">
        <f>IFERROR(_xll.qlBlackFormula(IF(O599&lt;$C$4,"Put","Call"),O599,$C$4,$C$10*SQRT($C$7),,$C$11),"")</f>
        <v>4.6273124909562534E-11</v>
      </c>
      <c r="R599" s="40">
        <f>IFERROR(_xll.qlBachelierBlackFormula(IF(O599&lt;$C$4,"Put","Call"),O599,$C$4,$C$12*SQRT($C$7)),"")</f>
        <v>1.5288484421431138E-49</v>
      </c>
      <c r="S599" s="41">
        <f>IFERROR((_xll.qlBlackFormula(IF(O599&lt;$C$4,"Put","Call"),O599+$C$14,$C$4,$C$9*SQRT($C$7))-
2*_xll.qlBlackFormula(IF(O599&lt;$C$4,"Put","Call"),O599,$C$4,$C$9*SQRT($C$7))+
_xll.qlBlackFormula(IF(O599&lt;$C$4,"Put","Call"),O599-$C$14,$C$4,$C$9*SQRT($C$7)))/$C$14^2,"")</f>
        <v>5.9972545762246744E-3</v>
      </c>
      <c r="T599" s="42">
        <f>IFERROR((_xll.qlBlackFormula(IF(O599&lt;$C$4,"Put","Call"),O599+$C$14,$C$4,$C$10*SQRT($C$7),,$C$11)-
2*_xll.qlBlackFormula(IF(O599&lt;$C$4,"Put","Call"),O599,$C$4,$C$10*SQRT($C$7),,$C$11)+
_xll.qlBlackFormula(IF(O599&lt;$C$4,"Put","Call"),O599-$C$14,$C$4,$C$10*SQRT($C$7),,$C$11))/$C$14^2,"")</f>
        <v>8.2672758641104778E-6</v>
      </c>
      <c r="U599" s="43">
        <f>IFERROR((_xll.qlBachelierBlackFormula(IF(O599&lt;$C$4,"Put","Call"),O599+$C$14,$C$4,$C$12*SQRT($C$7))-
2*_xll.qlBachelierBlackFormula(IF(O599&lt;$C$4,"Put","Call"),O599,$C$4,$C$12*SQRT($C$7))+
_xll.qlBachelierBlackFormula(IF(O599&lt;$C$4,"Put","Call"),O599-$C$14,$C$4,$C$12*SQRT($C$7)))/$C$14^2,"")</f>
        <v>3.1732931815762327E-42</v>
      </c>
      <c r="V599" s="61">
        <f>IFERROR(_xll.qlBachelierBlackFormulaImpliedVol(IF(O599&lt;$C$4,"Put","Call"),O599,$C$4,$C$7,P599),"")</f>
        <v>1.2155504909187455E-2</v>
      </c>
      <c r="W599" s="61">
        <f>IFERROR(_xll.qlBachelierBlackFormulaImpliedVol(IF(O599&lt;$C$4,"Put","Call"),O599,$C$4,$C$7,Q599),"")</f>
        <v>8.2142324332922755E-3</v>
      </c>
      <c r="X599" s="61">
        <f>IFERROR(_xll.qlBachelierBlackFormulaImpliedVol(IF(O599&lt;$C$4,"Put","Call"),O599,$C$4,$C$7,R599),"")</f>
        <v>5.7661131513877242E-3</v>
      </c>
      <c r="Y599" s="42"/>
    </row>
    <row r="600" spans="15:25">
      <c r="O600" s="37">
        <f t="shared" si="10"/>
        <v>4.9500000000000384E-2</v>
      </c>
      <c r="P600" s="38">
        <f>IFERROR(_xll.qlBlackFormula(IF(O600&lt;$C$4,"Put","Call"),O600,$C$4,$C$9*SQRT($C$7)),"")</f>
        <v>3.7871578538166061E-7</v>
      </c>
      <c r="Q600" s="39">
        <f>IFERROR(_xll.qlBlackFormula(IF(O600&lt;$C$4,"Put","Call"),O600,$C$4,$C$10*SQRT($C$7),,$C$11),"")</f>
        <v>4.4792986597647001E-11</v>
      </c>
      <c r="R600" s="40">
        <f>IFERROR(_xll.qlBachelierBlackFormula(IF(O600&lt;$C$4,"Put","Call"),O600,$C$4,$C$12*SQRT($C$7)),"")</f>
        <v>9.6784456735165546E-50</v>
      </c>
      <c r="S600" s="41">
        <f>IFERROR((_xll.qlBlackFormula(IF(O600&lt;$C$4,"Put","Call"),O600+$C$14,$C$4,$C$9*SQRT($C$7))-
2*_xll.qlBlackFormula(IF(O600&lt;$C$4,"Put","Call"),O600,$C$4,$C$9*SQRT($C$7))+
_xll.qlBlackFormula(IF(O600&lt;$C$4,"Put","Call"),O600-$C$14,$C$4,$C$9*SQRT($C$7)))/$C$14^2,"")</f>
        <v>5.9125563636969278E-3</v>
      </c>
      <c r="T600" s="42">
        <f>IFERROR((_xll.qlBlackFormula(IF(O600&lt;$C$4,"Put","Call"),O600+$C$14,$C$4,$C$10*SQRT($C$7),,$C$11)-
2*_xll.qlBlackFormula(IF(O600&lt;$C$4,"Put","Call"),O600,$C$4,$C$10*SQRT($C$7),,$C$11)+
_xll.qlBlackFormula(IF(O600&lt;$C$4,"Put","Call"),O600-$C$14,$C$4,$C$10*SQRT($C$7),,$C$11))/$C$14^2,"")</f>
        <v>4.9875660501006281E-6</v>
      </c>
      <c r="U600" s="43">
        <f>IFERROR((_xll.qlBachelierBlackFormula(IF(O600&lt;$C$4,"Put","Call"),O600+$C$14,$C$4,$C$12*SQRT($C$7))-
2*_xll.qlBachelierBlackFormula(IF(O600&lt;$C$4,"Put","Call"),O600,$C$4,$C$12*SQRT($C$7))+
_xll.qlBachelierBlackFormula(IF(O600&lt;$C$4,"Put","Call"),O600-$C$14,$C$4,$C$12*SQRT($C$7)))/$C$14^2,"")</f>
        <v>2.0177962177177195E-42</v>
      </c>
      <c r="V600" s="61">
        <f>IFERROR(_xll.qlBachelierBlackFormulaImpliedVol(IF(O600&lt;$C$4,"Put","Call"),O600,$C$4,$C$7,P600),"")</f>
        <v>1.2172149063523111E-2</v>
      </c>
      <c r="W600" s="61">
        <f>IFERROR(_xll.qlBachelierBlackFormulaImpliedVol(IF(O600&lt;$C$4,"Put","Call"),O600,$C$4,$C$7,Q600),"")</f>
        <v>8.2238175579167124E-3</v>
      </c>
      <c r="X600" s="61">
        <f>IFERROR(_xll.qlBachelierBlackFormulaImpliedVol(IF(O600&lt;$C$4,"Put","Call"),O600,$C$4,$C$7,R600),"")</f>
        <v>5.7790998927196779E-3</v>
      </c>
      <c r="Y600" s="42"/>
    </row>
    <row r="601" spans="15:25">
      <c r="O601" s="37">
        <f t="shared" si="10"/>
        <v>4.9600000000000387E-2</v>
      </c>
      <c r="P601" s="38">
        <f>IFERROR(_xll.qlBlackFormula(IF(O601&lt;$C$4,"Put","Call"),O601,$C$4,$C$9*SQRT($C$7)),"")</f>
        <v>3.7424409844516943E-7</v>
      </c>
      <c r="Q601" s="39">
        <f>IFERROR(_xll.qlBlackFormula(IF(O601&lt;$C$4,"Put","Call"),O601,$C$4,$C$10*SQRT($C$7),,$C$11),"")</f>
        <v>4.3361381552026357E-11</v>
      </c>
      <c r="R601" s="40">
        <f>IFERROR(_xll.qlBachelierBlackFormula(IF(O601&lt;$C$4,"Put","Call"),O601,$C$4,$C$12*SQRT($C$7)),"")</f>
        <v>6.1208062254013922E-50</v>
      </c>
      <c r="S601" s="41">
        <f>IFERROR((_xll.qlBlackFormula(IF(O601&lt;$C$4,"Put","Call"),O601+$C$14,$C$4,$C$9*SQRT($C$7))-
2*_xll.qlBlackFormula(IF(O601&lt;$C$4,"Put","Call"),O601,$C$4,$C$9*SQRT($C$7))+
_xll.qlBlackFormula(IF(O601&lt;$C$4,"Put","Call"),O601-$C$14,$C$4,$C$9*SQRT($C$7)))/$C$14^2,"")</f>
        <v>5.830026979030626E-3</v>
      </c>
      <c r="T601" s="42">
        <f>IFERROR((_xll.qlBlackFormula(IF(O601&lt;$C$4,"Put","Call"),O601+$C$14,$C$4,$C$10*SQRT($C$7),,$C$11)-
2*_xll.qlBlackFormula(IF(O601&lt;$C$4,"Put","Call"),O601,$C$4,$C$10*SQRT($C$7),,$C$11)+
_xll.qlBlackFormula(IF(O601&lt;$C$4,"Put","Call"),O601-$C$14,$C$4,$C$10*SQRT($C$7),,$C$11))/$C$14^2,"")</f>
        <v>1.7194023332735233E-6</v>
      </c>
      <c r="U601" s="43">
        <f>IFERROR((_xll.qlBachelierBlackFormula(IF(O601&lt;$C$4,"Put","Call"),O601+$C$14,$C$4,$C$12*SQRT($C$7))-
2*_xll.qlBachelierBlackFormula(IF(O601&lt;$C$4,"Put","Call"),O601,$C$4,$C$12*SQRT($C$7))+
_xll.qlBachelierBlackFormula(IF(O601&lt;$C$4,"Put","Call"),O601-$C$14,$C$4,$C$12*SQRT($C$7)))/$C$14^2,"")</f>
        <v>1.2817462015623549E-42</v>
      </c>
      <c r="V601" s="61">
        <f>IFERROR(_xll.qlBachelierBlackFormulaImpliedVol(IF(O601&lt;$C$4,"Put","Call"),O601,$C$4,$C$7,P601),"")</f>
        <v>1.2188785601234505E-2</v>
      </c>
      <c r="W601" s="61">
        <f>IFERROR(_xll.qlBachelierBlackFormulaImpliedVol(IF(O601&lt;$C$4,"Put","Call"),O601,$C$4,$C$7,Q601),"")</f>
        <v>8.2333982792814515E-3</v>
      </c>
      <c r="X601" s="61">
        <f>IFERROR(_xll.qlBachelierBlackFormulaImpliedVol(IF(O601&lt;$C$4,"Put","Call"),O601,$C$4,$C$7,R601),"")</f>
        <v>5.7920866340516325E-3</v>
      </c>
      <c r="Y601" s="42"/>
    </row>
    <row r="602" spans="15:25">
      <c r="O602" s="37">
        <f t="shared" si="10"/>
        <v>4.970000000000039E-2</v>
      </c>
      <c r="P602" s="38">
        <f>IFERROR(_xll.qlBlackFormula(IF(O602&lt;$C$4,"Put","Call"),O602,$C$4,$C$9*SQRT($C$7)),"")</f>
        <v>3.6983071820232915E-7</v>
      </c>
      <c r="Q602" s="39">
        <f>IFERROR(_xll.qlBlackFormula(IF(O602&lt;$C$4,"Put","Call"),O602,$C$4,$C$10*SQRT($C$7),,$C$11),"")</f>
        <v>4.1976679604477686E-11</v>
      </c>
      <c r="R602" s="40">
        <f>IFERROR(_xll.qlBachelierBlackFormula(IF(O602&lt;$C$4,"Put","Call"),O602,$C$4,$C$12*SQRT($C$7)),"")</f>
        <v>3.8669936515617308E-50</v>
      </c>
      <c r="S602" s="41">
        <f>IFERROR((_xll.qlBlackFormula(IF(O602&lt;$C$4,"Put","Call"),O602+$C$14,$C$4,$C$9*SQRT($C$7))-
2*_xll.qlBlackFormula(IF(O602&lt;$C$4,"Put","Call"),O602,$C$4,$C$9*SQRT($C$7))+
_xll.qlBlackFormula(IF(O602&lt;$C$4,"Put","Call"),O602-$C$14,$C$4,$C$9*SQRT($C$7)))/$C$14^2,"")</f>
        <v>5.7514807667987874E-3</v>
      </c>
      <c r="T602" s="42">
        <f>IFERROR((_xll.qlBlackFormula(IF(O602&lt;$C$4,"Put","Call"),O602+$C$14,$C$4,$C$10*SQRT($C$7),,$C$11)-
2*_xll.qlBlackFormula(IF(O602&lt;$C$4,"Put","Call"),O602,$C$4,$C$10*SQRT($C$7),,$C$11)+
_xll.qlBlackFormula(IF(O602&lt;$C$4,"Put","Call"),O602-$C$14,$C$4,$C$10*SQRT($C$7),,$C$11))/$C$14^2,"")</f>
        <v>6.4616644572039474E-6</v>
      </c>
      <c r="U602" s="43">
        <f>IFERROR((_xll.qlBachelierBlackFormula(IF(O602&lt;$C$4,"Put","Call"),O602+$C$14,$C$4,$C$12*SQRT($C$7))-
2*_xll.qlBachelierBlackFormula(IF(O602&lt;$C$4,"Put","Call"),O602,$C$4,$C$12*SQRT($C$7))+
_xll.qlBachelierBlackFormula(IF(O602&lt;$C$4,"Put","Call"),O602-$C$14,$C$4,$C$12*SQRT($C$7)))/$C$14^2,"")</f>
        <v>8.133629858666766E-43</v>
      </c>
      <c r="V602" s="61">
        <f>IFERROR(_xll.qlBachelierBlackFormulaImpliedVol(IF(O602&lt;$C$4,"Put","Call"),O602,$C$4,$C$7,P602),"")</f>
        <v>1.2205414543659109E-2</v>
      </c>
      <c r="W602" s="61">
        <f>IFERROR(_xll.qlBachelierBlackFormulaImpliedVol(IF(O602&lt;$C$4,"Put","Call"),O602,$C$4,$C$7,Q602),"")</f>
        <v>8.2429746078280779E-3</v>
      </c>
      <c r="X602" s="61">
        <f>IFERROR(_xll.qlBachelierBlackFormulaImpliedVol(IF(O602&lt;$C$4,"Put","Call"),O602,$C$4,$C$7,R602),"")</f>
        <v>5.8050733753835879E-3</v>
      </c>
      <c r="Y602" s="42"/>
    </row>
    <row r="603" spans="15:25">
      <c r="O603" s="37">
        <f t="shared" si="10"/>
        <v>4.9800000000000393E-2</v>
      </c>
      <c r="P603" s="38">
        <f>IFERROR(_xll.qlBlackFormula(IF(O603&lt;$C$4,"Put","Call"),O603,$C$4,$C$9*SQRT($C$7)),"")</f>
        <v>3.6547481073054223E-7</v>
      </c>
      <c r="Q603" s="39">
        <f>IFERROR(_xll.qlBlackFormula(IF(O603&lt;$C$4,"Put","Call"),O603,$C$4,$C$10*SQRT($C$7),,$C$11),"")</f>
        <v>4.0637311360386909E-11</v>
      </c>
      <c r="R603" s="40">
        <f>IFERROR(_xll.qlBachelierBlackFormula(IF(O603&lt;$C$4,"Put","Call"),O603,$C$4,$C$12*SQRT($C$7)),"")</f>
        <v>2.4406195400201242E-50</v>
      </c>
      <c r="S603" s="41">
        <f>IFERROR((_xll.qlBlackFormula(IF(O603&lt;$C$4,"Put","Call"),O603+$C$14,$C$4,$C$9*SQRT($C$7))-
2*_xll.qlBlackFormula(IF(O603&lt;$C$4,"Put","Call"),O603,$C$4,$C$9*SQRT($C$7))+
_xll.qlBlackFormula(IF(O603&lt;$C$4,"Put","Call"),O603-$C$14,$C$4,$C$9*SQRT($C$7)))/$C$14^2,"")</f>
        <v>5.6657661147343358E-3</v>
      </c>
      <c r="T603" s="42">
        <f>IFERROR((_xll.qlBlackFormula(IF(O603&lt;$C$4,"Put","Call"),O603+$C$14,$C$4,$C$10*SQRT($C$7),,$C$11)-
2*_xll.qlBlackFormula(IF(O603&lt;$C$4,"Put","Call"),O603,$C$4,$C$10*SQRT($C$7),,$C$11)+
_xll.qlBlackFormula(IF(O603&lt;$C$4,"Put","Call"),O603-$C$14,$C$4,$C$10*SQRT($C$7),,$C$11))/$C$14^2,"")</f>
        <v>7.452925236448453E-7</v>
      </c>
      <c r="U603" s="43">
        <f>IFERROR((_xll.qlBachelierBlackFormula(IF(O603&lt;$C$4,"Put","Call"),O603+$C$14,$C$4,$C$12*SQRT($C$7))-
2*_xll.qlBachelierBlackFormula(IF(O603&lt;$C$4,"Put","Call"),O603,$C$4,$C$12*SQRT($C$7))+
_xll.qlBachelierBlackFormula(IF(O603&lt;$C$4,"Put","Call"),O603-$C$14,$C$4,$C$12*SQRT($C$7)))/$C$14^2,"")</f>
        <v>5.156136494579041E-43</v>
      </c>
      <c r="V603" s="61">
        <f>IFERROR(_xll.qlBachelierBlackFormulaImpliedVol(IF(O603&lt;$C$4,"Put","Call"),O603,$C$4,$C$7,P603),"")</f>
        <v>1.2222035912008423E-2</v>
      </c>
      <c r="W603" s="61">
        <f>IFERROR(_xll.qlBachelierBlackFormulaImpliedVol(IF(O603&lt;$C$4,"Put","Call"),O603,$C$4,$C$7,Q603),"")</f>
        <v>8.2525465732104907E-3</v>
      </c>
      <c r="X603" s="61">
        <f>IFERROR(_xll.qlBachelierBlackFormulaImpliedVol(IF(O603&lt;$C$4,"Put","Call"),O603,$C$4,$C$7,R603),"")</f>
        <v>5.8180601167155425E-3</v>
      </c>
      <c r="Y603" s="42"/>
    </row>
    <row r="604" spans="15:25">
      <c r="O604" s="37">
        <f t="shared" si="10"/>
        <v>4.9900000000000395E-2</v>
      </c>
      <c r="P604" s="38">
        <f>IFERROR(_xll.qlBlackFormula(IF(O604&lt;$C$4,"Put","Call"),O604,$C$4,$C$9*SQRT($C$7)),"")</f>
        <v>3.6117555510664058E-7</v>
      </c>
      <c r="Q604" s="39">
        <f>IFERROR(_xll.qlBlackFormula(IF(O604&lt;$C$4,"Put","Call"),O604,$C$4,$C$10*SQRT($C$7),,$C$11),"")</f>
        <v>3.93417495636544E-11</v>
      </c>
      <c r="R604" s="40">
        <f>IFERROR(_xll.qlBachelierBlackFormula(IF(O604&lt;$C$4,"Put","Call"),O604,$C$4,$C$12*SQRT($C$7)),"")</f>
        <v>1.5388223575373672E-50</v>
      </c>
      <c r="S604" s="41">
        <f>IFERROR((_xll.qlBlackFormula(IF(O604&lt;$C$4,"Put","Call"),O604+$C$14,$C$4,$C$9*SQRT($C$7))-
2*_xll.qlBlackFormula(IF(O604&lt;$C$4,"Put","Call"),O604,$C$4,$C$9*SQRT($C$7))+
_xll.qlBlackFormula(IF(O604&lt;$C$4,"Put","Call"),O604-$C$14,$C$4,$C$9*SQRT($C$7)))/$C$14^2,"")</f>
        <v>5.587125881845352E-3</v>
      </c>
      <c r="T604" s="42">
        <f>IFERROR((_xll.qlBlackFormula(IF(O604&lt;$C$4,"Put","Call"),O604+$C$14,$C$4,$C$10*SQRT($C$7),,$C$11)-
2*_xll.qlBlackFormula(IF(O604&lt;$C$4,"Put","Call"),O604,$C$4,$C$10*SQRT($C$7),,$C$11)+
_xll.qlBlackFormula(IF(O604&lt;$C$4,"Put","Call"),O604-$C$14,$C$4,$C$10*SQRT($C$7),,$C$11))/$C$14^2,"")</f>
        <v>4.170996924035737E-6</v>
      </c>
      <c r="U604" s="43">
        <f>IFERROR((_xll.qlBachelierBlackFormula(IF(O604&lt;$C$4,"Put","Call"),O604+$C$14,$C$4,$C$12*SQRT($C$7))-
2*_xll.qlBachelierBlackFormula(IF(O604&lt;$C$4,"Put","Call"),O604,$C$4,$C$12*SQRT($C$7))+
_xll.qlBachelierBlackFormula(IF(O604&lt;$C$4,"Put","Call"),O604-$C$14,$C$4,$C$12*SQRT($C$7)))/$C$14^2,"")</f>
        <v>3.2652920686813804E-43</v>
      </c>
      <c r="V604" s="61">
        <f>IFERROR(_xll.qlBachelierBlackFormulaImpliedVol(IF(O604&lt;$C$4,"Put","Call"),O604,$C$4,$C$7,P604),"")</f>
        <v>1.2238649727395513E-2</v>
      </c>
      <c r="W604" s="61">
        <f>IFERROR(_xll.qlBachelierBlackFormulaImpliedVol(IF(O604&lt;$C$4,"Put","Call"),O604,$C$4,$C$7,Q604),"")</f>
        <v>8.262114132574291E-3</v>
      </c>
      <c r="X604" s="61">
        <f>IFERROR(_xll.qlBachelierBlackFormulaImpliedVol(IF(O604&lt;$C$4,"Put","Call"),O604,$C$4,$C$7,R604),"")</f>
        <v>5.8310468580474962E-3</v>
      </c>
      <c r="Y604" s="42"/>
    </row>
    <row r="605" spans="15:25">
      <c r="O605" s="52">
        <f t="shared" si="10"/>
        <v>5.0000000000000398E-2</v>
      </c>
      <c r="P605" s="53">
        <f>IFERROR(_xll.qlBlackFormula(IF(O605&lt;$C$4,"Put","Call"),O605,$C$4,$C$9*SQRT($C$7)),"")</f>
        <v>3.5693214319730293E-7</v>
      </c>
      <c r="Q605" s="54">
        <f>IFERROR(_xll.qlBlackFormula(IF(O605&lt;$C$4,"Put","Call"),O605,$C$4,$C$10*SQRT($C$7),,$C$11),"")</f>
        <v>3.8088529830111047E-11</v>
      </c>
      <c r="R605" s="55">
        <f>IFERROR(_xll.qlBachelierBlackFormula(IF(O605&lt;$C$4,"Put","Call"),O605,$C$4,$C$12*SQRT($C$7)),"")</f>
        <v>9.6925634359851791E-51</v>
      </c>
      <c r="S605" s="56">
        <f>IFERROR((_xll.qlBlackFormula(IF(O605&lt;$C$4,"Put","Call"),O605+$C$14,$C$4,$C$9*SQRT($C$7))-
2*_xll.qlBlackFormula(IF(O605&lt;$C$4,"Put","Call"),O605,$C$4,$C$9*SQRT($C$7))+
_xll.qlBlackFormula(IF(O605&lt;$C$4,"Put","Call"),O605-$C$14,$C$4,$C$9*SQRT($C$7)))/$C$14^2,"")</f>
        <v>5.5090997478431276E-3</v>
      </c>
      <c r="T605" s="57">
        <f>IFERROR((_xll.qlBlackFormula(IF(O605&lt;$C$4,"Put","Call"),O605+$C$14,$C$4,$C$10*SQRT($C$7),,$C$11)-
2*_xll.qlBlackFormula(IF(O605&lt;$C$4,"Put","Call"),O605,$C$4,$C$10*SQRT($C$7),,$C$11)+
_xll.qlBlackFormula(IF(O605&lt;$C$4,"Put","Call"),O605-$C$14,$C$4,$C$10*SQRT($C$7),,$C$11))/$C$14^2,"")</f>
        <v>4.5758395885393494E-6</v>
      </c>
      <c r="U605" s="58">
        <f>IFERROR((_xll.qlBachelierBlackFormula(IF(O605&lt;$C$4,"Put","Call"),O605+$C$14,$C$4,$C$12*SQRT($C$7))-
2*_xll.qlBachelierBlackFormula(IF(O605&lt;$C$4,"Put","Call"),O605,$C$4,$C$12*SQRT($C$7))+
_xll.qlBachelierBlackFormula(IF(O605&lt;$C$4,"Put","Call"),O605-$C$14,$C$4,$C$12*SQRT($C$7)))/$C$14^2,"")</f>
        <v>2.0657477761919498E-43</v>
      </c>
      <c r="V605" s="61">
        <f>IFERROR(_xll.qlBachelierBlackFormulaImpliedVol(IF(O605&lt;$C$4,"Put","Call"),O605,$C$4,$C$7,P605),"")</f>
        <v>1.2255256010852289E-2</v>
      </c>
      <c r="W605" s="61">
        <f>IFERROR(_xll.qlBachelierBlackFormulaImpliedVol(IF(O605&lt;$C$4,"Put","Call"),O605,$C$4,$C$7,Q605),"")</f>
        <v>8.2716773432184986E-3</v>
      </c>
      <c r="X605" s="61">
        <f>IFERROR(_xll.qlBachelierBlackFormulaImpliedVol(IF(O605&lt;$C$4,"Put","Call"),O605,$C$4,$C$7,R605),"")</f>
        <v>5.8440335993794508E-3</v>
      </c>
      <c r="Y605" s="42"/>
    </row>
    <row r="606" spans="15:25">
      <c r="O606" s="59"/>
    </row>
    <row r="607" spans="15:25">
      <c r="O607" s="59"/>
    </row>
    <row r="608" spans="15:25">
      <c r="O608" s="59"/>
    </row>
    <row r="609" spans="15:15">
      <c r="O609" s="59"/>
    </row>
    <row r="610" spans="15:15">
      <c r="O610" s="59"/>
    </row>
    <row r="611" spans="15:15">
      <c r="O611" s="59"/>
    </row>
    <row r="612" spans="15:15">
      <c r="O612" s="59"/>
    </row>
    <row r="613" spans="15:15">
      <c r="O613" s="59"/>
    </row>
    <row r="614" spans="15:15">
      <c r="O614" s="59"/>
    </row>
    <row r="615" spans="15:15">
      <c r="O615" s="59"/>
    </row>
    <row r="616" spans="15:15">
      <c r="O616" s="59"/>
    </row>
    <row r="617" spans="15:15">
      <c r="O617" s="59"/>
    </row>
    <row r="618" spans="15:15">
      <c r="O618" s="59"/>
    </row>
    <row r="619" spans="15:15">
      <c r="O619" s="59"/>
    </row>
    <row r="620" spans="15:15">
      <c r="O620" s="59"/>
    </row>
    <row r="621" spans="15:15">
      <c r="O621" s="59"/>
    </row>
    <row r="622" spans="15:15">
      <c r="O622" s="59"/>
    </row>
    <row r="623" spans="15:15">
      <c r="O623" s="59"/>
    </row>
    <row r="624" spans="15:15">
      <c r="O624" s="59"/>
    </row>
    <row r="625" spans="15:15">
      <c r="O625" s="59"/>
    </row>
    <row r="626" spans="15:15">
      <c r="O626" s="59"/>
    </row>
    <row r="627" spans="15:15">
      <c r="O627" s="59"/>
    </row>
    <row r="628" spans="15:15">
      <c r="O628" s="59"/>
    </row>
    <row r="629" spans="15:15">
      <c r="O629" s="59"/>
    </row>
    <row r="630" spans="15:15">
      <c r="O630" s="59"/>
    </row>
    <row r="631" spans="15:15">
      <c r="O631" s="59"/>
    </row>
    <row r="632" spans="15:15">
      <c r="O632" s="59"/>
    </row>
    <row r="633" spans="15:15">
      <c r="O633" s="59"/>
    </row>
    <row r="634" spans="15:15">
      <c r="O634" s="59"/>
    </row>
    <row r="635" spans="15:15">
      <c r="O635" s="59"/>
    </row>
    <row r="636" spans="15:15">
      <c r="O636" s="59"/>
    </row>
    <row r="637" spans="15:15">
      <c r="O637" s="59"/>
    </row>
    <row r="638" spans="15:15">
      <c r="O638" s="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Y638"/>
  <sheetViews>
    <sheetView showGridLines="0" zoomScale="70" zoomScaleNormal="70" workbookViewId="0"/>
  </sheetViews>
  <sheetFormatPr defaultRowHeight="14"/>
  <cols>
    <col min="1" max="1" width="8.90625" style="18"/>
    <col min="2" max="2" width="19.6328125" style="18" bestFit="1" customWidth="1"/>
    <col min="3" max="3" width="12.54296875" style="18" customWidth="1"/>
    <col min="4" max="15" width="8.90625" style="18"/>
    <col min="16" max="16" width="9.81640625" style="18" customWidth="1"/>
    <col min="17" max="17" width="10.08984375" style="18" customWidth="1"/>
    <col min="18" max="18" width="9.54296875" style="18" customWidth="1"/>
    <col min="19" max="261" width="8.90625" style="18"/>
    <col min="262" max="262" width="19.6328125" style="18" bestFit="1" customWidth="1"/>
    <col min="263" max="263" width="12.54296875" style="18" customWidth="1"/>
    <col min="264" max="517" width="8.90625" style="18"/>
    <col min="518" max="518" width="19.6328125" style="18" bestFit="1" customWidth="1"/>
    <col min="519" max="519" width="12.54296875" style="18" customWidth="1"/>
    <col min="520" max="773" width="8.90625" style="18"/>
    <col min="774" max="774" width="19.6328125" style="18" bestFit="1" customWidth="1"/>
    <col min="775" max="775" width="12.54296875" style="18" customWidth="1"/>
    <col min="776" max="1029" width="8.90625" style="18"/>
    <col min="1030" max="1030" width="19.6328125" style="18" bestFit="1" customWidth="1"/>
    <col min="1031" max="1031" width="12.54296875" style="18" customWidth="1"/>
    <col min="1032" max="1285" width="8.90625" style="18"/>
    <col min="1286" max="1286" width="19.6328125" style="18" bestFit="1" customWidth="1"/>
    <col min="1287" max="1287" width="12.54296875" style="18" customWidth="1"/>
    <col min="1288" max="1541" width="8.90625" style="18"/>
    <col min="1542" max="1542" width="19.6328125" style="18" bestFit="1" customWidth="1"/>
    <col min="1543" max="1543" width="12.54296875" style="18" customWidth="1"/>
    <col min="1544" max="1797" width="8.90625" style="18"/>
    <col min="1798" max="1798" width="19.6328125" style="18" bestFit="1" customWidth="1"/>
    <col min="1799" max="1799" width="12.54296875" style="18" customWidth="1"/>
    <col min="1800" max="2053" width="8.90625" style="18"/>
    <col min="2054" max="2054" width="19.6328125" style="18" bestFit="1" customWidth="1"/>
    <col min="2055" max="2055" width="12.54296875" style="18" customWidth="1"/>
    <col min="2056" max="2309" width="8.90625" style="18"/>
    <col min="2310" max="2310" width="19.6328125" style="18" bestFit="1" customWidth="1"/>
    <col min="2311" max="2311" width="12.54296875" style="18" customWidth="1"/>
    <col min="2312" max="2565" width="8.90625" style="18"/>
    <col min="2566" max="2566" width="19.6328125" style="18" bestFit="1" customWidth="1"/>
    <col min="2567" max="2567" width="12.54296875" style="18" customWidth="1"/>
    <col min="2568" max="2821" width="8.90625" style="18"/>
    <col min="2822" max="2822" width="19.6328125" style="18" bestFit="1" customWidth="1"/>
    <col min="2823" max="2823" width="12.54296875" style="18" customWidth="1"/>
    <col min="2824" max="3077" width="8.90625" style="18"/>
    <col min="3078" max="3078" width="19.6328125" style="18" bestFit="1" customWidth="1"/>
    <col min="3079" max="3079" width="12.54296875" style="18" customWidth="1"/>
    <col min="3080" max="3333" width="8.90625" style="18"/>
    <col min="3334" max="3334" width="19.6328125" style="18" bestFit="1" customWidth="1"/>
    <col min="3335" max="3335" width="12.54296875" style="18" customWidth="1"/>
    <col min="3336" max="3589" width="8.90625" style="18"/>
    <col min="3590" max="3590" width="19.6328125" style="18" bestFit="1" customWidth="1"/>
    <col min="3591" max="3591" width="12.54296875" style="18" customWidth="1"/>
    <col min="3592" max="3845" width="8.90625" style="18"/>
    <col min="3846" max="3846" width="19.6328125" style="18" bestFit="1" customWidth="1"/>
    <col min="3847" max="3847" width="12.54296875" style="18" customWidth="1"/>
    <col min="3848" max="4101" width="8.90625" style="18"/>
    <col min="4102" max="4102" width="19.6328125" style="18" bestFit="1" customWidth="1"/>
    <col min="4103" max="4103" width="12.54296875" style="18" customWidth="1"/>
    <col min="4104" max="4357" width="8.90625" style="18"/>
    <col min="4358" max="4358" width="19.6328125" style="18" bestFit="1" customWidth="1"/>
    <col min="4359" max="4359" width="12.54296875" style="18" customWidth="1"/>
    <col min="4360" max="4613" width="8.90625" style="18"/>
    <col min="4614" max="4614" width="19.6328125" style="18" bestFit="1" customWidth="1"/>
    <col min="4615" max="4615" width="12.54296875" style="18" customWidth="1"/>
    <col min="4616" max="4869" width="8.90625" style="18"/>
    <col min="4870" max="4870" width="19.6328125" style="18" bestFit="1" customWidth="1"/>
    <col min="4871" max="4871" width="12.54296875" style="18" customWidth="1"/>
    <col min="4872" max="5125" width="8.90625" style="18"/>
    <col min="5126" max="5126" width="19.6328125" style="18" bestFit="1" customWidth="1"/>
    <col min="5127" max="5127" width="12.54296875" style="18" customWidth="1"/>
    <col min="5128" max="5381" width="8.90625" style="18"/>
    <col min="5382" max="5382" width="19.6328125" style="18" bestFit="1" customWidth="1"/>
    <col min="5383" max="5383" width="12.54296875" style="18" customWidth="1"/>
    <col min="5384" max="5637" width="8.90625" style="18"/>
    <col min="5638" max="5638" width="19.6328125" style="18" bestFit="1" customWidth="1"/>
    <col min="5639" max="5639" width="12.54296875" style="18" customWidth="1"/>
    <col min="5640" max="5893" width="8.90625" style="18"/>
    <col min="5894" max="5894" width="19.6328125" style="18" bestFit="1" customWidth="1"/>
    <col min="5895" max="5895" width="12.54296875" style="18" customWidth="1"/>
    <col min="5896" max="6149" width="8.90625" style="18"/>
    <col min="6150" max="6150" width="19.6328125" style="18" bestFit="1" customWidth="1"/>
    <col min="6151" max="6151" width="12.54296875" style="18" customWidth="1"/>
    <col min="6152" max="6405" width="8.90625" style="18"/>
    <col min="6406" max="6406" width="19.6328125" style="18" bestFit="1" customWidth="1"/>
    <col min="6407" max="6407" width="12.54296875" style="18" customWidth="1"/>
    <col min="6408" max="6661" width="8.90625" style="18"/>
    <col min="6662" max="6662" width="19.6328125" style="18" bestFit="1" customWidth="1"/>
    <col min="6663" max="6663" width="12.54296875" style="18" customWidth="1"/>
    <col min="6664" max="6917" width="8.90625" style="18"/>
    <col min="6918" max="6918" width="19.6328125" style="18" bestFit="1" customWidth="1"/>
    <col min="6919" max="6919" width="12.54296875" style="18" customWidth="1"/>
    <col min="6920" max="7173" width="8.90625" style="18"/>
    <col min="7174" max="7174" width="19.6328125" style="18" bestFit="1" customWidth="1"/>
    <col min="7175" max="7175" width="12.54296875" style="18" customWidth="1"/>
    <col min="7176" max="7429" width="8.90625" style="18"/>
    <col min="7430" max="7430" width="19.6328125" style="18" bestFit="1" customWidth="1"/>
    <col min="7431" max="7431" width="12.54296875" style="18" customWidth="1"/>
    <col min="7432" max="7685" width="8.90625" style="18"/>
    <col min="7686" max="7686" width="19.6328125" style="18" bestFit="1" customWidth="1"/>
    <col min="7687" max="7687" width="12.54296875" style="18" customWidth="1"/>
    <col min="7688" max="7941" width="8.90625" style="18"/>
    <col min="7942" max="7942" width="19.6328125" style="18" bestFit="1" customWidth="1"/>
    <col min="7943" max="7943" width="12.54296875" style="18" customWidth="1"/>
    <col min="7944" max="8197" width="8.90625" style="18"/>
    <col min="8198" max="8198" width="19.6328125" style="18" bestFit="1" customWidth="1"/>
    <col min="8199" max="8199" width="12.54296875" style="18" customWidth="1"/>
    <col min="8200" max="8453" width="8.90625" style="18"/>
    <col min="8454" max="8454" width="19.6328125" style="18" bestFit="1" customWidth="1"/>
    <col min="8455" max="8455" width="12.54296875" style="18" customWidth="1"/>
    <col min="8456" max="8709" width="8.90625" style="18"/>
    <col min="8710" max="8710" width="19.6328125" style="18" bestFit="1" customWidth="1"/>
    <col min="8711" max="8711" width="12.54296875" style="18" customWidth="1"/>
    <col min="8712" max="8965" width="8.90625" style="18"/>
    <col min="8966" max="8966" width="19.6328125" style="18" bestFit="1" customWidth="1"/>
    <col min="8967" max="8967" width="12.54296875" style="18" customWidth="1"/>
    <col min="8968" max="9221" width="8.90625" style="18"/>
    <col min="9222" max="9222" width="19.6328125" style="18" bestFit="1" customWidth="1"/>
    <col min="9223" max="9223" width="12.54296875" style="18" customWidth="1"/>
    <col min="9224" max="9477" width="8.90625" style="18"/>
    <col min="9478" max="9478" width="19.6328125" style="18" bestFit="1" customWidth="1"/>
    <col min="9479" max="9479" width="12.54296875" style="18" customWidth="1"/>
    <col min="9480" max="9733" width="8.90625" style="18"/>
    <col min="9734" max="9734" width="19.6328125" style="18" bestFit="1" customWidth="1"/>
    <col min="9735" max="9735" width="12.54296875" style="18" customWidth="1"/>
    <col min="9736" max="9989" width="8.90625" style="18"/>
    <col min="9990" max="9990" width="19.6328125" style="18" bestFit="1" customWidth="1"/>
    <col min="9991" max="9991" width="12.54296875" style="18" customWidth="1"/>
    <col min="9992" max="10245" width="8.90625" style="18"/>
    <col min="10246" max="10246" width="19.6328125" style="18" bestFit="1" customWidth="1"/>
    <col min="10247" max="10247" width="12.54296875" style="18" customWidth="1"/>
    <col min="10248" max="10501" width="8.90625" style="18"/>
    <col min="10502" max="10502" width="19.6328125" style="18" bestFit="1" customWidth="1"/>
    <col min="10503" max="10503" width="12.54296875" style="18" customWidth="1"/>
    <col min="10504" max="10757" width="8.90625" style="18"/>
    <col min="10758" max="10758" width="19.6328125" style="18" bestFit="1" customWidth="1"/>
    <col min="10759" max="10759" width="12.54296875" style="18" customWidth="1"/>
    <col min="10760" max="11013" width="8.90625" style="18"/>
    <col min="11014" max="11014" width="19.6328125" style="18" bestFit="1" customWidth="1"/>
    <col min="11015" max="11015" width="12.54296875" style="18" customWidth="1"/>
    <col min="11016" max="11269" width="8.90625" style="18"/>
    <col min="11270" max="11270" width="19.6328125" style="18" bestFit="1" customWidth="1"/>
    <col min="11271" max="11271" width="12.54296875" style="18" customWidth="1"/>
    <col min="11272" max="11525" width="8.90625" style="18"/>
    <col min="11526" max="11526" width="19.6328125" style="18" bestFit="1" customWidth="1"/>
    <col min="11527" max="11527" width="12.54296875" style="18" customWidth="1"/>
    <col min="11528" max="11781" width="8.90625" style="18"/>
    <col min="11782" max="11782" width="19.6328125" style="18" bestFit="1" customWidth="1"/>
    <col min="11783" max="11783" width="12.54296875" style="18" customWidth="1"/>
    <col min="11784" max="12037" width="8.90625" style="18"/>
    <col min="12038" max="12038" width="19.6328125" style="18" bestFit="1" customWidth="1"/>
    <col min="12039" max="12039" width="12.54296875" style="18" customWidth="1"/>
    <col min="12040" max="12293" width="8.90625" style="18"/>
    <col min="12294" max="12294" width="19.6328125" style="18" bestFit="1" customWidth="1"/>
    <col min="12295" max="12295" width="12.54296875" style="18" customWidth="1"/>
    <col min="12296" max="12549" width="8.90625" style="18"/>
    <col min="12550" max="12550" width="19.6328125" style="18" bestFit="1" customWidth="1"/>
    <col min="12551" max="12551" width="12.54296875" style="18" customWidth="1"/>
    <col min="12552" max="12805" width="8.90625" style="18"/>
    <col min="12806" max="12806" width="19.6328125" style="18" bestFit="1" customWidth="1"/>
    <col min="12807" max="12807" width="12.54296875" style="18" customWidth="1"/>
    <col min="12808" max="13061" width="8.90625" style="18"/>
    <col min="13062" max="13062" width="19.6328125" style="18" bestFit="1" customWidth="1"/>
    <col min="13063" max="13063" width="12.54296875" style="18" customWidth="1"/>
    <col min="13064" max="13317" width="8.90625" style="18"/>
    <col min="13318" max="13318" width="19.6328125" style="18" bestFit="1" customWidth="1"/>
    <col min="13319" max="13319" width="12.54296875" style="18" customWidth="1"/>
    <col min="13320" max="13573" width="8.90625" style="18"/>
    <col min="13574" max="13574" width="19.6328125" style="18" bestFit="1" customWidth="1"/>
    <col min="13575" max="13575" width="12.54296875" style="18" customWidth="1"/>
    <col min="13576" max="13829" width="8.90625" style="18"/>
    <col min="13830" max="13830" width="19.6328125" style="18" bestFit="1" customWidth="1"/>
    <col min="13831" max="13831" width="12.54296875" style="18" customWidth="1"/>
    <col min="13832" max="14085" width="8.90625" style="18"/>
    <col min="14086" max="14086" width="19.6328125" style="18" bestFit="1" customWidth="1"/>
    <col min="14087" max="14087" width="12.54296875" style="18" customWidth="1"/>
    <col min="14088" max="14341" width="8.90625" style="18"/>
    <col min="14342" max="14342" width="19.6328125" style="18" bestFit="1" customWidth="1"/>
    <col min="14343" max="14343" width="12.54296875" style="18" customWidth="1"/>
    <col min="14344" max="14597" width="8.90625" style="18"/>
    <col min="14598" max="14598" width="19.6328125" style="18" bestFit="1" customWidth="1"/>
    <col min="14599" max="14599" width="12.54296875" style="18" customWidth="1"/>
    <col min="14600" max="14853" width="8.90625" style="18"/>
    <col min="14854" max="14854" width="19.6328125" style="18" bestFit="1" customWidth="1"/>
    <col min="14855" max="14855" width="12.54296875" style="18" customWidth="1"/>
    <col min="14856" max="15109" width="8.90625" style="18"/>
    <col min="15110" max="15110" width="19.6328125" style="18" bestFit="1" customWidth="1"/>
    <col min="15111" max="15111" width="12.54296875" style="18" customWidth="1"/>
    <col min="15112" max="15365" width="8.90625" style="18"/>
    <col min="15366" max="15366" width="19.6328125" style="18" bestFit="1" customWidth="1"/>
    <col min="15367" max="15367" width="12.54296875" style="18" customWidth="1"/>
    <col min="15368" max="15621" width="8.90625" style="18"/>
    <col min="15622" max="15622" width="19.6328125" style="18" bestFit="1" customWidth="1"/>
    <col min="15623" max="15623" width="12.54296875" style="18" customWidth="1"/>
    <col min="15624" max="15877" width="8.90625" style="18"/>
    <col min="15878" max="15878" width="19.6328125" style="18" bestFit="1" customWidth="1"/>
    <col min="15879" max="15879" width="12.54296875" style="18" customWidth="1"/>
    <col min="15880" max="16133" width="8.90625" style="18"/>
    <col min="16134" max="16134" width="19.6328125" style="18" bestFit="1" customWidth="1"/>
    <col min="16135" max="16135" width="12.54296875" style="18" customWidth="1"/>
    <col min="16136" max="16384" width="8.90625" style="18"/>
  </cols>
  <sheetData>
    <row r="3" spans="2:25">
      <c r="B3" s="16" t="s">
        <v>38</v>
      </c>
      <c r="C3" s="17">
        <f>72.02%%*SQRT(2*C7/PI())</f>
        <v>1.2849261884532257E-2</v>
      </c>
      <c r="O3" s="19" t="s">
        <v>39</v>
      </c>
      <c r="P3" s="20" t="s">
        <v>40</v>
      </c>
      <c r="Q3" s="21" t="s">
        <v>40</v>
      </c>
      <c r="R3" s="22" t="s">
        <v>40</v>
      </c>
      <c r="S3" s="20" t="s">
        <v>41</v>
      </c>
      <c r="T3" s="21" t="s">
        <v>41</v>
      </c>
      <c r="U3" s="22" t="s">
        <v>41</v>
      </c>
      <c r="V3" s="20" t="s">
        <v>57</v>
      </c>
      <c r="W3" s="21" t="s">
        <v>57</v>
      </c>
      <c r="X3" s="22" t="s">
        <v>57</v>
      </c>
      <c r="Y3" s="22" t="s">
        <v>57</v>
      </c>
    </row>
    <row r="4" spans="2:25">
      <c r="B4" s="23" t="s">
        <v>42</v>
      </c>
      <c r="C4" s="24">
        <v>5.0000000000000001E-3</v>
      </c>
      <c r="O4" s="25" t="s">
        <v>43</v>
      </c>
      <c r="P4" s="26" t="s">
        <v>44</v>
      </c>
      <c r="Q4" s="27" t="s">
        <v>45</v>
      </c>
      <c r="R4" s="28" t="s">
        <v>46</v>
      </c>
      <c r="S4" s="26" t="s">
        <v>56</v>
      </c>
      <c r="T4" s="27" t="s">
        <v>55</v>
      </c>
      <c r="U4" s="28" t="s">
        <v>54</v>
      </c>
      <c r="V4" s="26" t="s">
        <v>56</v>
      </c>
      <c r="W4" s="27" t="s">
        <v>55</v>
      </c>
      <c r="X4" s="28" t="s">
        <v>54</v>
      </c>
      <c r="Y4" s="28" t="s">
        <v>65</v>
      </c>
    </row>
    <row r="5" spans="2:25">
      <c r="O5" s="29">
        <v>-0.01</v>
      </c>
      <c r="P5" s="30" t="str">
        <f>IFERROR(_xll.qlBlackFormula(IF(O5&lt;$C$4,"Put","Call"),O5,$C$4,$C$9*SQRT($C$7)),"")</f>
        <v/>
      </c>
      <c r="Q5" s="31">
        <f>IFERROR(_xll.qlBlackFormula(IF(O5&lt;$C$4,"Put","Call"),O5,$C$4,$C$10*SQRT($C$7),,$C$11),"")</f>
        <v>1.163038370076315E-3</v>
      </c>
      <c r="R5" s="32">
        <f>IFERROR(_xll.qlBachelierBlackFormula(IF(O5&lt;$C$4,"Put","Call"),O5,$C$4,$C$12*SQRT($C$7)),"")</f>
        <v>1.5262753173599657E-3</v>
      </c>
      <c r="S5" s="33" t="str">
        <f>IFERROR((_xll.qlBlackFormula(IF(O5&lt;$C$4,"Put","Call"),O5+$C$14,$C$4,$C$9*SQRT($C$7))-
2*_xll.qlBlackFormula(IF(O5&lt;$C$4,"Put","Call"),O5,$C$4,$C$9*SQRT($C$7))+
_xll.qlBlackFormula(IF(O5&lt;$C$4,"Put","Call"),O5-$C$14,$C$4,$C$9*SQRT($C$7)))/$C$14^2,"")</f>
        <v/>
      </c>
      <c r="T5" s="34">
        <f>IFERROR((_xll.qlBlackFormula(IF(O5&lt;$C$4,"Put","Call"),O5+$C$14,$C$4,$C$10*SQRT($C$7),,$C$11)-
2*_xll.qlBlackFormula(IF(O5&lt;$C$4,"Put","Call"),O5,$C$4,$C$10*SQRT($C$7),,$C$11)+
_xll.qlBlackFormula(IF(O5&lt;$C$4,"Put","Call"),O5-$C$14,$C$4,$C$10*SQRT($C$7),,$C$11))/$C$14^2,"")</f>
        <v>19.520312449783361</v>
      </c>
      <c r="U5" s="35">
        <f>IFERROR((_xll.qlBachelierBlackFormula(IF(O5&lt;$C$4,"Put","Call"),O5+$C$14,$C$4,$C$12*SQRT($C$7))-
2*_xll.qlBachelierBlackFormula(IF(O5&lt;$C$4,"Put","Call"),O5,$C$4,$C$12*SQRT($C$7))+
_xll.qlBachelierBlackFormula(IF(O5&lt;$C$4,"Put","Call"),O5-$C$14,$C$4,$C$12*SQRT($C$7)))/$C$14^2,"")</f>
        <v>16.053907335444872</v>
      </c>
      <c r="V5" s="61" t="str">
        <f>IFERROR(_xll.qlBachelierBlackFormulaImpliedVol(IF(O5&lt;$C$4,"Put","Call"),O5,$C$4,$C$7,P5),"")</f>
        <v/>
      </c>
      <c r="W5" s="61">
        <f>IFERROR(_xll.qlBachelierBlackFormulaImpliedVol(IF(O5&lt;$C$4,"Put","Call"),O5,$C$4,$C$7,Q5),"")</f>
        <v>6.5459819925299386E-3</v>
      </c>
      <c r="X5" s="61">
        <f>IFERROR(_xll.qlBachelierBlackFormulaImpliedVol(IF(O5&lt;$C$4,"Put","Call"),O5,$C$4,$C$7,R5),"")</f>
        <v>7.2019999999989211E-3</v>
      </c>
      <c r="Y5" s="96">
        <f>_xll.qlSmileSectionVolatility($C$40,O5+$C$31)</f>
        <v>6.8199370555888034E-3</v>
      </c>
    </row>
    <row r="6" spans="2:25">
      <c r="B6" s="16" t="s">
        <v>47</v>
      </c>
      <c r="C6" s="36">
        <f>C4</f>
        <v>5.0000000000000001E-3</v>
      </c>
      <c r="O6" s="37">
        <f>O5+0.01%</f>
        <v>-9.9000000000000008E-3</v>
      </c>
      <c r="P6" s="38" t="str">
        <f>IFERROR(_xll.qlBlackFormula(IF(O6&lt;$C$4,"Put","Call"),O6,$C$4,$C$9*SQRT($C$7)),"")</f>
        <v/>
      </c>
      <c r="Q6" s="39">
        <f>IFERROR(_xll.qlBlackFormula(IF(O6&lt;$C$4,"Put","Call"),O6,$C$4,$C$10*SQRT($C$7),,$C$11),"")</f>
        <v>1.1807968150915824E-3</v>
      </c>
      <c r="R6" s="40">
        <f>IFERROR(_xll.qlBachelierBlackFormula(IF(O6&lt;$C$4,"Put","Call"),O6,$C$4,$C$12*SQRT($C$7)),"")</f>
        <v>1.5439371387415734E-3</v>
      </c>
      <c r="S6" s="41" t="str">
        <f>IFERROR((_xll.qlBlackFormula(IF(O6&lt;$C$4,"Put","Call"),O6+$C$14,$C$4,$C$9*SQRT($C$7))-
2*_xll.qlBlackFormula(IF(O6&lt;$C$4,"Put","Call"),O6,$C$4,$C$9*SQRT($C$7))+
_xll.qlBlackFormula(IF(O6&lt;$C$4,"Put","Call"),O6-$C$14,$C$4,$C$9*SQRT($C$7)))/$C$14^2,"")</f>
        <v/>
      </c>
      <c r="T6" s="42">
        <f>IFERROR((_xll.qlBlackFormula(IF(O6&lt;$C$4,"Put","Call"),O6+$C$14,$C$4,$C$10*SQRT($C$7),,$C$11)-
2*_xll.qlBlackFormula(IF(O6&lt;$C$4,"Put","Call"),O6,$C$4,$C$10*SQRT($C$7),,$C$11)+
_xll.qlBlackFormula(IF(O6&lt;$C$4,"Put","Call"),O6-$C$14,$C$4,$C$10*SQRT($C$7),,$C$11))/$C$14^2,"")</f>
        <v>19.62854358217303</v>
      </c>
      <c r="U6" s="43">
        <f>IFERROR((_xll.qlBachelierBlackFormula(IF(O6&lt;$C$4,"Put","Call"),O6+$C$14,$C$4,$C$12*SQRT($C$7))-
2*_xll.qlBachelierBlackFormula(IF(O6&lt;$C$4,"Put","Call"),O6,$C$4,$C$12*SQRT($C$7))+
_xll.qlBachelierBlackFormula(IF(O6&lt;$C$4,"Put","Call"),O6-$C$14,$C$4,$C$12*SQRT($C$7)))/$C$14^2,"")</f>
        <v>16.146716776133108</v>
      </c>
      <c r="V6" s="61" t="str">
        <f>IFERROR(_xll.qlBachelierBlackFormulaImpliedVol(IF(O6&lt;$C$4,"Put","Call"),O6,$C$4,$C$7,P6),"")</f>
        <v/>
      </c>
      <c r="W6" s="61">
        <f>IFERROR(_xll.qlBachelierBlackFormulaImpliedVol(IF(O6&lt;$C$4,"Put","Call"),O6,$C$4,$C$7,Q6),"")</f>
        <v>6.5505053294560587E-3</v>
      </c>
      <c r="X6" s="61">
        <f>IFERROR(_xll.qlBachelierBlackFormulaImpliedVol(IF(O6&lt;$C$4,"Put","Call"),O6,$C$4,$C$7,R6),"")</f>
        <v>7.2019999999990616E-3</v>
      </c>
      <c r="Y6" s="96">
        <f>_xll.qlSmileSectionVolatility($C$40,O6+$C$31)</f>
        <v>6.8209115558537153E-3</v>
      </c>
    </row>
    <row r="7" spans="2:25">
      <c r="B7" s="23" t="s">
        <v>48</v>
      </c>
      <c r="C7" s="44">
        <v>5</v>
      </c>
      <c r="O7" s="37">
        <f t="shared" ref="O7:O70" si="0">O6+0.01%</f>
        <v>-9.8000000000000014E-3</v>
      </c>
      <c r="P7" s="38" t="str">
        <f>IFERROR(_xll.qlBlackFormula(IF(O7&lt;$C$4,"Put","Call"),O7,$C$4,$C$9*SQRT($C$7)),"")</f>
        <v/>
      </c>
      <c r="Q7" s="39">
        <f>IFERROR(_xll.qlBlackFormula(IF(O7&lt;$C$4,"Put","Call"),O7,$C$4,$C$10*SQRT($C$7),,$C$11),"")</f>
        <v>1.1987515449909964E-3</v>
      </c>
      <c r="R7" s="40">
        <f>IFERROR(_xll.qlBachelierBlackFormula(IF(O7&lt;$C$4,"Put","Call"),O7,$C$4,$C$12*SQRT($C$7)),"")</f>
        <v>1.5617604272296884E-3</v>
      </c>
      <c r="S7" s="41" t="str">
        <f>IFERROR((_xll.qlBlackFormula(IF(O7&lt;$C$4,"Put","Call"),O7+$C$14,$C$4,$C$9*SQRT($C$7))-
2*_xll.qlBlackFormula(IF(O7&lt;$C$4,"Put","Call"),O7,$C$4,$C$9*SQRT($C$7))+
_xll.qlBlackFormula(IF(O7&lt;$C$4,"Put","Call"),O7-$C$14,$C$4,$C$9*SQRT($C$7)))/$C$14^2,"")</f>
        <v/>
      </c>
      <c r="T7" s="42">
        <f>IFERROR((_xll.qlBlackFormula(IF(O7&lt;$C$4,"Put","Call"),O7+$C$14,$C$4,$C$10*SQRT($C$7),,$C$11)-
2*_xll.qlBlackFormula(IF(O7&lt;$C$4,"Put","Call"),O7,$C$4,$C$10*SQRT($C$7),,$C$11)+
_xll.qlBlackFormula(IF(O7&lt;$C$4,"Put","Call"),O7-$C$14,$C$4,$C$10*SQRT($C$7),,$C$11))/$C$14^2,"")</f>
        <v>19.7361103154714</v>
      </c>
      <c r="U7" s="43">
        <f>IFERROR((_xll.qlBachelierBlackFormula(IF(O7&lt;$C$4,"Put","Call"),O7+$C$14,$C$4,$C$12*SQRT($C$7))-
2*_xll.qlBachelierBlackFormula(IF(O7&lt;$C$4,"Put","Call"),O7,$C$4,$C$12*SQRT($C$7))+
_xll.qlBachelierBlackFormula(IF(O7&lt;$C$4,"Put","Call"),O7-$C$14,$C$4,$C$12*SQRT($C$7)))/$C$14^2,"")</f>
        <v>16.239437312243201</v>
      </c>
      <c r="V7" s="61" t="str">
        <f>IFERROR(_xll.qlBachelierBlackFormulaImpliedVol(IF(O7&lt;$C$4,"Put","Call"),O7,$C$4,$C$7,P7),"")</f>
        <v/>
      </c>
      <c r="W7" s="61">
        <f>IFERROR(_xll.qlBachelierBlackFormulaImpliedVol(IF(O7&lt;$C$4,"Put","Call"),O7,$C$4,$C$7,Q7),"")</f>
        <v>6.5550264463779219E-3</v>
      </c>
      <c r="X7" s="61">
        <f>IFERROR(_xll.qlBachelierBlackFormulaImpliedVol(IF(O7&lt;$C$4,"Put","Call"),O7,$C$4,$C$7,R7),"")</f>
        <v>7.2019999999991995E-3</v>
      </c>
      <c r="Y7" s="96">
        <f>_xll.qlSmileSectionVolatility($C$40,O7+$C$31)</f>
        <v>6.8219034880104713E-3</v>
      </c>
    </row>
    <row r="8" spans="2:25">
      <c r="O8" s="37">
        <f t="shared" si="0"/>
        <v>-9.700000000000002E-3</v>
      </c>
      <c r="P8" s="38" t="str">
        <f>IFERROR(_xll.qlBlackFormula(IF(O8&lt;$C$4,"Put","Call"),O8,$C$4,$C$9*SQRT($C$7)),"")</f>
        <v/>
      </c>
      <c r="Q8" s="39">
        <f>IFERROR(_xll.qlBlackFormula(IF(O8&lt;$C$4,"Put","Call"),O8,$C$4,$C$10*SQRT($C$7),,$C$11),"")</f>
        <v>1.216903635289545E-3</v>
      </c>
      <c r="R8" s="40">
        <f>IFERROR(_xll.qlBachelierBlackFormula(IF(O8&lt;$C$4,"Put","Call"),O8,$C$4,$C$12*SQRT($C$7)),"")</f>
        <v>1.5797461100286463E-3</v>
      </c>
      <c r="S8" s="41" t="str">
        <f>IFERROR((_xll.qlBlackFormula(IF(O8&lt;$C$4,"Put","Call"),O8+$C$14,$C$4,$C$9*SQRT($C$7))-
2*_xll.qlBlackFormula(IF(O8&lt;$C$4,"Put","Call"),O8,$C$4,$C$9*SQRT($C$7))+
_xll.qlBlackFormula(IF(O8&lt;$C$4,"Put","Call"),O8-$C$14,$C$4,$C$9*SQRT($C$7)))/$C$14^2,"")</f>
        <v/>
      </c>
      <c r="T8" s="42">
        <f>IFERROR((_xll.qlBlackFormula(IF(O8&lt;$C$4,"Put","Call"),O8+$C$14,$C$4,$C$10*SQRT($C$7),,$C$11)-
2*_xll.qlBlackFormula(IF(O8&lt;$C$4,"Put","Call"),O8,$C$4,$C$10*SQRT($C$7),,$C$11)+
_xll.qlBlackFormula(IF(O8&lt;$C$4,"Put","Call"),O8-$C$14,$C$4,$C$10*SQRT($C$7),,$C$11))/$C$14^2,"")</f>
        <v>19.842958873250716</v>
      </c>
      <c r="U8" s="43">
        <f>IFERROR((_xll.qlBachelierBlackFormula(IF(O8&lt;$C$4,"Put","Call"),O8+$C$14,$C$4,$C$12*SQRT($C$7))-
2*_xll.qlBachelierBlackFormula(IF(O8&lt;$C$4,"Put","Call"),O8,$C$4,$C$12*SQRT($C$7))+
_xll.qlBachelierBlackFormula(IF(O8&lt;$C$4,"Put","Call"),O8-$C$14,$C$4,$C$12*SQRT($C$7)))/$C$14^2,"")</f>
        <v>16.332061571200374</v>
      </c>
      <c r="V8" s="61" t="str">
        <f>IFERROR(_xll.qlBachelierBlackFormulaImpliedVol(IF(O8&lt;$C$4,"Put","Call"),O8,$C$4,$C$7,P8),"")</f>
        <v/>
      </c>
      <c r="W8" s="61">
        <f>IFERROR(_xll.qlBachelierBlackFormulaImpliedVol(IF(O8&lt;$C$4,"Put","Call"),O8,$C$4,$C$7,Q8),"")</f>
        <v>6.5595453480677733E-3</v>
      </c>
      <c r="X8" s="61">
        <f>IFERROR(_xll.qlBachelierBlackFormulaImpliedVol(IF(O8&lt;$C$4,"Put","Call"),O8,$C$4,$C$7,R8),"")</f>
        <v>7.2019999999993357E-3</v>
      </c>
      <c r="Y8" s="96">
        <f>_xll.qlSmileSectionVolatility($C$40,O8+$C$31)</f>
        <v>6.8229129603888539E-3</v>
      </c>
    </row>
    <row r="9" spans="2:25">
      <c r="B9" s="45" t="s">
        <v>49</v>
      </c>
      <c r="C9" s="46" t="e">
        <f>_xll.qlBlackFormulaImpliedStdDev("Call",C6,C4,C3/2)/SQRT(C7)</f>
        <v>#NUM!</v>
      </c>
      <c r="O9" s="37">
        <f t="shared" si="0"/>
        <v>-9.6000000000000026E-3</v>
      </c>
      <c r="P9" s="38" t="str">
        <f>IFERROR(_xll.qlBlackFormula(IF(O9&lt;$C$4,"Put","Call"),O9,$C$4,$C$9*SQRT($C$7)),"")</f>
        <v/>
      </c>
      <c r="Q9" s="39">
        <f>IFERROR(_xll.qlBlackFormula(IF(O9&lt;$C$4,"Put","Call"),O9,$C$4,$C$10*SQRT($C$7),,$C$11),"")</f>
        <v>1.2352541546757027E-3</v>
      </c>
      <c r="R9" s="40">
        <f>IFERROR(_xll.qlBachelierBlackFormula(IF(O9&lt;$C$4,"Put","Call"),O9,$C$4,$C$12*SQRT($C$7)),"")</f>
        <v>1.5978951133696078E-3</v>
      </c>
      <c r="S9" s="41" t="str">
        <f>IFERROR((_xll.qlBlackFormula(IF(O9&lt;$C$4,"Put","Call"),O9+$C$14,$C$4,$C$9*SQRT($C$7))-
2*_xll.qlBlackFormula(IF(O9&lt;$C$4,"Put","Call"),O9,$C$4,$C$9*SQRT($C$7))+
_xll.qlBlackFormula(IF(O9&lt;$C$4,"Put","Call"),O9-$C$14,$C$4,$C$9*SQRT($C$7)))/$C$14^2,"")</f>
        <v/>
      </c>
      <c r="T9" s="42">
        <f>IFERROR((_xll.qlBlackFormula(IF(O9&lt;$C$4,"Put","Call"),O9+$C$14,$C$4,$C$10*SQRT($C$7),,$C$11)-
2*_xll.qlBlackFormula(IF(O9&lt;$C$4,"Put","Call"),O9,$C$4,$C$10*SQRT($C$7),,$C$11)+
_xll.qlBlackFormula(IF(O9&lt;$C$4,"Put","Call"),O9-$C$14,$C$4,$C$10*SQRT($C$7),,$C$11))/$C$14^2,"")</f>
        <v>19.949141297215256</v>
      </c>
      <c r="U9" s="43">
        <f>IFERROR((_xll.qlBachelierBlackFormula(IF(O9&lt;$C$4,"Put","Call"),O9+$C$14,$C$4,$C$12*SQRT($C$7))-
2*_xll.qlBachelierBlackFormula(IF(O9&lt;$C$4,"Put","Call"),O9,$C$4,$C$12*SQRT($C$7))+
_xll.qlBachelierBlackFormula(IF(O9&lt;$C$4,"Put","Call"),O9-$C$14,$C$4,$C$12*SQRT($C$7)))/$C$14^2,"")</f>
        <v>16.424582180429859</v>
      </c>
      <c r="V9" s="61" t="str">
        <f>IFERROR(_xll.qlBachelierBlackFormulaImpliedVol(IF(O9&lt;$C$4,"Put","Call"),O9,$C$4,$C$7,P9),"")</f>
        <v/>
      </c>
      <c r="W9" s="61">
        <f>IFERROR(_xll.qlBachelierBlackFormulaImpliedVol(IF(O9&lt;$C$4,"Put","Call"),O9,$C$4,$C$7,Q9),"")</f>
        <v>6.5640620392805361E-3</v>
      </c>
      <c r="X9" s="61">
        <f>IFERROR(_xll.qlBachelierBlackFormulaImpliedVol(IF(O9&lt;$C$4,"Put","Call"),O9,$C$4,$C$7,R9),"")</f>
        <v>7.2019999999994701E-3</v>
      </c>
      <c r="Y9" s="96">
        <f>_xll.qlSmileSectionVolatility($C$40,O9+$C$31)</f>
        <v>6.8239400808088957E-3</v>
      </c>
    </row>
    <row r="10" spans="2:25">
      <c r="B10" s="16" t="s">
        <v>50</v>
      </c>
      <c r="C10" s="47">
        <f>_xll.qlBlackFormulaImpliedStdDev("Call",C6,C4,C3/2,,C11)/SQRT(C7)</f>
        <v>8.4856536055820858E-2</v>
      </c>
      <c r="O10" s="37">
        <f t="shared" si="0"/>
        <v>-9.5000000000000032E-3</v>
      </c>
      <c r="P10" s="38" t="str">
        <f>IFERROR(_xll.qlBlackFormula(IF(O10&lt;$C$4,"Put","Call"),O10,$C$4,$C$9*SQRT($C$7)),"")</f>
        <v/>
      </c>
      <c r="Q10" s="39">
        <f>IFERROR(_xll.qlBlackFormula(IF(O10&lt;$C$4,"Put","Call"),O10,$C$4,$C$10*SQRT($C$7),,$C$11),"")</f>
        <v>1.2538041648894604E-3</v>
      </c>
      <c r="R10" s="40">
        <f>IFERROR(_xll.qlBachelierBlackFormula(IF(O10&lt;$C$4,"Put","Call"),O10,$C$4,$C$12*SQRT($C$7)),"")</f>
        <v>1.6162083624333785E-3</v>
      </c>
      <c r="S10" s="41" t="str">
        <f>IFERROR((_xll.qlBlackFormula(IF(O10&lt;$C$4,"Put","Call"),O10+$C$14,$C$4,$C$9*SQRT($C$7))-
2*_xll.qlBlackFormula(IF(O10&lt;$C$4,"Put","Call"),O10,$C$4,$C$9*SQRT($C$7))+
_xll.qlBlackFormula(IF(O10&lt;$C$4,"Put","Call"),O10-$C$14,$C$4,$C$9*SQRT($C$7)))/$C$14^2,"")</f>
        <v/>
      </c>
      <c r="T10" s="42">
        <f>IFERROR((_xll.qlBlackFormula(IF(O10&lt;$C$4,"Put","Call"),O10+$C$14,$C$4,$C$10*SQRT($C$7),,$C$11)-
2*_xll.qlBlackFormula(IF(O10&lt;$C$4,"Put","Call"),O10,$C$4,$C$10*SQRT($C$7),,$C$11)+
_xll.qlBlackFormula(IF(O10&lt;$C$4,"Put","Call"),O10-$C$14,$C$4,$C$10*SQRT($C$7),,$C$11))/$C$14^2,"")</f>
        <v>20.054605545660742</v>
      </c>
      <c r="U10" s="43">
        <f>IFERROR((_xll.qlBachelierBlackFormula(IF(O10&lt;$C$4,"Put","Call"),O10+$C$14,$C$4,$C$12*SQRT($C$7))-
2*_xll.qlBachelierBlackFormula(IF(O10&lt;$C$4,"Put","Call"),O10,$C$4,$C$12*SQRT($C$7))+
_xll.qlBachelierBlackFormula(IF(O10&lt;$C$4,"Put","Call"),O10-$C$14,$C$4,$C$12*SQRT($C$7)))/$C$14^2,"")</f>
        <v>16.516986563186453</v>
      </c>
      <c r="V10" s="61" t="str">
        <f>IFERROR(_xll.qlBachelierBlackFormulaImpliedVol(IF(O10&lt;$C$4,"Put","Call"),O10,$C$4,$C$7,P10),"")</f>
        <v/>
      </c>
      <c r="W10" s="61">
        <f>IFERROR(_xll.qlBachelierBlackFormulaImpliedVol(IF(O10&lt;$C$4,"Put","Call"),O10,$C$4,$C$7,Q10),"")</f>
        <v>6.5685765247540375E-3</v>
      </c>
      <c r="X10" s="61">
        <f>IFERROR(_xll.qlBachelierBlackFormulaImpliedVol(IF(O10&lt;$C$4,"Put","Call"),O10,$C$4,$C$7,R10),"")</f>
        <v>7.2019999999996046E-3</v>
      </c>
      <c r="Y10" s="96">
        <f>_xll.qlSmileSectionVolatility($C$40,O10+$C$31)</f>
        <v>6.8249849565718765E-3</v>
      </c>
    </row>
    <row r="11" spans="2:25">
      <c r="B11" s="23" t="s">
        <v>51</v>
      </c>
      <c r="C11" s="48">
        <v>0.08</v>
      </c>
      <c r="O11" s="37">
        <f t="shared" si="0"/>
        <v>-9.4000000000000038E-3</v>
      </c>
      <c r="P11" s="38" t="str">
        <f>IFERROR(_xll.qlBlackFormula(IF(O11&lt;$C$4,"Put","Call"),O11,$C$4,$C$9*SQRT($C$7)),"")</f>
        <v/>
      </c>
      <c r="Q11" s="39">
        <f>IFERROR(_xll.qlBlackFormula(IF(O11&lt;$C$4,"Put","Call"),O11,$C$4,$C$10*SQRT($C$7),,$C$11),"")</f>
        <v>1.2725547206015025E-3</v>
      </c>
      <c r="R11" s="40">
        <f>IFERROR(_xll.qlBachelierBlackFormula(IF(O11&lt;$C$4,"Put","Call"),O11,$C$4,$C$12*SQRT($C$7)),"")</f>
        <v>1.6346867812729077E-3</v>
      </c>
      <c r="S11" s="41" t="str">
        <f>IFERROR((_xll.qlBlackFormula(IF(O11&lt;$C$4,"Put","Call"),O11+$C$14,$C$4,$C$9*SQRT($C$7))-
2*_xll.qlBlackFormula(IF(O11&lt;$C$4,"Put","Call"),O11,$C$4,$C$9*SQRT($C$7))+
_xll.qlBlackFormula(IF(O11&lt;$C$4,"Put","Call"),O11-$C$14,$C$4,$C$9*SQRT($C$7)))/$C$14^2,"")</f>
        <v/>
      </c>
      <c r="T11" s="42">
        <f>IFERROR((_xll.qlBlackFormula(IF(O11&lt;$C$4,"Put","Call"),O11+$C$14,$C$4,$C$10*SQRT($C$7),,$C$11)-
2*_xll.qlBlackFormula(IF(O11&lt;$C$4,"Put","Call"),O11,$C$4,$C$10*SQRT($C$7),,$C$11)+
_xll.qlBlackFormula(IF(O11&lt;$C$4,"Put","Call"),O11-$C$14,$C$4,$C$10*SQRT($C$7),,$C$11))/$C$14^2,"")</f>
        <v>20.159362026928029</v>
      </c>
      <c r="U11" s="43">
        <f>IFERROR((_xll.qlBachelierBlackFormula(IF(O11&lt;$C$4,"Put","Call"),O11+$C$14,$C$4,$C$12*SQRT($C$7))-
2*_xll.qlBachelierBlackFormula(IF(O11&lt;$C$4,"Put","Call"),O11,$C$4,$C$12*SQRT($C$7))+
_xll.qlBachelierBlackFormula(IF(O11&lt;$C$4,"Put","Call"),O11-$C$14,$C$4,$C$12*SQRT($C$7)))/$C$14^2,"")</f>
        <v>16.609271250023205</v>
      </c>
      <c r="V11" s="61" t="str">
        <f>IFERROR(_xll.qlBachelierBlackFormulaImpliedVol(IF(O11&lt;$C$4,"Put","Call"),O11,$C$4,$C$7,P11),"")</f>
        <v/>
      </c>
      <c r="W11" s="61">
        <f>IFERROR(_xll.qlBachelierBlackFormulaImpliedVol(IF(O11&lt;$C$4,"Put","Call"),O11,$C$4,$C$7,Q11),"")</f>
        <v>6.5730888092089797E-3</v>
      </c>
      <c r="X11" s="61">
        <f>IFERROR(_xll.qlBachelierBlackFormulaImpliedVol(IF(O11&lt;$C$4,"Put","Call"),O11,$C$4,$C$7,R11),"")</f>
        <v>7.2019999999997381E-3</v>
      </c>
      <c r="Y11" s="96">
        <f>_xll.qlSmileSectionVolatility($C$40,O11+$C$31)</f>
        <v>6.8260476944513862E-3</v>
      </c>
    </row>
    <row r="12" spans="2:25">
      <c r="B12" s="45" t="s">
        <v>52</v>
      </c>
      <c r="C12" s="49">
        <f>_xll.qlBachelierBlackFormulaImpliedVol("Call",C6,C4,C7,C3/2)</f>
        <v>7.2019999999999931E-3</v>
      </c>
      <c r="O12" s="37">
        <f t="shared" si="0"/>
        <v>-9.3000000000000044E-3</v>
      </c>
      <c r="P12" s="38" t="str">
        <f>IFERROR(_xll.qlBlackFormula(IF(O12&lt;$C$4,"Put","Call"),O12,$C$4,$C$9*SQRT($C$7)),"")</f>
        <v/>
      </c>
      <c r="Q12" s="39">
        <f>IFERROR(_xll.qlBlackFormula(IF(O12&lt;$C$4,"Put","Call"),O12,$C$4,$C$10*SQRT($C$7),,$C$11),"")</f>
        <v>1.2915068692937338E-3</v>
      </c>
      <c r="R12" s="40">
        <f>IFERROR(_xll.qlBachelierBlackFormula(IF(O12&lt;$C$4,"Put","Call"),O12,$C$4,$C$12*SQRT($C$7)),"")</f>
        <v>1.6533312927354826E-3</v>
      </c>
      <c r="S12" s="41" t="str">
        <f>IFERROR((_xll.qlBlackFormula(IF(O12&lt;$C$4,"Put","Call"),O12+$C$14,$C$4,$C$9*SQRT($C$7))-
2*_xll.qlBlackFormula(IF(O12&lt;$C$4,"Put","Call"),O12,$C$4,$C$9*SQRT($C$7))+
_xll.qlBlackFormula(IF(O12&lt;$C$4,"Put","Call"),O12-$C$14,$C$4,$C$9*SQRT($C$7)))/$C$14^2,"")</f>
        <v/>
      </c>
      <c r="T12" s="42">
        <f>IFERROR((_xll.qlBlackFormula(IF(O12&lt;$C$4,"Put","Call"),O12+$C$14,$C$4,$C$10*SQRT($C$7),,$C$11)-
2*_xll.qlBlackFormula(IF(O12&lt;$C$4,"Put","Call"),O12,$C$4,$C$10*SQRT($C$7),,$C$11)+
_xll.qlBlackFormula(IF(O12&lt;$C$4,"Put","Call"),O12-$C$14,$C$4,$C$10*SQRT($C$7),,$C$11))/$C$14^2,"")</f>
        <v>20.263391659058883</v>
      </c>
      <c r="U12" s="43">
        <f>IFERROR((_xll.qlBachelierBlackFormula(IF(O12&lt;$C$4,"Put","Call"),O12+$C$14,$C$4,$C$12*SQRT($C$7))-
2*_xll.qlBachelierBlackFormula(IF(O12&lt;$C$4,"Put","Call"),O12,$C$4,$C$12*SQRT($C$7))+
_xll.qlBachelierBlackFormula(IF(O12&lt;$C$4,"Put","Call"),O12-$C$14,$C$4,$C$12*SQRT($C$7)))/$C$14^2,"")</f>
        <v>16.701427567322735</v>
      </c>
      <c r="V12" s="61" t="str">
        <f>IFERROR(_xll.qlBachelierBlackFormulaImpliedVol(IF(O12&lt;$C$4,"Put","Call"),O12,$C$4,$C$7,P12),"")</f>
        <v/>
      </c>
      <c r="W12" s="61">
        <f>IFERROR(_xll.qlBachelierBlackFormulaImpliedVol(IF(O12&lt;$C$4,"Put","Call"),O12,$C$4,$C$7,Q12),"")</f>
        <v>6.5775988973490974E-3</v>
      </c>
      <c r="X12" s="61">
        <f>IFERROR(_xll.qlBachelierBlackFormulaImpliedVol(IF(O12&lt;$C$4,"Put","Call"),O12,$C$4,$C$7,R12),"")</f>
        <v>7.2019999999998613E-3</v>
      </c>
      <c r="Y12" s="96">
        <f>_xll.qlSmileSectionVolatility($C$40,O12+$C$31)</f>
        <v>6.8271284006842028E-3</v>
      </c>
    </row>
    <row r="13" spans="2:25">
      <c r="O13" s="37">
        <f t="shared" si="0"/>
        <v>-9.200000000000005E-3</v>
      </c>
      <c r="P13" s="38" t="str">
        <f>IFERROR(_xll.qlBlackFormula(IF(O13&lt;$C$4,"Put","Call"),O13,$C$4,$C$9*SQRT($C$7)),"")</f>
        <v/>
      </c>
      <c r="Q13" s="39">
        <f>IFERROR(_xll.qlBlackFormula(IF(O13&lt;$C$4,"Put","Call"),O13,$C$4,$C$10*SQRT($C$7),,$C$11),"")</f>
        <v>1.3106616511410572E-3</v>
      </c>
      <c r="R13" s="40">
        <f>IFERROR(_xll.qlBachelierBlackFormula(IF(O13&lt;$C$4,"Put","Call"),O13,$C$4,$C$12*SQRT($C$7)),"")</f>
        <v>1.6721428183846337E-3</v>
      </c>
      <c r="S13" s="41" t="str">
        <f>IFERROR((_xll.qlBlackFormula(IF(O13&lt;$C$4,"Put","Call"),O13+$C$14,$C$4,$C$9*SQRT($C$7))-
2*_xll.qlBlackFormula(IF(O13&lt;$C$4,"Put","Call"),O13,$C$4,$C$9*SQRT($C$7))+
_xll.qlBlackFormula(IF(O13&lt;$C$4,"Put","Call"),O13-$C$14,$C$4,$C$9*SQRT($C$7)))/$C$14^2,"")</f>
        <v/>
      </c>
      <c r="T13" s="42">
        <f>IFERROR((_xll.qlBlackFormula(IF(O13&lt;$C$4,"Put","Call"),O13+$C$14,$C$4,$C$10*SQRT($C$7),,$C$11)-
2*_xll.qlBlackFormula(IF(O13&lt;$C$4,"Put","Call"),O13,$C$4,$C$10*SQRT($C$7),,$C$11)+
_xll.qlBlackFormula(IF(O13&lt;$C$4,"Put","Call"),O13-$C$14,$C$4,$C$10*SQRT($C$7),,$C$11))/$C$14^2,"")</f>
        <v>20.366652808689878</v>
      </c>
      <c r="U13" s="43">
        <f>IFERROR((_xll.qlBachelierBlackFormula(IF(O13&lt;$C$4,"Put","Call"),O13+$C$14,$C$4,$C$12*SQRT($C$7))-
2*_xll.qlBachelierBlackFormula(IF(O13&lt;$C$4,"Put","Call"),O13,$C$4,$C$12*SQRT($C$7))+
_xll.qlBachelierBlackFormula(IF(O13&lt;$C$4,"Put","Call"),O13-$C$14,$C$4,$C$12*SQRT($C$7)))/$C$14^2,"")</f>
        <v>16.793450310914615</v>
      </c>
      <c r="V13" s="61" t="str">
        <f>IFERROR(_xll.qlBachelierBlackFormulaImpliedVol(IF(O13&lt;$C$4,"Put","Call"),O13,$C$4,$C$7,P13),"")</f>
        <v/>
      </c>
      <c r="W13" s="61">
        <f>IFERROR(_xll.qlBachelierBlackFormulaImpliedVol(IF(O13&lt;$C$4,"Put","Call"),O13,$C$4,$C$7,Q13),"")</f>
        <v>6.5821067938612327E-3</v>
      </c>
      <c r="X13" s="61">
        <f>IFERROR(_xll.qlBachelierBlackFormulaImpliedVol(IF(O13&lt;$C$4,"Put","Call"),O13,$C$4,$C$7,R13),"")</f>
        <v>7.2019999999999793E-3</v>
      </c>
      <c r="Y13" s="96">
        <f>_xll.qlSmileSectionVolatility($C$40,O13+$C$31)</f>
        <v>6.8282271809612877E-3</v>
      </c>
    </row>
    <row r="14" spans="2:25">
      <c r="B14" s="50" t="s">
        <v>53</v>
      </c>
      <c r="C14" s="51">
        <v>9.9999999999999995E-7</v>
      </c>
      <c r="O14" s="37">
        <f t="shared" si="0"/>
        <v>-9.1000000000000057E-3</v>
      </c>
      <c r="P14" s="38" t="str">
        <f>IFERROR(_xll.qlBlackFormula(IF(O14&lt;$C$4,"Put","Call"),O14,$C$4,$C$9*SQRT($C$7)),"")</f>
        <v/>
      </c>
      <c r="Q14" s="39">
        <f>IFERROR(_xll.qlBlackFormula(IF(O14&lt;$C$4,"Put","Call"),O14,$C$4,$C$10*SQRT($C$7),,$C$11),"")</f>
        <v>1.3300200988944459E-3</v>
      </c>
      <c r="R14" s="40">
        <f>IFERROR(_xll.qlBachelierBlackFormula(IF(O14&lt;$C$4,"Put","Call"),O14,$C$4,$C$12*SQRT($C$7)),"")</f>
        <v>1.6911222784217407E-3</v>
      </c>
      <c r="S14" s="41" t="str">
        <f>IFERROR((_xll.qlBlackFormula(IF(O14&lt;$C$4,"Put","Call"),O14+$C$14,$C$4,$C$9*SQRT($C$7))-
2*_xll.qlBlackFormula(IF(O14&lt;$C$4,"Put","Call"),O14,$C$4,$C$9*SQRT($C$7))+
_xll.qlBlackFormula(IF(O14&lt;$C$4,"Put","Call"),O14-$C$14,$C$4,$C$9*SQRT($C$7)))/$C$14^2,"")</f>
        <v/>
      </c>
      <c r="T14" s="42">
        <f>IFERROR((_xll.qlBlackFormula(IF(O14&lt;$C$4,"Put","Call"),O14+$C$14,$C$4,$C$10*SQRT($C$7),,$C$11)-
2*_xll.qlBlackFormula(IF(O14&lt;$C$4,"Put","Call"),O14,$C$4,$C$10*SQRT($C$7),,$C$11)+
_xll.qlBlackFormula(IF(O14&lt;$C$4,"Put","Call"),O14-$C$14,$C$4,$C$10*SQRT($C$7),,$C$11))/$C$14^2,"")</f>
        <v>20.469173231396631</v>
      </c>
      <c r="U14" s="43">
        <f>IFERROR((_xll.qlBachelierBlackFormula(IF(O14&lt;$C$4,"Put","Call"),O14+$C$14,$C$4,$C$12*SQRT($C$7))-
2*_xll.qlBachelierBlackFormula(IF(O14&lt;$C$4,"Put","Call"),O14,$C$4,$C$12*SQRT($C$7))+
_xll.qlBachelierBlackFormula(IF(O14&lt;$C$4,"Put","Call"),O14-$C$14,$C$4,$C$12*SQRT($C$7)))/$C$14^2,"")</f>
        <v>16.885326904053645</v>
      </c>
      <c r="V14" s="61" t="str">
        <f>IFERROR(_xll.qlBachelierBlackFormulaImpliedVol(IF(O14&lt;$C$4,"Put","Call"),O14,$C$4,$C$7,P14),"")</f>
        <v/>
      </c>
      <c r="W14" s="61">
        <f>IFERROR(_xll.qlBachelierBlackFormulaImpliedVol(IF(O14&lt;$C$4,"Put","Call"),O14,$C$4,$C$7,Q14),"")</f>
        <v>6.5866125034153436E-3</v>
      </c>
      <c r="X14" s="61">
        <f>IFERROR(_xll.qlBachelierBlackFormulaImpliedVol(IF(O14&lt;$C$4,"Put","Call"),O14,$C$4,$C$7,R14),"")</f>
        <v>7.2020000000000955E-3</v>
      </c>
      <c r="Y14" s="96">
        <f>_xll.qlSmileSectionVolatility($C$40,O14+$C$31)</f>
        <v>6.829344140418604E-3</v>
      </c>
    </row>
    <row r="15" spans="2:25">
      <c r="O15" s="37">
        <f t="shared" si="0"/>
        <v>-9.0000000000000063E-3</v>
      </c>
      <c r="P15" s="38" t="str">
        <f>IFERROR(_xll.qlBlackFormula(IF(O15&lt;$C$4,"Put","Call"),O15,$C$4,$C$9*SQRT($C$7)),"")</f>
        <v/>
      </c>
      <c r="Q15" s="39">
        <f>IFERROR(_xll.qlBlackFormula(IF(O15&lt;$C$4,"Put","Call"),O15,$C$4,$C$10*SQRT($C$7),,$C$11),"")</f>
        <v>1.3495832377654286E-3</v>
      </c>
      <c r="R15" s="40">
        <f>IFERROR(_xll.qlBachelierBlackFormula(IF(O15&lt;$C$4,"Put","Call"),O15,$C$4,$C$12*SQRT($C$7)),"")</f>
        <v>1.710270591607374E-3</v>
      </c>
      <c r="S15" s="41" t="str">
        <f>IFERROR((_xll.qlBlackFormula(IF(O15&lt;$C$4,"Put","Call"),O15+$C$14,$C$4,$C$9*SQRT($C$7))-
2*_xll.qlBlackFormula(IF(O15&lt;$C$4,"Put","Call"),O15,$C$4,$C$9*SQRT($C$7))+
_xll.qlBlackFormula(IF(O15&lt;$C$4,"Put","Call"),O15-$C$14,$C$4,$C$9*SQRT($C$7)))/$C$14^2,"")</f>
        <v/>
      </c>
      <c r="T15" s="42">
        <f>IFERROR((_xll.qlBlackFormula(IF(O15&lt;$C$4,"Put","Call"),O15+$C$14,$C$4,$C$10*SQRT($C$7),,$C$11)-
2*_xll.qlBlackFormula(IF(O15&lt;$C$4,"Put","Call"),O15,$C$4,$C$10*SQRT($C$7),,$C$11)+
_xll.qlBlackFormula(IF(O15&lt;$C$4,"Put","Call"),O15-$C$14,$C$4,$C$10*SQRT($C$7),,$C$11))/$C$14^2,"")</f>
        <v>20.570932110497431</v>
      </c>
      <c r="U15" s="43">
        <f>IFERROR((_xll.qlBachelierBlackFormula(IF(O15&lt;$C$4,"Put","Call"),O15+$C$14,$C$4,$C$12*SQRT($C$7))-
2*_xll.qlBachelierBlackFormula(IF(O15&lt;$C$4,"Put","Call"),O15,$C$4,$C$12*SQRT($C$7))+
_xll.qlBachelierBlackFormula(IF(O15&lt;$C$4,"Put","Call"),O15-$C$14,$C$4,$C$12*SQRT($C$7)))/$C$14^2,"")</f>
        <v>16.977051275207657</v>
      </c>
      <c r="V15" s="61" t="str">
        <f>IFERROR(_xll.qlBachelierBlackFormulaImpliedVol(IF(O15&lt;$C$4,"Put","Call"),O15,$C$4,$C$7,P15),"")</f>
        <v/>
      </c>
      <c r="W15" s="61">
        <f>IFERROR(_xll.qlBachelierBlackFormulaImpliedVol(IF(O15&lt;$C$4,"Put","Call"),O15,$C$4,$C$7,Q15),"")</f>
        <v>6.5911160306646958E-3</v>
      </c>
      <c r="X15" s="61">
        <f>IFERROR(_xll.qlBachelierBlackFormulaImpliedVol(IF(O15&lt;$C$4,"Put","Call"),O15,$C$4,$C$7,R15),"")</f>
        <v>7.2020000000002013E-3</v>
      </c>
      <c r="Y15" s="96">
        <f>_xll.qlSmileSectionVolatility($C$40,O15+$C$31)</f>
        <v>6.8304793836280455E-3</v>
      </c>
    </row>
    <row r="16" spans="2:25">
      <c r="B16" s="63" t="s">
        <v>59</v>
      </c>
      <c r="O16" s="37">
        <f t="shared" si="0"/>
        <v>-8.9000000000000069E-3</v>
      </c>
      <c r="P16" s="38" t="str">
        <f>IFERROR(_xll.qlBlackFormula(IF(O16&lt;$C$4,"Put","Call"),O16,$C$4,$C$9*SQRT($C$7)),"")</f>
        <v/>
      </c>
      <c r="Q16" s="39">
        <f>IFERROR(_xll.qlBlackFormula(IF(O16&lt;$C$4,"Put","Call"),O16,$C$4,$C$10*SQRT($C$7),,$C$11),"")</f>
        <v>1.3693520853118608E-3</v>
      </c>
      <c r="R16" s="40">
        <f>IFERROR(_xll.qlBachelierBlackFormula(IF(O16&lt;$C$4,"Put","Call"),O16,$C$4,$C$12*SQRT($C$7)),"")</f>
        <v>1.7295886751823673E-3</v>
      </c>
      <c r="S16" s="41" t="str">
        <f>IFERROR((_xll.qlBlackFormula(IF(O16&lt;$C$4,"Put","Call"),O16+$C$14,$C$4,$C$9*SQRT($C$7))-
2*_xll.qlBlackFormula(IF(O16&lt;$C$4,"Put","Call"),O16,$C$4,$C$9*SQRT($C$7))+
_xll.qlBlackFormula(IF(O16&lt;$C$4,"Put","Call"),O16-$C$14,$C$4,$C$9*SQRT($C$7)))/$C$14^2,"")</f>
        <v/>
      </c>
      <c r="T16" s="42">
        <f>IFERROR((_xll.qlBlackFormula(IF(O16&lt;$C$4,"Put","Call"),O16+$C$14,$C$4,$C$10*SQRT($C$7),,$C$11)-
2*_xll.qlBlackFormula(IF(O16&lt;$C$4,"Put","Call"),O16,$C$4,$C$10*SQRT($C$7),,$C$11)+
_xll.qlBlackFormula(IF(O16&lt;$C$4,"Put","Call"),O16-$C$14,$C$4,$C$10*SQRT($C$7),,$C$11))/$C$14^2,"")</f>
        <v>20.671906894587089</v>
      </c>
      <c r="U16" s="43">
        <f>IFERROR((_xll.qlBachelierBlackFormula(IF(O16&lt;$C$4,"Put","Call"),O16+$C$14,$C$4,$C$12*SQRT($C$7))-
2*_xll.qlBachelierBlackFormula(IF(O16&lt;$C$4,"Put","Call"),O16,$C$4,$C$12*SQRT($C$7))+
_xll.qlBachelierBlackFormula(IF(O16&lt;$C$4,"Put","Call"),O16-$C$14,$C$4,$C$12*SQRT($C$7)))/$C$14^2,"")</f>
        <v>17.068615184440141</v>
      </c>
      <c r="V16" s="61" t="str">
        <f>IFERROR(_xll.qlBachelierBlackFormulaImpliedVol(IF(O16&lt;$C$4,"Put","Call"),O16,$C$4,$C$7,P16),"")</f>
        <v/>
      </c>
      <c r="W16" s="61">
        <f>IFERROR(_xll.qlBachelierBlackFormulaImpliedVol(IF(O16&lt;$C$4,"Put","Call"),O16,$C$4,$C$7,Q16),"")</f>
        <v>6.5956173802459153E-3</v>
      </c>
      <c r="X16" s="61">
        <f>IFERROR(_xll.qlBachelierBlackFormulaImpliedVol(IF(O16&lt;$C$4,"Put","Call"),O16,$C$4,$C$7,R16),"")</f>
        <v>7.2020000000003019E-3</v>
      </c>
      <c r="Y16" s="96">
        <f>_xll.qlSmileSectionVolatility($C$40,O16+$C$31)</f>
        <v>6.8316330145881616E-3</v>
      </c>
    </row>
    <row r="17" spans="2:25">
      <c r="B17" s="63" t="s">
        <v>43</v>
      </c>
      <c r="C17" s="63" t="s">
        <v>58</v>
      </c>
      <c r="O17" s="37">
        <f t="shared" si="0"/>
        <v>-8.8000000000000075E-3</v>
      </c>
      <c r="P17" s="38" t="str">
        <f>IFERROR(_xll.qlBlackFormula(IF(O17&lt;$C$4,"Put","Call"),O17,$C$4,$C$9*SQRT($C$7)),"")</f>
        <v/>
      </c>
      <c r="Q17" s="39">
        <f>IFERROR(_xll.qlBlackFormula(IF(O17&lt;$C$4,"Put","Call"),O17,$C$4,$C$10*SQRT($C$7),,$C$11),"")</f>
        <v>1.3893276513250764E-3</v>
      </c>
      <c r="R17" s="40">
        <f>IFERROR(_xll.qlBachelierBlackFormula(IF(O17&lt;$C$4,"Put","Call"),O17,$C$4,$C$12*SQRT($C$7)),"")</f>
        <v>1.7490774447886325E-3</v>
      </c>
      <c r="S17" s="41" t="str">
        <f>IFERROR((_xll.qlBlackFormula(IF(O17&lt;$C$4,"Put","Call"),O17+$C$14,$C$4,$C$9*SQRT($C$7))-
2*_xll.qlBlackFormula(IF(O17&lt;$C$4,"Put","Call"),O17,$C$4,$C$9*SQRT($C$7))+
_xll.qlBlackFormula(IF(O17&lt;$C$4,"Put","Call"),O17-$C$14,$C$4,$C$9*SQRT($C$7)))/$C$14^2,"")</f>
        <v/>
      </c>
      <c r="T17" s="42">
        <f>IFERROR((_xll.qlBlackFormula(IF(O17&lt;$C$4,"Put","Call"),O17+$C$14,$C$4,$C$10*SQRT($C$7),,$C$11)-
2*_xll.qlBlackFormula(IF(O17&lt;$C$4,"Put","Call"),O17,$C$4,$C$10*SQRT($C$7),,$C$11)+
_xll.qlBlackFormula(IF(O17&lt;$C$4,"Put","Call"),O17-$C$14,$C$4,$C$10*SQRT($C$7),,$C$11))/$C$14^2,"")</f>
        <v>20.772106257282985</v>
      </c>
      <c r="U17" s="43">
        <f>IFERROR((_xll.qlBachelierBlackFormula(IF(O17&lt;$C$4,"Put","Call"),O17+$C$14,$C$4,$C$12*SQRT($C$7))-
2*_xll.qlBachelierBlackFormula(IF(O17&lt;$C$4,"Put","Call"),O17,$C$4,$C$12*SQRT($C$7))+
_xll.qlBachelierBlackFormula(IF(O17&lt;$C$4,"Put","Call"),O17-$C$14,$C$4,$C$12*SQRT($C$7)))/$C$14^2,"")</f>
        <v>17.160014294942407</v>
      </c>
      <c r="V17" s="61" t="str">
        <f>IFERROR(_xll.qlBachelierBlackFormulaImpliedVol(IF(O17&lt;$C$4,"Put","Call"),O17,$C$4,$C$7,P17),"")</f>
        <v/>
      </c>
      <c r="W17" s="61">
        <f>IFERROR(_xll.qlBachelierBlackFormulaImpliedVol(IF(O17&lt;$C$4,"Put","Call"),O17,$C$4,$C$7,Q17),"")</f>
        <v>6.6001165567790045E-3</v>
      </c>
      <c r="X17" s="61">
        <f>IFERROR(_xll.qlBachelierBlackFormulaImpliedVol(IF(O17&lt;$C$4,"Put","Call"),O17,$C$4,$C$7,R17),"")</f>
        <v>7.2020000000003912E-3</v>
      </c>
      <c r="Y17" s="96">
        <f>_xll.qlSmileSectionVolatility($C$40,O17+$C$31)</f>
        <v>6.8328051367150498E-3</v>
      </c>
    </row>
    <row r="18" spans="2:25">
      <c r="B18" s="64">
        <v>-9.9999999999999985E-3</v>
      </c>
      <c r="C18" s="65">
        <v>6.8049999999999994E-3</v>
      </c>
      <c r="O18" s="37">
        <f t="shared" si="0"/>
        <v>-8.7000000000000081E-3</v>
      </c>
      <c r="P18" s="38" t="str">
        <f>IFERROR(_xll.qlBlackFormula(IF(O18&lt;$C$4,"Put","Call"),O18,$C$4,$C$9*SQRT($C$7)),"")</f>
        <v/>
      </c>
      <c r="Q18" s="39">
        <f>IFERROR(_xll.qlBlackFormula(IF(O18&lt;$C$4,"Put","Call"),O18,$C$4,$C$10*SQRT($C$7),,$C$11),"")</f>
        <v>1.4095109377184785E-3</v>
      </c>
      <c r="R18" s="40">
        <f>IFERROR(_xll.qlBachelierBlackFormula(IF(O18&lt;$C$4,"Put","Call"),O18,$C$4,$C$12*SQRT($C$7)),"")</f>
        <v>1.7687378143897421E-3</v>
      </c>
      <c r="S18" s="41" t="str">
        <f>IFERROR((_xll.qlBlackFormula(IF(O18&lt;$C$4,"Put","Call"),O18+$C$14,$C$4,$C$9*SQRT($C$7))-
2*_xll.qlBlackFormula(IF(O18&lt;$C$4,"Put","Call"),O18,$C$4,$C$9*SQRT($C$7))+
_xll.qlBlackFormula(IF(O18&lt;$C$4,"Put","Call"),O18-$C$14,$C$4,$C$9*SQRT($C$7)))/$C$14^2,"")</f>
        <v/>
      </c>
      <c r="T18" s="42">
        <f>IFERROR((_xll.qlBlackFormula(IF(O18&lt;$C$4,"Put","Call"),O18+$C$14,$C$4,$C$10*SQRT($C$7),,$C$11)-
2*_xll.qlBlackFormula(IF(O18&lt;$C$4,"Put","Call"),O18,$C$4,$C$10*SQRT($C$7),,$C$11)+
_xll.qlBlackFormula(IF(O18&lt;$C$4,"Put","Call"),O18-$C$14,$C$4,$C$10*SQRT($C$7),,$C$11))/$C$14^2,"")</f>
        <v>20.871502443009504</v>
      </c>
      <c r="U18" s="43">
        <f>IFERROR((_xll.qlBachelierBlackFormula(IF(O18&lt;$C$4,"Put","Call"),O18+$C$14,$C$4,$C$12*SQRT($C$7))-
2*_xll.qlBachelierBlackFormula(IF(O18&lt;$C$4,"Put","Call"),O18,$C$4,$C$12*SQRT($C$7))+
_xll.qlBachelierBlackFormula(IF(O18&lt;$C$4,"Put","Call"),O18-$C$14,$C$4,$C$12*SQRT($C$7)))/$C$14^2,"")</f>
        <v>17.251233427884038</v>
      </c>
      <c r="V18" s="61" t="str">
        <f>IFERROR(_xll.qlBachelierBlackFormulaImpliedVol(IF(O18&lt;$C$4,"Put","Call"),O18,$C$4,$C$7,P18),"")</f>
        <v/>
      </c>
      <c r="W18" s="61">
        <f>IFERROR(_xll.qlBachelierBlackFormulaImpliedVol(IF(O18&lt;$C$4,"Put","Call"),O18,$C$4,$C$7,Q18),"")</f>
        <v>6.6046135648675126E-3</v>
      </c>
      <c r="X18" s="61">
        <f>IFERROR(_xll.qlBachelierBlackFormulaImpliedVol(IF(O18&lt;$C$4,"Put","Call"),O18,$C$4,$C$7,R18),"")</f>
        <v>7.2020000000004762E-3</v>
      </c>
      <c r="Y18" s="96">
        <f>_xll.qlSmileSectionVolatility($C$40,O18+$C$31)</f>
        <v>6.8339958528330375E-3</v>
      </c>
    </row>
    <row r="19" spans="2:25">
      <c r="B19" s="64">
        <v>-5.0000000000000001E-3</v>
      </c>
      <c r="C19" s="65">
        <v>6.9089999999999993E-3</v>
      </c>
      <c r="O19" s="37">
        <f t="shared" si="0"/>
        <v>-8.6000000000000087E-3</v>
      </c>
      <c r="P19" s="38" t="str">
        <f>IFERROR(_xll.qlBlackFormula(IF(O19&lt;$C$4,"Put","Call"),O19,$C$4,$C$9*SQRT($C$7)),"")</f>
        <v/>
      </c>
      <c r="Q19" s="39">
        <f>IFERROR(_xll.qlBlackFormula(IF(O19&lt;$C$4,"Put","Call"),O19,$C$4,$C$10*SQRT($C$7),,$C$11),"")</f>
        <v>1.4299029384175158E-3</v>
      </c>
      <c r="R19" s="40">
        <f>IFERROR(_xll.qlBachelierBlackFormula(IF(O19&lt;$C$4,"Put","Call"),O19,$C$4,$C$12*SQRT($C$7)),"")</f>
        <v>1.7885706961912637E-3</v>
      </c>
      <c r="S19" s="41" t="str">
        <f>IFERROR((_xll.qlBlackFormula(IF(O19&lt;$C$4,"Put","Call"),O19+$C$14,$C$4,$C$9*SQRT($C$7))-
2*_xll.qlBlackFormula(IF(O19&lt;$C$4,"Put","Call"),O19,$C$4,$C$9*SQRT($C$7))+
_xll.qlBlackFormula(IF(O19&lt;$C$4,"Put","Call"),O19-$C$14,$C$4,$C$9*SQRT($C$7)))/$C$14^2,"")</f>
        <v/>
      </c>
      <c r="T19" s="42">
        <f>IFERROR((_xll.qlBlackFormula(IF(O19&lt;$C$4,"Put","Call"),O19+$C$14,$C$4,$C$10*SQRT($C$7),,$C$11)-
2*_xll.qlBlackFormula(IF(O19&lt;$C$4,"Put","Call"),O19,$C$4,$C$10*SQRT($C$7),,$C$11)+
_xll.qlBlackFormula(IF(O19&lt;$C$4,"Put","Call"),O19-$C$14,$C$4,$C$10*SQRT($C$7),,$C$11))/$C$14^2,"")</f>
        <v>20.970086778149266</v>
      </c>
      <c r="U19" s="43">
        <f>IFERROR((_xll.qlBachelierBlackFormula(IF(O19&lt;$C$4,"Put","Call"),O19+$C$14,$C$4,$C$12*SQRT($C$7))-
2*_xll.qlBachelierBlackFormula(IF(O19&lt;$C$4,"Put","Call"),O19,$C$4,$C$12*SQRT($C$7))+
_xll.qlBachelierBlackFormula(IF(O19&lt;$C$4,"Put","Call"),O19-$C$14,$C$4,$C$12*SQRT($C$7)))/$C$14^2,"")</f>
        <v>17.342273450626777</v>
      </c>
      <c r="V19" s="61" t="str">
        <f>IFERROR(_xll.qlBachelierBlackFormulaImpliedVol(IF(O19&lt;$C$4,"Put","Call"),O19,$C$4,$C$7,P19),"")</f>
        <v/>
      </c>
      <c r="W19" s="61">
        <f>IFERROR(_xll.qlBachelierBlackFormulaImpliedVol(IF(O19&lt;$C$4,"Put","Call"),O19,$C$4,$C$7,Q19),"")</f>
        <v>6.6091084090985734E-3</v>
      </c>
      <c r="X19" s="61">
        <f>IFERROR(_xll.qlBachelierBlackFormulaImpliedVol(IF(O19&lt;$C$4,"Put","Call"),O19,$C$4,$C$7,R19),"")</f>
        <v>7.2020000000005508E-3</v>
      </c>
      <c r="Y19" s="96">
        <f>_xll.qlSmileSectionVolatility($C$40,O19+$C$31)</f>
        <v>6.8352052651655107E-3</v>
      </c>
    </row>
    <row r="20" spans="2:25">
      <c r="B20" s="64">
        <v>0</v>
      </c>
      <c r="C20" s="65">
        <v>7.0289999999999988E-3</v>
      </c>
      <c r="O20" s="37">
        <f t="shared" si="0"/>
        <v>-8.5000000000000093E-3</v>
      </c>
      <c r="P20" s="38" t="str">
        <f>IFERROR(_xll.qlBlackFormula(IF(O20&lt;$C$4,"Put","Call"),O20,$C$4,$C$9*SQRT($C$7)),"")</f>
        <v/>
      </c>
      <c r="Q20" s="39">
        <f>IFERROR(_xll.qlBlackFormula(IF(O20&lt;$C$4,"Put","Call"),O20,$C$4,$C$10*SQRT($C$7),,$C$11),"")</f>
        <v>1.4505046392510948E-3</v>
      </c>
      <c r="R20" s="40">
        <f>IFERROR(_xll.qlBachelierBlackFormula(IF(O20&lt;$C$4,"Put","Call"),O20,$C$4,$C$12*SQRT($C$7)),"")</f>
        <v>1.8085770005608929E-3</v>
      </c>
      <c r="S20" s="41" t="str">
        <f>IFERROR((_xll.qlBlackFormula(IF(O20&lt;$C$4,"Put","Call"),O20+$C$14,$C$4,$C$9*SQRT($C$7))-
2*_xll.qlBlackFormula(IF(O20&lt;$C$4,"Put","Call"),O20,$C$4,$C$9*SQRT($C$7))+
_xll.qlBlackFormula(IF(O20&lt;$C$4,"Put","Call"),O20-$C$14,$C$4,$C$9*SQRT($C$7)))/$C$14^2,"")</f>
        <v/>
      </c>
      <c r="T20" s="42">
        <f>IFERROR((_xll.qlBlackFormula(IF(O20&lt;$C$4,"Put","Call"),O20+$C$14,$C$4,$C$10*SQRT($C$7),,$C$11)-
2*_xll.qlBlackFormula(IF(O20&lt;$C$4,"Put","Call"),O20,$C$4,$C$10*SQRT($C$7),,$C$11)+
_xll.qlBlackFormula(IF(O20&lt;$C$4,"Put","Call"),O20-$C$14,$C$4,$C$10*SQRT($C$7),,$C$11))/$C$14^2,"")</f>
        <v>21.067847119637939</v>
      </c>
      <c r="U20" s="43">
        <f>IFERROR((_xll.qlBachelierBlackFormula(IF(O20&lt;$C$4,"Put","Call"),O20+$C$14,$C$4,$C$12*SQRT($C$7))-
2*_xll.qlBachelierBlackFormula(IF(O20&lt;$C$4,"Put","Call"),O20,$C$4,$C$12*SQRT($C$7))+
_xll.qlBachelierBlackFormula(IF(O20&lt;$C$4,"Put","Call"),O20-$C$14,$C$4,$C$12*SQRT($C$7)))/$C$14^2,"")</f>
        <v>17.433118316978469</v>
      </c>
      <c r="V20" s="61" t="str">
        <f>IFERROR(_xll.qlBachelierBlackFormulaImpliedVol(IF(O20&lt;$C$4,"Put","Call"),O20,$C$4,$C$7,P20),"")</f>
        <v/>
      </c>
      <c r="W20" s="61">
        <f>IFERROR(_xll.qlBachelierBlackFormulaImpliedVol(IF(O20&lt;$C$4,"Put","Call"),O20,$C$4,$C$7,Q20),"")</f>
        <v>6.6136010940430106E-3</v>
      </c>
      <c r="X20" s="61">
        <f>IFERROR(_xll.qlBachelierBlackFormulaImpliedVol(IF(O20&lt;$C$4,"Put","Call"),O20,$C$4,$C$7,R20),"")</f>
        <v>7.2020000000006098E-3</v>
      </c>
      <c r="Y20" s="96">
        <f>_xll.qlSmileSectionVolatility($C$40,O20+$C$31)</f>
        <v>6.8364334753255648E-3</v>
      </c>
    </row>
    <row r="21" spans="2:25">
      <c r="B21" s="64">
        <v>2.5000000000000001E-3</v>
      </c>
      <c r="C21" s="65">
        <v>7.1079999999999997E-3</v>
      </c>
      <c r="O21" s="37">
        <f t="shared" si="0"/>
        <v>-8.4000000000000099E-3</v>
      </c>
      <c r="P21" s="38" t="str">
        <f>IFERROR(_xll.qlBlackFormula(IF(O21&lt;$C$4,"Put","Call"),O21,$C$4,$C$9*SQRT($C$7)),"")</f>
        <v/>
      </c>
      <c r="Q21" s="39">
        <f>IFERROR(_xll.qlBlackFormula(IF(O21&lt;$C$4,"Put","Call"),O21,$C$4,$C$10*SQRT($C$7),,$C$11),"")</f>
        <v>1.4713170178444375E-3</v>
      </c>
      <c r="R21" s="40">
        <f>IFERROR(_xll.qlBachelierBlackFormula(IF(O21&lt;$C$4,"Put","Call"),O21,$C$4,$C$12*SQRT($C$7)),"")</f>
        <v>1.8287576359483563E-3</v>
      </c>
      <c r="S21" s="41" t="str">
        <f>IFERROR((_xll.qlBlackFormula(IF(O21&lt;$C$4,"Put","Call"),O21+$C$14,$C$4,$C$9*SQRT($C$7))-
2*_xll.qlBlackFormula(IF(O21&lt;$C$4,"Put","Call"),O21,$C$4,$C$9*SQRT($C$7))+
_xll.qlBlackFormula(IF(O21&lt;$C$4,"Put","Call"),O21-$C$14,$C$4,$C$9*SQRT($C$7)))/$C$14^2,"")</f>
        <v/>
      </c>
      <c r="T21" s="42">
        <f>IFERROR((_xll.qlBlackFormula(IF(O21&lt;$C$4,"Put","Call"),O21+$C$14,$C$4,$C$10*SQRT($C$7),,$C$11)-
2*_xll.qlBlackFormula(IF(O21&lt;$C$4,"Put","Call"),O21,$C$4,$C$10*SQRT($C$7),,$C$11)+
_xll.qlBlackFormula(IF(O21&lt;$C$4,"Put","Call"),O21-$C$14,$C$4,$C$10*SQRT($C$7),,$C$11))/$C$14^2,"")</f>
        <v>21.164781732752047</v>
      </c>
      <c r="U21" s="43">
        <f>IFERROR((_xll.qlBachelierBlackFormula(IF(O21&lt;$C$4,"Put","Call"),O21+$C$14,$C$4,$C$12*SQRT($C$7))-
2*_xll.qlBachelierBlackFormula(IF(O21&lt;$C$4,"Put","Call"),O21,$C$4,$C$12*SQRT($C$7))+
_xll.qlBachelierBlackFormula(IF(O21&lt;$C$4,"Put","Call"),O21-$C$14,$C$4,$C$12*SQRT($C$7)))/$C$14^2,"")</f>
        <v>17.523765424853899</v>
      </c>
      <c r="V21" s="61" t="str">
        <f>IFERROR(_xll.qlBachelierBlackFormulaImpliedVol(IF(O21&lt;$C$4,"Put","Call"),O21,$C$4,$C$7,P21),"")</f>
        <v/>
      </c>
      <c r="W21" s="61">
        <f>IFERROR(_xll.qlBachelierBlackFormulaImpliedVol(IF(O21&lt;$C$4,"Put","Call"),O21,$C$4,$C$7,Q21),"")</f>
        <v>6.6180916242553805E-3</v>
      </c>
      <c r="X21" s="61">
        <f>IFERROR(_xll.qlBachelierBlackFormulaImpliedVol(IF(O21&lt;$C$4,"Put","Call"),O21,$C$4,$C$7,R21),"")</f>
        <v>7.2020000000006723E-3</v>
      </c>
      <c r="Y21" s="96">
        <f>_xll.qlSmileSectionVolatility($C$40,O21+$C$31)</f>
        <v>6.8376805843067693E-3</v>
      </c>
    </row>
    <row r="22" spans="2:25">
      <c r="B22" s="64">
        <v>5.0000000000000001E-3</v>
      </c>
      <c r="C22" s="65">
        <v>7.2019999999999992E-3</v>
      </c>
      <c r="O22" s="37">
        <f t="shared" si="0"/>
        <v>-8.3000000000000105E-3</v>
      </c>
      <c r="P22" s="38" t="str">
        <f>IFERROR(_xll.qlBlackFormula(IF(O22&lt;$C$4,"Put","Call"),O22,$C$4,$C$9*SQRT($C$7)),"")</f>
        <v/>
      </c>
      <c r="Q22" s="39">
        <f>IFERROR(_xll.qlBlackFormula(IF(O22&lt;$C$4,"Put","Call"),O22,$C$4,$C$10*SQRT($C$7),,$C$11),"")</f>
        <v>1.4923410435134232E-3</v>
      </c>
      <c r="R22" s="40">
        <f>IFERROR(_xll.qlBachelierBlackFormula(IF(O22&lt;$C$4,"Put","Call"),O22,$C$4,$C$12*SQRT($C$7)),"")</f>
        <v>1.8491135088051325E-3</v>
      </c>
      <c r="S22" s="41" t="str">
        <f>IFERROR((_xll.qlBlackFormula(IF(O22&lt;$C$4,"Put","Call"),O22+$C$14,$C$4,$C$9*SQRT($C$7))-
2*_xll.qlBlackFormula(IF(O22&lt;$C$4,"Put","Call"),O22,$C$4,$C$9*SQRT($C$7))+
_xll.qlBlackFormula(IF(O22&lt;$C$4,"Put","Call"),O22-$C$14,$C$4,$C$9*SQRT($C$7)))/$C$14^2,"")</f>
        <v/>
      </c>
      <c r="T22" s="42">
        <f>IFERROR((_xll.qlBlackFormula(IF(O22&lt;$C$4,"Put","Call"),O22+$C$14,$C$4,$C$10*SQRT($C$7),,$C$11)-
2*_xll.qlBlackFormula(IF(O22&lt;$C$4,"Put","Call"),O22,$C$4,$C$10*SQRT($C$7),,$C$11)+
_xll.qlBlackFormula(IF(O22&lt;$C$4,"Put","Call"),O22-$C$14,$C$4,$C$10*SQRT($C$7),,$C$11))/$C$14^2,"")</f>
        <v>21.260869800809878</v>
      </c>
      <c r="U22" s="43">
        <f>IFERROR((_xll.qlBachelierBlackFormula(IF(O22&lt;$C$4,"Put","Call"),O22+$C$14,$C$4,$C$12*SQRT($C$7))-
2*_xll.qlBachelierBlackFormula(IF(O22&lt;$C$4,"Put","Call"),O22,$C$4,$C$12*SQRT($C$7))+
_xll.qlBachelierBlackFormula(IF(O22&lt;$C$4,"Put","Call"),O22-$C$14,$C$4,$C$12*SQRT($C$7)))/$C$14^2,"")</f>
        <v>17.614200462784392</v>
      </c>
      <c r="V22" s="61" t="str">
        <f>IFERROR(_xll.qlBachelierBlackFormulaImpliedVol(IF(O22&lt;$C$4,"Put","Call"),O22,$C$4,$C$7,P22),"")</f>
        <v/>
      </c>
      <c r="W22" s="61">
        <f>IFERROR(_xll.qlBachelierBlackFormulaImpliedVol(IF(O22&lt;$C$4,"Put","Call"),O22,$C$4,$C$7,Q22),"")</f>
        <v>6.6225800042740953E-3</v>
      </c>
      <c r="X22" s="61">
        <f>IFERROR(_xll.qlBachelierBlackFormulaImpliedVol(IF(O22&lt;$C$4,"Put","Call"),O22,$C$4,$C$7,R22),"")</f>
        <v>7.2020000000007182E-3</v>
      </c>
      <c r="Y22" s="96">
        <f>_xll.qlSmileSectionVolatility($C$40,O22+$C$31)</f>
        <v>6.8389466924738329E-3</v>
      </c>
    </row>
    <row r="23" spans="2:25">
      <c r="B23" s="64">
        <v>7.4999999999999997E-3</v>
      </c>
      <c r="C23" s="65">
        <v>7.3129999999999992E-3</v>
      </c>
      <c r="O23" s="37">
        <f t="shared" si="0"/>
        <v>-8.2000000000000111E-3</v>
      </c>
      <c r="P23" s="38" t="str">
        <f>IFERROR(_xll.qlBlackFormula(IF(O23&lt;$C$4,"Put","Call"),O23,$C$4,$C$9*SQRT($C$7)),"")</f>
        <v/>
      </c>
      <c r="Q23" s="39">
        <f>IFERROR(_xll.qlBlackFormula(IF(O23&lt;$C$4,"Put","Call"),O23,$C$4,$C$10*SQRT($C$7),,$C$11),"")</f>
        <v>1.5135776771604114E-3</v>
      </c>
      <c r="R23" s="40">
        <f>IFERROR(_xll.qlBachelierBlackFormula(IF(O23&lt;$C$4,"Put","Call"),O23,$C$4,$C$12*SQRT($C$7)),"")</f>
        <v>1.8696455235039729E-3</v>
      </c>
      <c r="S23" s="41" t="str">
        <f>IFERROR((_xll.qlBlackFormula(IF(O23&lt;$C$4,"Put","Call"),O23+$C$14,$C$4,$C$9*SQRT($C$7))-
2*_xll.qlBlackFormula(IF(O23&lt;$C$4,"Put","Call"),O23,$C$4,$C$9*SQRT($C$7))+
_xll.qlBlackFormula(IF(O23&lt;$C$4,"Put","Call"),O23-$C$14,$C$4,$C$9*SQRT($C$7)))/$C$14^2,"")</f>
        <v/>
      </c>
      <c r="T23" s="42">
        <f>IFERROR((_xll.qlBlackFormula(IF(O23&lt;$C$4,"Put","Call"),O23+$C$14,$C$4,$C$10*SQRT($C$7),,$C$11)-
2*_xll.qlBlackFormula(IF(O23&lt;$C$4,"Put","Call"),O23,$C$4,$C$10*SQRT($C$7),,$C$11)+
_xll.qlBlackFormula(IF(O23&lt;$C$4,"Put","Call"),O23-$C$14,$C$4,$C$10*SQRT($C$7),,$C$11))/$C$14^2,"")</f>
        <v>21.356107854364481</v>
      </c>
      <c r="U23" s="43">
        <f>IFERROR((_xll.qlBachelierBlackFormula(IF(O23&lt;$C$4,"Put","Call"),O23+$C$14,$C$4,$C$12*SQRT($C$7))-
2*_xll.qlBachelierBlackFormula(IF(O23&lt;$C$4,"Put","Call"),O23,$C$4,$C$12*SQRT($C$7))+
_xll.qlBachelierBlackFormula(IF(O23&lt;$C$4,"Put","Call"),O23-$C$14,$C$4,$C$12*SQRT($C$7)))/$C$14^2,"")</f>
        <v>17.704422997089075</v>
      </c>
      <c r="V23" s="61" t="str">
        <f>IFERROR(_xll.qlBachelierBlackFormulaImpliedVol(IF(O23&lt;$C$4,"Put","Call"),O23,$C$4,$C$7,P23),"")</f>
        <v/>
      </c>
      <c r="W23" s="61">
        <f>IFERROR(_xll.qlBachelierBlackFormulaImpliedVol(IF(O23&lt;$C$4,"Put","Call"),O23,$C$4,$C$7,Q23),"")</f>
        <v>6.6270662386214664E-3</v>
      </c>
      <c r="X23" s="61">
        <f>IFERROR(_xll.qlBachelierBlackFormulaImpliedVol(IF(O23&lt;$C$4,"Put","Call"),O23,$C$4,$C$7,R23),"")</f>
        <v>7.2020000000007547E-3</v>
      </c>
      <c r="Y23" s="96">
        <f>_xll.qlSmileSectionVolatility($C$40,O23+$C$31)</f>
        <v>6.8402318995533212E-3</v>
      </c>
    </row>
    <row r="24" spans="2:25">
      <c r="B24" s="64">
        <v>0.01</v>
      </c>
      <c r="C24" s="65">
        <v>7.4409999999999997E-3</v>
      </c>
      <c r="O24" s="37">
        <f t="shared" si="0"/>
        <v>-8.1000000000000117E-3</v>
      </c>
      <c r="P24" s="38" t="str">
        <f>IFERROR(_xll.qlBlackFormula(IF(O24&lt;$C$4,"Put","Call"),O24,$C$4,$C$9*SQRT($C$7)),"")</f>
        <v/>
      </c>
      <c r="Q24" s="39">
        <f>IFERROR(_xll.qlBlackFormula(IF(O24&lt;$C$4,"Put","Call"),O24,$C$4,$C$10*SQRT($C$7),,$C$11),"")</f>
        <v>1.5350278711715824E-3</v>
      </c>
      <c r="R24" s="40">
        <f>IFERROR(_xll.qlBachelierBlackFormula(IF(O24&lt;$C$4,"Put","Call"),O24,$C$4,$C$12*SQRT($C$7)),"")</f>
        <v>1.8903545822582541E-3</v>
      </c>
      <c r="S24" s="41" t="str">
        <f>IFERROR((_xll.qlBlackFormula(IF(O24&lt;$C$4,"Put","Call"),O24+$C$14,$C$4,$C$9*SQRT($C$7))-
2*_xll.qlBlackFormula(IF(O24&lt;$C$4,"Put","Call"),O24,$C$4,$C$9*SQRT($C$7))+
_xll.qlBlackFormula(IF(O24&lt;$C$4,"Put","Call"),O24-$C$14,$C$4,$C$9*SQRT($C$7)))/$C$14^2,"")</f>
        <v/>
      </c>
      <c r="T24" s="42">
        <f>IFERROR((_xll.qlBlackFormula(IF(O24&lt;$C$4,"Put","Call"),O24+$C$14,$C$4,$C$10*SQRT($C$7),,$C$11)-
2*_xll.qlBlackFormula(IF(O24&lt;$C$4,"Put","Call"),O24,$C$4,$C$10*SQRT($C$7),,$C$11)+
_xll.qlBlackFormula(IF(O24&lt;$C$4,"Put","Call"),O24-$C$14,$C$4,$C$10*SQRT($C$7),,$C$11))/$C$14^2,"")</f>
        <v>21.450487219798475</v>
      </c>
      <c r="U24" s="43">
        <f>IFERROR((_xll.qlBachelierBlackFormula(IF(O24&lt;$C$4,"Put","Call"),O24+$C$14,$C$4,$C$12*SQRT($C$7))-
2*_xll.qlBachelierBlackFormula(IF(O24&lt;$C$4,"Put","Call"),O24,$C$4,$C$12*SQRT($C$7))+
_xll.qlBachelierBlackFormula(IF(O24&lt;$C$4,"Put","Call"),O24-$C$14,$C$4,$C$12*SQRT($C$7)))/$C$14^2,"")</f>
        <v>17.794421752065361</v>
      </c>
      <c r="V24" s="61" t="str">
        <f>IFERROR(_xll.qlBachelierBlackFormulaImpliedVol(IF(O24&lt;$C$4,"Put","Call"),O24,$C$4,$C$7,P24),"")</f>
        <v/>
      </c>
      <c r="W24" s="61">
        <f>IFERROR(_xll.qlBachelierBlackFormulaImpliedVol(IF(O24&lt;$C$4,"Put","Call"),O24,$C$4,$C$7,Q24),"")</f>
        <v>6.6315503318038318E-3</v>
      </c>
      <c r="X24" s="61">
        <f>IFERROR(_xll.qlBachelierBlackFormulaImpliedVol(IF(O24&lt;$C$4,"Put","Call"),O24,$C$4,$C$7,R24),"")</f>
        <v>7.2020000000007824E-3</v>
      </c>
      <c r="Y24" s="96">
        <f>_xll.qlSmileSectionVolatility($C$40,O24+$C$31)</f>
        <v>6.8415363046242725E-3</v>
      </c>
    </row>
    <row r="25" spans="2:25">
      <c r="B25" s="64">
        <v>1.4999999999999999E-2</v>
      </c>
      <c r="C25" s="65">
        <v>7.744E-3</v>
      </c>
      <c r="O25" s="37">
        <f t="shared" si="0"/>
        <v>-8.0000000000000123E-3</v>
      </c>
      <c r="P25" s="38" t="str">
        <f>IFERROR(_xll.qlBlackFormula(IF(O25&lt;$C$4,"Put","Call"),O25,$C$4,$C$9*SQRT($C$7)),"")</f>
        <v/>
      </c>
      <c r="Q25" s="39">
        <f>IFERROR(_xll.qlBlackFormula(IF(O25&lt;$C$4,"Put","Call"),O25,$C$4,$C$10*SQRT($C$7),,$C$11),"")</f>
        <v>1.5566925693157561E-3</v>
      </c>
      <c r="R25" s="40">
        <f>IFERROR(_xll.qlBachelierBlackFormula(IF(O25&lt;$C$4,"Put","Call"),O25,$C$4,$C$12*SQRT($C$7)),"")</f>
        <v>1.9112415850411702E-3</v>
      </c>
      <c r="S25" s="41" t="str">
        <f>IFERROR((_xll.qlBlackFormula(IF(O25&lt;$C$4,"Put","Call"),O25+$C$14,$C$4,$C$9*SQRT($C$7))-
2*_xll.qlBlackFormula(IF(O25&lt;$C$4,"Put","Call"),O25,$C$4,$C$9*SQRT($C$7))+
_xll.qlBlackFormula(IF(O25&lt;$C$4,"Put","Call"),O25-$C$14,$C$4,$C$9*SQRT($C$7)))/$C$14^2,"")</f>
        <v/>
      </c>
      <c r="T25" s="42">
        <f>IFERROR((_xll.qlBlackFormula(IF(O25&lt;$C$4,"Put","Call"),O25+$C$14,$C$4,$C$10*SQRT($C$7),,$C$11)-
2*_xll.qlBlackFormula(IF(O25&lt;$C$4,"Put","Call"),O25,$C$4,$C$10*SQRT($C$7),,$C$11)+
_xll.qlBlackFormula(IF(O25&lt;$C$4,"Put","Call"),O25-$C$14,$C$4,$C$10*SQRT($C$7),,$C$11))/$C$14^2,"")</f>
        <v>21.543985345706673</v>
      </c>
      <c r="U25" s="43">
        <f>IFERROR((_xll.qlBachelierBlackFormula(IF(O25&lt;$C$4,"Put","Call"),O25+$C$14,$C$4,$C$12*SQRT($C$7))-
2*_xll.qlBachelierBlackFormula(IF(O25&lt;$C$4,"Put","Call"),O25,$C$4,$C$12*SQRT($C$7))+
_xll.qlBachelierBlackFormula(IF(O25&lt;$C$4,"Put","Call"),O25-$C$14,$C$4,$C$12*SQRT($C$7)))/$C$14^2,"")</f>
        <v>17.884187186734124</v>
      </c>
      <c r="V25" s="61" t="str">
        <f>IFERROR(_xll.qlBachelierBlackFormulaImpliedVol(IF(O25&lt;$C$4,"Put","Call"),O25,$C$4,$C$7,P25),"")</f>
        <v/>
      </c>
      <c r="W25" s="61">
        <f>IFERROR(_xll.qlBachelierBlackFormulaImpliedVol(IF(O25&lt;$C$4,"Put","Call"),O25,$C$4,$C$7,Q25),"")</f>
        <v>6.6360322883115839E-3</v>
      </c>
      <c r="X25" s="61">
        <f>IFERROR(_xll.qlBachelierBlackFormulaImpliedVol(IF(O25&lt;$C$4,"Put","Call"),O25,$C$4,$C$7,R25),"")</f>
        <v>7.2020000000007972E-3</v>
      </c>
      <c r="Y25" s="96">
        <f>_xll.qlSmileSectionVolatility($C$40,O25+$C$31)</f>
        <v>6.8428600061089468E-3</v>
      </c>
    </row>
    <row r="26" spans="2:25">
      <c r="B26" s="64">
        <v>0.02</v>
      </c>
      <c r="C26" s="65">
        <v>8.1019999999999998E-3</v>
      </c>
      <c r="O26" s="37">
        <f t="shared" si="0"/>
        <v>-7.9000000000000129E-3</v>
      </c>
      <c r="P26" s="38" t="str">
        <f>IFERROR(_xll.qlBlackFormula(IF(O26&lt;$C$4,"Put","Call"),O26,$C$4,$C$9*SQRT($C$7)),"")</f>
        <v/>
      </c>
      <c r="Q26" s="39">
        <f>IFERROR(_xll.qlBlackFormula(IF(O26&lt;$C$4,"Put","Call"),O26,$C$4,$C$10*SQRT($C$7),,$C$11),"")</f>
        <v>1.5785727066447881E-3</v>
      </c>
      <c r="R26" s="40">
        <f>IFERROR(_xll.qlBachelierBlackFormula(IF(O26&lt;$C$4,"Put","Call"),O26,$C$4,$C$12*SQRT($C$7)),"")</f>
        <v>1.9323074295047567E-3</v>
      </c>
      <c r="S26" s="41" t="str">
        <f>IFERROR((_xll.qlBlackFormula(IF(O26&lt;$C$4,"Put","Call"),O26+$C$14,$C$4,$C$9*SQRT($C$7))-
2*_xll.qlBlackFormula(IF(O26&lt;$C$4,"Put","Call"),O26,$C$4,$C$9*SQRT($C$7))+
_xll.qlBlackFormula(IF(O26&lt;$C$4,"Put","Call"),O26-$C$14,$C$4,$C$9*SQRT($C$7)))/$C$14^2,"")</f>
        <v/>
      </c>
      <c r="T26" s="42">
        <f>IFERROR((_xll.qlBlackFormula(IF(O26&lt;$C$4,"Put","Call"),O26+$C$14,$C$4,$C$10*SQRT($C$7),,$C$11)-
2*_xll.qlBlackFormula(IF(O26&lt;$C$4,"Put","Call"),O26,$C$4,$C$10*SQRT($C$7),,$C$11)+
_xll.qlBlackFormula(IF(O26&lt;$C$4,"Put","Call"),O26-$C$14,$C$4,$C$10*SQRT($C$7),,$C$11))/$C$14^2,"")</f>
        <v>21.636617844600359</v>
      </c>
      <c r="U26" s="43">
        <f>IFERROR((_xll.qlBachelierBlackFormula(IF(O26&lt;$C$4,"Put","Call"),O26+$C$14,$C$4,$C$12*SQRT($C$7))-
2*_xll.qlBachelierBlackFormula(IF(O26&lt;$C$4,"Put","Call"),O26,$C$4,$C$12*SQRT($C$7))+
_xll.qlBachelierBlackFormula(IF(O26&lt;$C$4,"Put","Call"),O26-$C$14,$C$4,$C$12*SQRT($C$7)))/$C$14^2,"")</f>
        <v>17.973713229563206</v>
      </c>
      <c r="V26" s="61" t="str">
        <f>IFERROR(_xll.qlBachelierBlackFormulaImpliedVol(IF(O26&lt;$C$4,"Put","Call"),O26,$C$4,$C$7,P26),"")</f>
        <v/>
      </c>
      <c r="W26" s="61">
        <f>IFERROR(_xll.qlBachelierBlackFormulaImpliedVol(IF(O26&lt;$C$4,"Put","Call"),O26,$C$4,$C$7,Q26),"")</f>
        <v>6.6405121126192693E-3</v>
      </c>
      <c r="X26" s="61">
        <f>IFERROR(_xll.qlBachelierBlackFormulaImpliedVol(IF(O26&lt;$C$4,"Put","Call"),O26,$C$4,$C$7,R26),"")</f>
        <v>7.2020000000008145E-3</v>
      </c>
      <c r="Y26" s="96">
        <f>_xll.qlSmileSectionVolatility($C$40,O26+$C$31)</f>
        <v>6.8442031017634259E-3</v>
      </c>
    </row>
    <row r="27" spans="2:25">
      <c r="O27" s="37">
        <f t="shared" si="0"/>
        <v>-7.8000000000000127E-3</v>
      </c>
      <c r="P27" s="38" t="str">
        <f>IFERROR(_xll.qlBlackFormula(IF(O27&lt;$C$4,"Put","Call"),O27,$C$4,$C$9*SQRT($C$7)),"")</f>
        <v/>
      </c>
      <c r="Q27" s="39">
        <f>IFERROR(_xll.qlBlackFormula(IF(O27&lt;$C$4,"Put","Call"),O27,$C$4,$C$10*SQRT($C$7),,$C$11),"")</f>
        <v>1.6006692093955086E-3</v>
      </c>
      <c r="R27" s="40">
        <f>IFERROR(_xll.qlBachelierBlackFormula(IF(O27&lt;$C$4,"Put","Call"),O27,$C$4,$C$12*SQRT($C$7)),"")</f>
        <v>1.9535530108987917E-3</v>
      </c>
      <c r="S27" s="41" t="str">
        <f>IFERROR((_xll.qlBlackFormula(IF(O27&lt;$C$4,"Put","Call"),O27+$C$14,$C$4,$C$9*SQRT($C$7))-
2*_xll.qlBlackFormula(IF(O27&lt;$C$4,"Put","Call"),O27,$C$4,$C$9*SQRT($C$7))+
_xll.qlBlackFormula(IF(O27&lt;$C$4,"Put","Call"),O27-$C$14,$C$4,$C$9*SQRT($C$7)))/$C$14^2,"")</f>
        <v/>
      </c>
      <c r="T27" s="42">
        <f>IFERROR((_xll.qlBlackFormula(IF(O27&lt;$C$4,"Put","Call"),O27+$C$14,$C$4,$C$10*SQRT($C$7),,$C$11)-
2*_xll.qlBlackFormula(IF(O27&lt;$C$4,"Put","Call"),O27,$C$4,$C$10*SQRT($C$7),,$C$11)+
_xll.qlBlackFormula(IF(O27&lt;$C$4,"Put","Call"),O27-$C$14,$C$4,$C$10*SQRT($C$7),,$C$11))/$C$14^2,"")</f>
        <v>21.728351756733488</v>
      </c>
      <c r="U27" s="43">
        <f>IFERROR((_xll.qlBachelierBlackFormula(IF(O27&lt;$C$4,"Put","Call"),O27+$C$14,$C$4,$C$12*SQRT($C$7))-
2*_xll.qlBachelierBlackFormula(IF(O27&lt;$C$4,"Put","Call"),O27,$C$4,$C$12*SQRT($C$7))+
_xll.qlBachelierBlackFormula(IF(O27&lt;$C$4,"Put","Call"),O27-$C$14,$C$4,$C$12*SQRT($C$7)))/$C$14^2,"")</f>
        <v>18.062990773254352</v>
      </c>
      <c r="V27" s="61" t="str">
        <f>IFERROR(_xll.qlBachelierBlackFormulaImpliedVol(IF(O27&lt;$C$4,"Put","Call"),O27,$C$4,$C$7,P27),"")</f>
        <v/>
      </c>
      <c r="W27" s="61">
        <f>IFERROR(_xll.qlBachelierBlackFormulaImpliedVol(IF(O27&lt;$C$4,"Put","Call"),O27,$C$4,$C$7,Q27),"")</f>
        <v>6.6449898091856799E-3</v>
      </c>
      <c r="X27" s="61">
        <f>IFERROR(_xll.qlBachelierBlackFormulaImpliedVol(IF(O27&lt;$C$4,"Put","Call"),O27,$C$4,$C$7,R27),"")</f>
        <v>7.2020000000008163E-3</v>
      </c>
      <c r="Y27" s="96">
        <f>_xll.qlSmileSectionVolatility($C$40,O27+$C$31)</f>
        <v>6.8455656886683329E-3</v>
      </c>
    </row>
    <row r="28" spans="2:25">
      <c r="B28" s="59"/>
      <c r="O28" s="37">
        <f t="shared" si="0"/>
        <v>-7.7000000000000124E-3</v>
      </c>
      <c r="P28" s="38" t="str">
        <f>IFERROR(_xll.qlBlackFormula(IF(O28&lt;$C$4,"Put","Call"),O28,$C$4,$C$9*SQRT($C$7)),"")</f>
        <v/>
      </c>
      <c r="Q28" s="39">
        <f>IFERROR(_xll.qlBlackFormula(IF(O28&lt;$C$4,"Put","Call"),O28,$C$4,$C$10*SQRT($C$7),,$C$11),"")</f>
        <v>1.6229829948932132E-3</v>
      </c>
      <c r="R28" s="40">
        <f>IFERROR(_xll.qlBachelierBlackFormula(IF(O28&lt;$C$4,"Put","Call"),O28,$C$4,$C$12*SQRT($C$7)),"")</f>
        <v>1.9749792219895569E-3</v>
      </c>
      <c r="S28" s="41" t="str">
        <f>IFERROR((_xll.qlBlackFormula(IF(O28&lt;$C$4,"Put","Call"),O28+$C$14,$C$4,$C$9*SQRT($C$7))-
2*_xll.qlBlackFormula(IF(O28&lt;$C$4,"Put","Call"),O28,$C$4,$C$9*SQRT($C$7))+
_xll.qlBlackFormula(IF(O28&lt;$C$4,"Put","Call"),O28-$C$14,$C$4,$C$9*SQRT($C$7)))/$C$14^2,"")</f>
        <v/>
      </c>
      <c r="T28" s="42">
        <f>IFERROR((_xll.qlBlackFormula(IF(O28&lt;$C$4,"Put","Call"),O28+$C$14,$C$4,$C$10*SQRT($C$7),,$C$11)-
2*_xll.qlBlackFormula(IF(O28&lt;$C$4,"Put","Call"),O28,$C$4,$C$10*SQRT($C$7),,$C$11)+
_xll.qlBlackFormula(IF(O28&lt;$C$4,"Put","Call"),O28-$C$14,$C$4,$C$10*SQRT($C$7),,$C$11))/$C$14^2,"")</f>
        <v>21.819178408488682</v>
      </c>
      <c r="U28" s="43">
        <f>IFERROR((_xll.qlBachelierBlackFormula(IF(O28&lt;$C$4,"Put","Call"),O28+$C$14,$C$4,$C$12*SQRT($C$7))-
2*_xll.qlBachelierBlackFormula(IF(O28&lt;$C$4,"Put","Call"),O28,$C$4,$C$12*SQRT($C$7))+
_xll.qlBachelierBlackFormula(IF(O28&lt;$C$4,"Put","Call"),O28-$C$14,$C$4,$C$12*SQRT($C$7)))/$C$14^2,"")</f>
        <v>18.152012011551921</v>
      </c>
      <c r="V28" s="61" t="str">
        <f>IFERROR(_xll.qlBachelierBlackFormulaImpliedVol(IF(O28&lt;$C$4,"Put","Call"),O28,$C$4,$C$7,P28),"")</f>
        <v/>
      </c>
      <c r="W28" s="61">
        <f>IFERROR(_xll.qlBachelierBlackFormulaImpliedVol(IF(O28&lt;$C$4,"Put","Call"),O28,$C$4,$C$7,Q28),"")</f>
        <v>6.6494653824539333E-3</v>
      </c>
      <c r="X28" s="61">
        <f>IFERROR(_xll.qlBachelierBlackFormulaImpliedVol(IF(O28&lt;$C$4,"Put","Call"),O28,$C$4,$C$7,R28),"")</f>
        <v>7.2020000000008076E-3</v>
      </c>
      <c r="Y28" s="96">
        <f>_xll.qlSmileSectionVolatility($C$40,O28+$C$31)</f>
        <v>6.8469478632194681E-3</v>
      </c>
    </row>
    <row r="29" spans="2:25">
      <c r="B29" s="89" t="s">
        <v>1</v>
      </c>
      <c r="C29" s="87">
        <f>_xll.qlSettingsEvaluationDate()</f>
        <v>43739</v>
      </c>
      <c r="O29" s="37">
        <f t="shared" si="0"/>
        <v>-7.6000000000000121E-3</v>
      </c>
      <c r="P29" s="38" t="str">
        <f>IFERROR(_xll.qlBlackFormula(IF(O29&lt;$C$4,"Put","Call"),O29,$C$4,$C$9*SQRT($C$7)),"")</f>
        <v/>
      </c>
      <c r="Q29" s="39">
        <f>IFERROR(_xll.qlBlackFormula(IF(O29&lt;$C$4,"Put","Call"),O29,$C$4,$C$10*SQRT($C$7),,$C$11),"")</f>
        <v>1.6455149714567161E-3</v>
      </c>
      <c r="R29" s="40">
        <f>IFERROR(_xll.qlBachelierBlackFormula(IF(O29&lt;$C$4,"Put","Call"),O29,$C$4,$C$12*SQRT($C$7)),"")</f>
        <v>1.9965869529784859E-3</v>
      </c>
      <c r="S29" s="41" t="str">
        <f>IFERROR((_xll.qlBlackFormula(IF(O29&lt;$C$4,"Put","Call"),O29+$C$14,$C$4,$C$9*SQRT($C$7))-
2*_xll.qlBlackFormula(IF(O29&lt;$C$4,"Put","Call"),O29,$C$4,$C$9*SQRT($C$7))+
_xll.qlBlackFormula(IF(O29&lt;$C$4,"Put","Call"),O29-$C$14,$C$4,$C$9*SQRT($C$7)))/$C$14^2,"")</f>
        <v/>
      </c>
      <c r="T29" s="42">
        <f>IFERROR((_xll.qlBlackFormula(IF(O29&lt;$C$4,"Put","Call"),O29+$C$14,$C$4,$C$10*SQRT($C$7),,$C$11)-
2*_xll.qlBlackFormula(IF(O29&lt;$C$4,"Put","Call"),O29,$C$4,$C$10*SQRT($C$7),,$C$11)+
_xll.qlBlackFormula(IF(O29&lt;$C$4,"Put","Call"),O29-$C$14,$C$4,$C$10*SQRT($C$7),,$C$11))/$C$14^2,"")</f>
        <v>21.909103004036368</v>
      </c>
      <c r="U29" s="43">
        <f>IFERROR((_xll.qlBachelierBlackFormula(IF(O29&lt;$C$4,"Put","Call"),O29+$C$14,$C$4,$C$12*SQRT($C$7))-
2*_xll.qlBachelierBlackFormula(IF(O29&lt;$C$4,"Put","Call"),O29,$C$4,$C$12*SQRT($C$7))+
_xll.qlBachelierBlackFormula(IF(O29&lt;$C$4,"Put","Call"),O29-$C$14,$C$4,$C$12*SQRT($C$7)))/$C$14^2,"")</f>
        <v>18.240766969795931</v>
      </c>
      <c r="V29" s="61" t="str">
        <f>IFERROR(_xll.qlBachelierBlackFormulaImpliedVol(IF(O29&lt;$C$4,"Put","Call"),O29,$C$4,$C$7,P29),"")</f>
        <v/>
      </c>
      <c r="W29" s="61">
        <f>IFERROR(_xll.qlBachelierBlackFormulaImpliedVol(IF(O29&lt;$C$4,"Put","Call"),O29,$C$4,$C$7,Q29),"")</f>
        <v>6.6539388368514855E-3</v>
      </c>
      <c r="X29" s="61">
        <f>IFERROR(_xll.qlBachelierBlackFormulaImpliedVol(IF(O29&lt;$C$4,"Put","Call"),O29,$C$4,$C$7,R29),"")</f>
        <v>7.2020000000007946E-3</v>
      </c>
      <c r="Y29" s="96">
        <f>_xll.qlSmileSectionVolatility($C$40,O29+$C$31)</f>
        <v>6.8483497211184897E-3</v>
      </c>
    </row>
    <row r="30" spans="2:25">
      <c r="B30" s="89" t="s">
        <v>71</v>
      </c>
      <c r="C30" s="88">
        <f>C29+C7*365</f>
        <v>45564</v>
      </c>
      <c r="O30" s="37">
        <f t="shared" si="0"/>
        <v>-7.5000000000000119E-3</v>
      </c>
      <c r="P30" s="38" t="str">
        <f>IFERROR(_xll.qlBlackFormula(IF(O30&lt;$C$4,"Put","Call"),O30,$C$4,$C$9*SQRT($C$7)),"")</f>
        <v/>
      </c>
      <c r="Q30" s="39">
        <f>IFERROR(_xll.qlBlackFormula(IF(O30&lt;$C$4,"Put","Call"),O30,$C$4,$C$10*SQRT($C$7),,$C$11),"")</f>
        <v>1.6682660383050673E-3</v>
      </c>
      <c r="R30" s="40">
        <f>IFERROR(_xll.qlBachelierBlackFormula(IF(O30&lt;$C$4,"Put","Call"),O30,$C$4,$C$12*SQRT($C$7)),"")</f>
        <v>2.0183770914207009E-3</v>
      </c>
      <c r="S30" s="41" t="str">
        <f>IFERROR((_xll.qlBlackFormula(IF(O30&lt;$C$4,"Put","Call"),O30+$C$14,$C$4,$C$9*SQRT($C$7))-
2*_xll.qlBlackFormula(IF(O30&lt;$C$4,"Put","Call"),O30,$C$4,$C$9*SQRT($C$7))+
_xll.qlBlackFormula(IF(O30&lt;$C$4,"Put","Call"),O30-$C$14,$C$4,$C$9*SQRT($C$7)))/$C$14^2,"")</f>
        <v/>
      </c>
      <c r="T30" s="42">
        <f>IFERROR((_xll.qlBlackFormula(IF(O30&lt;$C$4,"Put","Call"),O30+$C$14,$C$4,$C$10*SQRT($C$7),,$C$11)-
2*_xll.qlBlackFormula(IF(O30&lt;$C$4,"Put","Call"),O30,$C$4,$C$10*SQRT($C$7),,$C$11)+
_xll.qlBlackFormula(IF(O30&lt;$C$4,"Put","Call"),O30-$C$14,$C$4,$C$10*SQRT($C$7),,$C$11))/$C$14^2,"")</f>
        <v>21.998109930865262</v>
      </c>
      <c r="U30" s="43">
        <f>IFERROR((_xll.qlBachelierBlackFormula(IF(O30&lt;$C$4,"Put","Call"),O30+$C$14,$C$4,$C$12*SQRT($C$7))-
2*_xll.qlBachelierBlackFormula(IF(O30&lt;$C$4,"Put","Call"),O30,$C$4,$C$12*SQRT($C$7))+
_xll.qlBachelierBlackFormula(IF(O30&lt;$C$4,"Put","Call"),O30-$C$14,$C$4,$C$12*SQRT($C$7)))/$C$14^2,"")</f>
        <v>18.329251311177686</v>
      </c>
      <c r="V30" s="61" t="str">
        <f>IFERROR(_xll.qlBachelierBlackFormulaImpliedVol(IF(O30&lt;$C$4,"Put","Call"),O30,$C$4,$C$7,P30),"")</f>
        <v/>
      </c>
      <c r="W30" s="61">
        <f>IFERROR(_xll.qlBachelierBlackFormulaImpliedVol(IF(O30&lt;$C$4,"Put","Call"),O30,$C$4,$C$7,Q30),"")</f>
        <v>6.6584101767903124E-3</v>
      </c>
      <c r="X30" s="61">
        <f>IFERROR(_xll.qlBachelierBlackFormulaImpliedVol(IF(O30&lt;$C$4,"Put","Call"),O30,$C$4,$C$7,R30),"")</f>
        <v>7.202000000000772E-3</v>
      </c>
      <c r="Y30" s="96">
        <f>_xll.qlSmileSectionVolatility($C$40,O30+$C$31)</f>
        <v>6.849771357363625E-3</v>
      </c>
    </row>
    <row r="31" spans="2:25">
      <c r="B31" s="89" t="s">
        <v>72</v>
      </c>
      <c r="C31" s="90">
        <v>0.05</v>
      </c>
      <c r="O31" s="37">
        <f t="shared" si="0"/>
        <v>-7.4000000000000116E-3</v>
      </c>
      <c r="P31" s="38" t="str">
        <f>IFERROR(_xll.qlBlackFormula(IF(O31&lt;$C$4,"Put","Call"),O31,$C$4,$C$9*SQRT($C$7)),"")</f>
        <v/>
      </c>
      <c r="Q31" s="39">
        <f>IFERROR(_xll.qlBlackFormula(IF(O31&lt;$C$4,"Put","Call"),O31,$C$4,$C$10*SQRT($C$7),,$C$11),"")</f>
        <v>1.6912370854657854E-3</v>
      </c>
      <c r="R31" s="40">
        <f>IFERROR(_xll.qlBachelierBlackFormula(IF(O31&lt;$C$4,"Put","Call"),O31,$C$4,$C$12*SQRT($C$7)),"")</f>
        <v>2.0403505221434706E-3</v>
      </c>
      <c r="S31" s="41" t="str">
        <f>IFERROR((_xll.qlBlackFormula(IF(O31&lt;$C$4,"Put","Call"),O31+$C$14,$C$4,$C$9*SQRT($C$7))-
2*_xll.qlBlackFormula(IF(O31&lt;$C$4,"Put","Call"),O31,$C$4,$C$9*SQRT($C$7))+
_xll.qlBlackFormula(IF(O31&lt;$C$4,"Put","Call"),O31-$C$14,$C$4,$C$9*SQRT($C$7)))/$C$14^2,"")</f>
        <v/>
      </c>
      <c r="T31" s="42">
        <f>IFERROR((_xll.qlBlackFormula(IF(O31&lt;$C$4,"Put","Call"),O31+$C$14,$C$4,$C$10*SQRT($C$7),,$C$11)-
2*_xll.qlBlackFormula(IF(O31&lt;$C$4,"Put","Call"),O31,$C$4,$C$10*SQRT($C$7),,$C$11)+
_xll.qlBlackFormula(IF(O31&lt;$C$4,"Put","Call"),O31-$C$14,$C$4,$C$10*SQRT($C$7),,$C$11))/$C$14^2,"")</f>
        <v>22.08619225008146</v>
      </c>
      <c r="U31" s="43">
        <f>IFERROR((_xll.qlBachelierBlackFormula(IF(O31&lt;$C$4,"Put","Call"),O31+$C$14,$C$4,$C$12*SQRT($C$7))-
2*_xll.qlBachelierBlackFormula(IF(O31&lt;$C$4,"Put","Call"),O31,$C$4,$C$12*SQRT($C$7))+
_xll.qlBachelierBlackFormula(IF(O31&lt;$C$4,"Put","Call"),O31-$C$14,$C$4,$C$12*SQRT($C$7)))/$C$14^2,"")</f>
        <v>18.417453759994597</v>
      </c>
      <c r="V31" s="61" t="str">
        <f>IFERROR(_xll.qlBachelierBlackFormulaImpliedVol(IF(O31&lt;$C$4,"Put","Call"),O31,$C$4,$C$7,P31),"")</f>
        <v/>
      </c>
      <c r="W31" s="61">
        <f>IFERROR(_xll.qlBachelierBlackFormulaImpliedVol(IF(O31&lt;$C$4,"Put","Call"),O31,$C$4,$C$7,Q31),"")</f>
        <v>6.6628794066669033E-3</v>
      </c>
      <c r="X31" s="61">
        <f>IFERROR(_xll.qlBachelierBlackFormulaImpliedVol(IF(O31&lt;$C$4,"Put","Call"),O31,$C$4,$C$7,R31),"")</f>
        <v>7.2020000000007425E-3</v>
      </c>
      <c r="Y31" s="96">
        <f>_xll.qlSmileSectionVolatility($C$40,O31+$C$31)</f>
        <v>6.8512128662403709E-3</v>
      </c>
    </row>
    <row r="32" spans="2:25">
      <c r="B32" s="89" t="s">
        <v>62</v>
      </c>
      <c r="C32" s="92">
        <f>C12/((C4+C31)^C33)</f>
        <v>5.485285469482639E-2</v>
      </c>
      <c r="O32" s="37">
        <f t="shared" si="0"/>
        <v>-7.3000000000000113E-3</v>
      </c>
      <c r="P32" s="38" t="str">
        <f>IFERROR(_xll.qlBlackFormula(IF(O32&lt;$C$4,"Put","Call"),O32,$C$4,$C$9*SQRT($C$7)),"")</f>
        <v/>
      </c>
      <c r="Q32" s="39">
        <f>IFERROR(_xll.qlBlackFormula(IF(O32&lt;$C$4,"Put","Call"),O32,$C$4,$C$10*SQRT($C$7),,$C$11),"")</f>
        <v>1.7144289936847738E-3</v>
      </c>
      <c r="R32" s="40">
        <f>IFERROR(_xll.qlBachelierBlackFormula(IF(O32&lt;$C$4,"Put","Call"),O32,$C$4,$C$12*SQRT($C$7)),"")</f>
        <v>2.0625081271645738E-3</v>
      </c>
      <c r="S32" s="41" t="str">
        <f>IFERROR((_xll.qlBlackFormula(IF(O32&lt;$C$4,"Put","Call"),O32+$C$14,$C$4,$C$9*SQRT($C$7))-
2*_xll.qlBlackFormula(IF(O32&lt;$C$4,"Put","Call"),O32,$C$4,$C$9*SQRT($C$7))+
_xll.qlBlackFormula(IF(O32&lt;$C$4,"Put","Call"),O32-$C$14,$C$4,$C$9*SQRT($C$7)))/$C$14^2,"")</f>
        <v/>
      </c>
      <c r="T32" s="42">
        <f>IFERROR((_xll.qlBlackFormula(IF(O32&lt;$C$4,"Put","Call"),O32+$C$14,$C$4,$C$10*SQRT($C$7),,$C$11)-
2*_xll.qlBlackFormula(IF(O32&lt;$C$4,"Put","Call"),O32,$C$4,$C$10*SQRT($C$7),,$C$11)+
_xll.qlBlackFormula(IF(O32&lt;$C$4,"Put","Call"),O32-$C$14,$C$4,$C$10*SQRT($C$7),,$C$11))/$C$14^2,"")</f>
        <v>22.173323940832823</v>
      </c>
      <c r="U32" s="43">
        <f>IFERROR((_xll.qlBachelierBlackFormula(IF(O32&lt;$C$4,"Put","Call"),O32+$C$14,$C$4,$C$12*SQRT($C$7))-
2*_xll.qlBachelierBlackFormula(IF(O32&lt;$C$4,"Put","Call"),O32,$C$4,$C$12*SQRT($C$7))+
_xll.qlBachelierBlackFormula(IF(O32&lt;$C$4,"Put","Call"),O32-$C$14,$C$4,$C$12*SQRT($C$7)))/$C$14^2,"")</f>
        <v>18.505366943671888</v>
      </c>
      <c r="V32" s="61" t="str">
        <f>IFERROR(_xll.qlBachelierBlackFormulaImpliedVol(IF(O32&lt;$C$4,"Put","Call"),O32,$C$4,$C$7,P32),"")</f>
        <v/>
      </c>
      <c r="W32" s="61">
        <f>IFERROR(_xll.qlBachelierBlackFormulaImpliedVol(IF(O32&lt;$C$4,"Put","Call"),O32,$C$4,$C$7,Q32),"")</f>
        <v>6.6673465308623716E-3</v>
      </c>
      <c r="X32" s="61">
        <f>IFERROR(_xll.qlBachelierBlackFormulaImpliedVol(IF(O32&lt;$C$4,"Put","Call"),O32,$C$4,$C$7,R32),"")</f>
        <v>7.2020000000007122E-3</v>
      </c>
      <c r="Y32" s="96">
        <f>_xll.qlSmileSectionVolatility($C$40,O32+$C$31)</f>
        <v>6.8526743413121517E-3</v>
      </c>
    </row>
    <row r="33" spans="2:25">
      <c r="B33" s="89" t="s">
        <v>63</v>
      </c>
      <c r="C33" s="91">
        <v>0.7</v>
      </c>
      <c r="O33" s="37">
        <f t="shared" si="0"/>
        <v>-7.2000000000000111E-3</v>
      </c>
      <c r="P33" s="38" t="str">
        <f>IFERROR(_xll.qlBlackFormula(IF(O33&lt;$C$4,"Put","Call"),O33,$C$4,$C$9*SQRT($C$7)),"")</f>
        <v/>
      </c>
      <c r="Q33" s="39">
        <f>IFERROR(_xll.qlBlackFormula(IF(O33&lt;$C$4,"Put","Call"),O33,$C$4,$C$10*SQRT($C$7),,$C$11),"")</f>
        <v>1.7378426343378373E-3</v>
      </c>
      <c r="R33" s="40">
        <f>IFERROR(_xll.qlBachelierBlackFormula(IF(O33&lt;$C$4,"Put","Call"),O33,$C$4,$C$12*SQRT($C$7)),"")</f>
        <v>2.0848507856105936E-3</v>
      </c>
      <c r="S33" s="41" t="str">
        <f>IFERROR((_xll.qlBlackFormula(IF(O33&lt;$C$4,"Put","Call"),O33+$C$14,$C$4,$C$9*SQRT($C$7))-
2*_xll.qlBlackFormula(IF(O33&lt;$C$4,"Put","Call"),O33,$C$4,$C$9*SQRT($C$7))+
_xll.qlBlackFormula(IF(O33&lt;$C$4,"Put","Call"),O33-$C$14,$C$4,$C$9*SQRT($C$7)))/$C$14^2,"")</f>
        <v/>
      </c>
      <c r="T33" s="42">
        <f>IFERROR((_xll.qlBlackFormula(IF(O33&lt;$C$4,"Put","Call"),O33+$C$14,$C$4,$C$10*SQRT($C$7),,$C$11)-
2*_xll.qlBlackFormula(IF(O33&lt;$C$4,"Put","Call"),O33,$C$4,$C$10*SQRT($C$7),,$C$11)+
_xll.qlBlackFormula(IF(O33&lt;$C$4,"Put","Call"),O33-$C$14,$C$4,$C$10*SQRT($C$7),,$C$11))/$C$14^2,"")</f>
        <v>22.259510207289779</v>
      </c>
      <c r="U33" s="43">
        <f>IFERROR((_xll.qlBachelierBlackFormula(IF(O33&lt;$C$4,"Put","Call"),O33+$C$14,$C$4,$C$12*SQRT($C$7))-
2*_xll.qlBachelierBlackFormula(IF(O33&lt;$C$4,"Put","Call"),O33,$C$4,$C$12*SQRT($C$7))+
_xll.qlBachelierBlackFormula(IF(O33&lt;$C$4,"Put","Call"),O33-$C$14,$C$4,$C$12*SQRT($C$7)))/$C$14^2,"")</f>
        <v>18.592983923315654</v>
      </c>
      <c r="V33" s="61" t="str">
        <f>IFERROR(_xll.qlBachelierBlackFormulaImpliedVol(IF(O33&lt;$C$4,"Put","Call"),O33,$C$4,$C$7,P33),"")</f>
        <v/>
      </c>
      <c r="W33" s="61">
        <f>IFERROR(_xll.qlBachelierBlackFormulaImpliedVol(IF(O33&lt;$C$4,"Put","Call"),O33,$C$4,$C$7,Q33),"")</f>
        <v>6.6718115537425272E-3</v>
      </c>
      <c r="X33" s="61">
        <f>IFERROR(_xll.qlBachelierBlackFormulaImpliedVol(IF(O33&lt;$C$4,"Put","Call"),O33,$C$4,$C$7,R33),"")</f>
        <v>7.2020000000006705E-3</v>
      </c>
      <c r="Y33" s="96">
        <f>_xll.qlSmileSectionVolatility($C$40,O33+$C$31)</f>
        <v>6.8541558754111106E-3</v>
      </c>
    </row>
    <row r="34" spans="2:25">
      <c r="B34" s="89" t="s">
        <v>68</v>
      </c>
      <c r="C34" s="91">
        <v>0.5</v>
      </c>
      <c r="O34" s="37">
        <f t="shared" si="0"/>
        <v>-7.1000000000000108E-3</v>
      </c>
      <c r="P34" s="38" t="str">
        <f>IFERROR(_xll.qlBlackFormula(IF(O34&lt;$C$4,"Put","Call"),O34,$C$4,$C$9*SQRT($C$7)),"")</f>
        <v/>
      </c>
      <c r="Q34" s="39">
        <f>IFERROR(_xll.qlBlackFormula(IF(O34&lt;$C$4,"Put","Call"),O34,$C$4,$C$10*SQRT($C$7),,$C$11),"")</f>
        <v>1.7614788693438507E-3</v>
      </c>
      <c r="R34" s="40">
        <f>IFERROR(_xll.qlBachelierBlackFormula(IF(O34&lt;$C$4,"Put","Call"),O34,$C$4,$C$12*SQRT($C$7)),"")</f>
        <v>2.1073793736351722E-3</v>
      </c>
      <c r="S34" s="41" t="str">
        <f>IFERROR((_xll.qlBlackFormula(IF(O34&lt;$C$4,"Put","Call"),O34+$C$14,$C$4,$C$9*SQRT($C$7))-
2*_xll.qlBlackFormula(IF(O34&lt;$C$4,"Put","Call"),O34,$C$4,$C$9*SQRT($C$7))+
_xll.qlBlackFormula(IF(O34&lt;$C$4,"Put","Call"),O34-$C$14,$C$4,$C$9*SQRT($C$7)))/$C$14^2,"")</f>
        <v/>
      </c>
      <c r="T34" s="42">
        <f>IFERROR((_xll.qlBlackFormula(IF(O34&lt;$C$4,"Put","Call"),O34+$C$14,$C$4,$C$10*SQRT($C$7),,$C$11)-
2*_xll.qlBlackFormula(IF(O34&lt;$C$4,"Put","Call"),O34,$C$4,$C$10*SQRT($C$7),,$C$11)+
_xll.qlBlackFormula(IF(O34&lt;$C$4,"Put","Call"),O34-$C$14,$C$4,$C$10*SQRT($C$7),,$C$11))/$C$14^2,"")</f>
        <v>22.344745845281899</v>
      </c>
      <c r="U34" s="43">
        <f>IFERROR((_xll.qlBachelierBlackFormula(IF(O34&lt;$C$4,"Put","Call"),O34+$C$14,$C$4,$C$12*SQRT($C$7))-
2*_xll.qlBachelierBlackFormula(IF(O34&lt;$C$4,"Put","Call"),O34,$C$4,$C$12*SQRT($C$7))+
_xll.qlBachelierBlackFormula(IF(O34&lt;$C$4,"Put","Call"),O34-$C$14,$C$4,$C$12*SQRT($C$7)))/$C$14^2,"")</f>
        <v>18.680293856904175</v>
      </c>
      <c r="V34" s="61" t="str">
        <f>IFERROR(_xll.qlBachelierBlackFormulaImpliedVol(IF(O34&lt;$C$4,"Put","Call"),O34,$C$4,$C$7,P34),"")</f>
        <v/>
      </c>
      <c r="W34" s="61">
        <f>IFERROR(_xll.qlBachelierBlackFormulaImpliedVol(IF(O34&lt;$C$4,"Put","Call"),O34,$C$4,$C$7,Q34),"")</f>
        <v>6.6762744796579378E-3</v>
      </c>
      <c r="X34" s="61">
        <f>IFERROR(_xll.qlBachelierBlackFormulaImpliedVol(IF(O34&lt;$C$4,"Put","Call"),O34,$C$4,$C$7,R34),"")</f>
        <v>7.202000000000628E-3</v>
      </c>
      <c r="Y34" s="96">
        <f>_xll.qlSmileSectionVolatility($C$40,O34+$C$31)</f>
        <v>6.8556575606288604E-3</v>
      </c>
    </row>
    <row r="35" spans="2:25">
      <c r="B35" s="89" t="s">
        <v>69</v>
      </c>
      <c r="C35" s="91">
        <v>0.1</v>
      </c>
      <c r="O35" s="37">
        <f t="shared" si="0"/>
        <v>-7.0000000000000106E-3</v>
      </c>
      <c r="P35" s="38" t="str">
        <f>IFERROR(_xll.qlBlackFormula(IF(O35&lt;$C$4,"Put","Call"),O35,$C$4,$C$9*SQRT($C$7)),"")</f>
        <v/>
      </c>
      <c r="Q35" s="39">
        <f>IFERROR(_xll.qlBlackFormula(IF(O35&lt;$C$4,"Put","Call"),O35,$C$4,$C$10*SQRT($C$7),,$C$11),"")</f>
        <v>1.7853385510795752E-3</v>
      </c>
      <c r="R35" s="40">
        <f>IFERROR(_xll.qlBachelierBlackFormula(IF(O35&lt;$C$4,"Put","Call"),O35,$C$4,$C$12*SQRT($C$7)),"")</f>
        <v>2.1300947643371993E-3</v>
      </c>
      <c r="S35" s="41" t="str">
        <f>IFERROR((_xll.qlBlackFormula(IF(O35&lt;$C$4,"Put","Call"),O35+$C$14,$C$4,$C$9*SQRT($C$7))-
2*_xll.qlBlackFormula(IF(O35&lt;$C$4,"Put","Call"),O35,$C$4,$C$9*SQRT($C$7))+
_xll.qlBlackFormula(IF(O35&lt;$C$4,"Put","Call"),O35-$C$14,$C$4,$C$9*SQRT($C$7)))/$C$14^2,"")</f>
        <v/>
      </c>
      <c r="T35" s="42">
        <f>IFERROR((_xll.qlBlackFormula(IF(O35&lt;$C$4,"Put","Call"),O35+$C$14,$C$4,$C$10*SQRT($C$7),,$C$11)-
2*_xll.qlBlackFormula(IF(O35&lt;$C$4,"Put","Call"),O35,$C$4,$C$10*SQRT($C$7),,$C$11)+
_xll.qlBlackFormula(IF(O35&lt;$C$4,"Put","Call"),O35-$C$14,$C$4,$C$10*SQRT($C$7),,$C$11))/$C$14^2,"")</f>
        <v>22.429030854809184</v>
      </c>
      <c r="U35" s="43">
        <f>IFERROR((_xll.qlBachelierBlackFormula(IF(O35&lt;$C$4,"Put","Call"),O35+$C$14,$C$4,$C$12*SQRT($C$7))-
2*_xll.qlBachelierBlackFormula(IF(O35&lt;$C$4,"Put","Call"),O35,$C$4,$C$12*SQRT($C$7))+
_xll.qlBachelierBlackFormula(IF(O35&lt;$C$4,"Put","Call"),O35-$C$14,$C$4,$C$12*SQRT($C$7)))/$C$14^2,"")</f>
        <v>18.76729110658615</v>
      </c>
      <c r="V35" s="61" t="str">
        <f>IFERROR(_xll.qlBachelierBlackFormulaImpliedVol(IF(O35&lt;$C$4,"Put","Call"),O35,$C$4,$C$7,P35),"")</f>
        <v/>
      </c>
      <c r="W35" s="61">
        <f>IFERROR(_xll.qlBachelierBlackFormulaImpliedVol(IF(O35&lt;$C$4,"Put","Call"),O35,$C$4,$C$7,Q35),"")</f>
        <v>6.6807353129440241E-3</v>
      </c>
      <c r="X35" s="61">
        <f>IFERROR(_xll.qlBachelierBlackFormulaImpliedVol(IF(O35&lt;$C$4,"Put","Call"),O35,$C$4,$C$7,R35),"")</f>
        <v>7.2020000000005803E-3</v>
      </c>
      <c r="Y35" s="96">
        <f>_xll.qlSmileSectionVolatility($C$40,O35+$C$31)</f>
        <v>6.8571794883072277E-3</v>
      </c>
    </row>
    <row r="36" spans="2:25">
      <c r="B36" s="89" t="s">
        <v>73</v>
      </c>
      <c r="C36" s="91" t="b">
        <v>0</v>
      </c>
      <c r="O36" s="37">
        <f t="shared" si="0"/>
        <v>-6.9000000000000103E-3</v>
      </c>
      <c r="P36" s="38" t="str">
        <f>IFERROR(_xll.qlBlackFormula(IF(O36&lt;$C$4,"Put","Call"),O36,$C$4,$C$9*SQRT($C$7)),"")</f>
        <v/>
      </c>
      <c r="Q36" s="39">
        <f>IFERROR(_xll.qlBlackFormula(IF(O36&lt;$C$4,"Put","Call"),O36,$C$4,$C$10*SQRT($C$7),,$C$11),"")</f>
        <v>1.8094225222961592E-3</v>
      </c>
      <c r="R36" s="40">
        <f>IFERROR(_xll.qlBachelierBlackFormula(IF(O36&lt;$C$4,"Put","Call"),O36,$C$4,$C$12*SQRT($C$7)),"")</f>
        <v>2.1529978276789846E-3</v>
      </c>
      <c r="S36" s="41" t="str">
        <f>IFERROR((_xll.qlBlackFormula(IF(O36&lt;$C$4,"Put","Call"),O36+$C$14,$C$4,$C$9*SQRT($C$7))-
2*_xll.qlBlackFormula(IF(O36&lt;$C$4,"Put","Call"),O36,$C$4,$C$9*SQRT($C$7))+
_xll.qlBlackFormula(IF(O36&lt;$C$4,"Put","Call"),O36-$C$14,$C$4,$C$9*SQRT($C$7)))/$C$14^2,"")</f>
        <v/>
      </c>
      <c r="T36" s="42">
        <f>IFERROR((_xll.qlBlackFormula(IF(O36&lt;$C$4,"Put","Call"),O36+$C$14,$C$4,$C$10*SQRT($C$7),,$C$11)-
2*_xll.qlBlackFormula(IF(O36&lt;$C$4,"Put","Call"),O36,$C$4,$C$10*SQRT($C$7),,$C$11)+
_xll.qlBlackFormula(IF(O36&lt;$C$4,"Put","Call"),O36-$C$14,$C$4,$C$10*SQRT($C$7),,$C$11))/$C$14^2,"")</f>
        <v>22.512321867784735</v>
      </c>
      <c r="U36" s="43">
        <f>IFERROR((_xll.qlBachelierBlackFormula(IF(O36&lt;$C$4,"Put","Call"),O36+$C$14,$C$4,$C$12*SQRT($C$7))-
2*_xll.qlBachelierBlackFormula(IF(O36&lt;$C$4,"Put","Call"),O36,$C$4,$C$12*SQRT($C$7))+
_xll.qlBachelierBlackFormula(IF(O36&lt;$C$4,"Put","Call"),O36-$C$14,$C$4,$C$12*SQRT($C$7)))/$C$14^2,"")</f>
        <v>18.853965697701593</v>
      </c>
      <c r="V36" s="61" t="str">
        <f>IFERROR(_xll.qlBachelierBlackFormulaImpliedVol(IF(O36&lt;$C$4,"Put","Call"),O36,$C$4,$C$7,P36),"")</f>
        <v/>
      </c>
      <c r="W36" s="61">
        <f>IFERROR(_xll.qlBachelierBlackFormulaImpliedVol(IF(O36&lt;$C$4,"Put","Call"),O36,$C$4,$C$7,Q36),"")</f>
        <v>6.6851940579211221E-3</v>
      </c>
      <c r="X36" s="61">
        <f>IFERROR(_xll.qlBachelierBlackFormulaImpliedVol(IF(O36&lt;$C$4,"Put","Call"),O36,$C$4,$C$7,R36),"")</f>
        <v>7.2020000000005257E-3</v>
      </c>
      <c r="Y36" s="96">
        <f>_xll.qlSmileSectionVolatility($C$40,O36+$C$31)</f>
        <v>6.8587217490290956E-3</v>
      </c>
    </row>
    <row r="37" spans="2:25">
      <c r="B37" s="89" t="s">
        <v>74</v>
      </c>
      <c r="C37" s="91" t="b">
        <v>1</v>
      </c>
      <c r="O37" s="37">
        <f t="shared" si="0"/>
        <v>-6.80000000000001E-3</v>
      </c>
      <c r="P37" s="38" t="str">
        <f>IFERROR(_xll.qlBlackFormula(IF(O37&lt;$C$4,"Put","Call"),O37,$C$4,$C$9*SQRT($C$7)),"")</f>
        <v/>
      </c>
      <c r="Q37" s="39">
        <f>IFERROR(_xll.qlBlackFormula(IF(O37&lt;$C$4,"Put","Call"),O37,$C$4,$C$10*SQRT($C$7),,$C$11),"")</f>
        <v>1.8337316160372576E-3</v>
      </c>
      <c r="R37" s="40">
        <f>IFERROR(_xll.qlBachelierBlackFormula(IF(O37&lt;$C$4,"Put","Call"),O37,$C$4,$C$12*SQRT($C$7)),"")</f>
        <v>2.176089430404407E-3</v>
      </c>
      <c r="S37" s="41" t="str">
        <f>IFERROR((_xll.qlBlackFormula(IF(O37&lt;$C$4,"Put","Call"),O37+$C$14,$C$4,$C$9*SQRT($C$7))-
2*_xll.qlBlackFormula(IF(O37&lt;$C$4,"Put","Call"),O37,$C$4,$C$9*SQRT($C$7))+
_xll.qlBlackFormula(IF(O37&lt;$C$4,"Put","Call"),O37-$C$14,$C$4,$C$9*SQRT($C$7)))/$C$14^2,"")</f>
        <v/>
      </c>
      <c r="T37" s="42">
        <f>IFERROR((_xll.qlBlackFormula(IF(O37&lt;$C$4,"Put","Call"),O37+$C$14,$C$4,$C$10*SQRT($C$7),,$C$11)-
2*_xll.qlBlackFormula(IF(O37&lt;$C$4,"Put","Call"),O37,$C$4,$C$10*SQRT($C$7),,$C$11)+
_xll.qlBlackFormula(IF(O37&lt;$C$4,"Put","Call"),O37-$C$14,$C$4,$C$10*SQRT($C$7),,$C$11))/$C$14^2,"")</f>
        <v>22.594669191189354</v>
      </c>
      <c r="U37" s="43">
        <f>IFERROR((_xll.qlBachelierBlackFormula(IF(O37&lt;$C$4,"Put","Call"),O37+$C$14,$C$4,$C$12*SQRT($C$7))-
2*_xll.qlBachelierBlackFormula(IF(O37&lt;$C$4,"Put","Call"),O37,$C$4,$C$12*SQRT($C$7))+
_xll.qlBachelierBlackFormula(IF(O37&lt;$C$4,"Put","Call"),O37-$C$14,$C$4,$C$12*SQRT($C$7)))/$C$14^2,"")</f>
        <v>18.940311125037468</v>
      </c>
      <c r="V37" s="61" t="str">
        <f>IFERROR(_xll.qlBachelierBlackFormulaImpliedVol(IF(O37&lt;$C$4,"Put","Call"),O37,$C$4,$C$7,P37),"")</f>
        <v/>
      </c>
      <c r="W37" s="61">
        <f>IFERROR(_xll.qlBachelierBlackFormulaImpliedVol(IF(O37&lt;$C$4,"Put","Call"),O37,$C$4,$C$7,Q37),"")</f>
        <v>6.6896507188945247E-3</v>
      </c>
      <c r="X37" s="61">
        <f>IFERROR(_xll.qlBachelierBlackFormulaImpliedVol(IF(O37&lt;$C$4,"Put","Call"),O37,$C$4,$C$7,R37),"")</f>
        <v>7.2020000000004736E-3</v>
      </c>
      <c r="Y37" s="96">
        <f>_xll.qlSmileSectionVolatility($C$40,O37+$C$31)</f>
        <v>6.8602844326091901E-3</v>
      </c>
    </row>
    <row r="38" spans="2:25">
      <c r="B38" s="94" t="s">
        <v>75</v>
      </c>
      <c r="C38" s="91" t="b">
        <v>0</v>
      </c>
      <c r="O38" s="37">
        <f t="shared" si="0"/>
        <v>-6.7000000000000098E-3</v>
      </c>
      <c r="P38" s="38" t="str">
        <f>IFERROR(_xll.qlBlackFormula(IF(O38&lt;$C$4,"Put","Call"),O38,$C$4,$C$9*SQRT($C$7)),"")</f>
        <v/>
      </c>
      <c r="Q38" s="39">
        <f>IFERROR(_xll.qlBlackFormula(IF(O38&lt;$C$4,"Put","Call"),O38,$C$4,$C$10*SQRT($C$7),,$C$11),"")</f>
        <v>1.8582666555589482E-3</v>
      </c>
      <c r="R38" s="40">
        <f>IFERROR(_xll.qlBachelierBlackFormula(IF(O38&lt;$C$4,"Put","Call"),O38,$C$4,$C$12*SQRT($C$7)),"")</f>
        <v>2.1993704359570565E-3</v>
      </c>
      <c r="S38" s="41" t="str">
        <f>IFERROR((_xll.qlBlackFormula(IF(O38&lt;$C$4,"Put","Call"),O38+$C$14,$C$4,$C$9*SQRT($C$7))-
2*_xll.qlBlackFormula(IF(O38&lt;$C$4,"Put","Call"),O38,$C$4,$C$9*SQRT($C$7))+
_xll.qlBlackFormula(IF(O38&lt;$C$4,"Put","Call"),O38-$C$14,$C$4,$C$9*SQRT($C$7)))/$C$14^2,"")</f>
        <v/>
      </c>
      <c r="T38" s="42">
        <f>IFERROR((_xll.qlBlackFormula(IF(O38&lt;$C$4,"Put","Call"),O38+$C$14,$C$4,$C$10*SQRT($C$7),,$C$11)-
2*_xll.qlBlackFormula(IF(O38&lt;$C$4,"Put","Call"),O38,$C$4,$C$10*SQRT($C$7),,$C$11)+
_xll.qlBlackFormula(IF(O38&lt;$C$4,"Put","Call"),O38-$C$14,$C$4,$C$10*SQRT($C$7),,$C$11))/$C$14^2,"")</f>
        <v>22.67599996663705</v>
      </c>
      <c r="U38" s="43">
        <f>IFERROR((_xll.qlBachelierBlackFormula(IF(O38&lt;$C$4,"Put","Call"),O38+$C$14,$C$4,$C$12*SQRT($C$7))-
2*_xll.qlBachelierBlackFormula(IF(O38&lt;$C$4,"Put","Call"),O38,$C$4,$C$12*SQRT($C$7))+
_xll.qlBachelierBlackFormula(IF(O38&lt;$C$4,"Put","Call"),O38-$C$14,$C$4,$C$12*SQRT($C$7)))/$C$14^2,"")</f>
        <v>19.026315679210317</v>
      </c>
      <c r="V38" s="61" t="str">
        <f>IFERROR(_xll.qlBachelierBlackFormulaImpliedVol(IF(O38&lt;$C$4,"Put","Call"),O38,$C$4,$C$7,P38),"")</f>
        <v/>
      </c>
      <c r="W38" s="61">
        <f>IFERROR(_xll.qlBachelierBlackFormulaImpliedVol(IF(O38&lt;$C$4,"Put","Call"),O38,$C$4,$C$7,Q38),"")</f>
        <v>6.6941053001546577E-3</v>
      </c>
      <c r="X38" s="61">
        <f>IFERROR(_xll.qlBachelierBlackFormulaImpliedVol(IF(O38&lt;$C$4,"Put","Call"),O38,$C$4,$C$7,R38),"")</f>
        <v>7.202000000000419E-3</v>
      </c>
      <c r="Y38" s="96">
        <f>_xll.qlSmileSectionVolatility($C$40,O38+$C$31)</f>
        <v>6.8618676280850178E-3</v>
      </c>
    </row>
    <row r="39" spans="2:25">
      <c r="B39" s="86" t="s">
        <v>76</v>
      </c>
      <c r="C39" s="91" t="b">
        <v>0</v>
      </c>
      <c r="O39" s="37">
        <f t="shared" si="0"/>
        <v>-6.6000000000000095E-3</v>
      </c>
      <c r="P39" s="38" t="str">
        <f>IFERROR(_xll.qlBlackFormula(IF(O39&lt;$C$4,"Put","Call"),O39,$C$4,$C$9*SQRT($C$7)),"")</f>
        <v/>
      </c>
      <c r="Q39" s="39">
        <f>IFERROR(_xll.qlBlackFormula(IF(O39&lt;$C$4,"Put","Call"),O39,$C$4,$C$10*SQRT($C$7),,$C$11),"")</f>
        <v>1.8830284542511837E-3</v>
      </c>
      <c r="R39" s="40">
        <f>IFERROR(_xll.qlBachelierBlackFormula(IF(O39&lt;$C$4,"Put","Call"),O39,$C$4,$C$12*SQRT($C$7)),"")</f>
        <v>2.2228417043983757E-3</v>
      </c>
      <c r="S39" s="41" t="str">
        <f>IFERROR((_xll.qlBlackFormula(IF(O39&lt;$C$4,"Put","Call"),O39+$C$14,$C$4,$C$9*SQRT($C$7))-
2*_xll.qlBlackFormula(IF(O39&lt;$C$4,"Put","Call"),O39,$C$4,$C$9*SQRT($C$7))+
_xll.qlBlackFormula(IF(O39&lt;$C$4,"Put","Call"),O39-$C$14,$C$4,$C$9*SQRT($C$7)))/$C$14^2,"")</f>
        <v/>
      </c>
      <c r="T39" s="42">
        <f>IFERROR((_xll.qlBlackFormula(IF(O39&lt;$C$4,"Put","Call"),O39+$C$14,$C$4,$C$10*SQRT($C$7),,$C$11)-
2*_xll.qlBlackFormula(IF(O39&lt;$C$4,"Put","Call"),O39,$C$4,$C$10*SQRT($C$7),,$C$11)+
_xll.qlBlackFormula(IF(O39&lt;$C$4,"Put","Call"),O39-$C$14,$C$4,$C$10*SQRT($C$7),,$C$11))/$C$14^2,"")</f>
        <v>22.756335010809536</v>
      </c>
      <c r="U39" s="43">
        <f>IFERROR((_xll.qlBachelierBlackFormula(IF(O39&lt;$C$4,"Put","Call"),O39+$C$14,$C$4,$C$12*SQRT($C$7))-
2*_xll.qlBachelierBlackFormula(IF(O39&lt;$C$4,"Put","Call"),O39,$C$4,$C$12*SQRT($C$7))+
_xll.qlBachelierBlackFormula(IF(O39&lt;$C$4,"Put","Call"),O39-$C$14,$C$4,$C$12*SQRT($C$7)))/$C$14^2,"")</f>
        <v>19.111977191815789</v>
      </c>
      <c r="V39" s="61" t="str">
        <f>IFERROR(_xll.qlBachelierBlackFormulaImpliedVol(IF(O39&lt;$C$4,"Put","Call"),O39,$C$4,$C$7,P39),"")</f>
        <v/>
      </c>
      <c r="W39" s="61">
        <f>IFERROR(_xll.qlBachelierBlackFormulaImpliedVol(IF(O39&lt;$C$4,"Put","Call"),O39,$C$4,$C$7,Q39),"")</f>
        <v>6.698557805977029E-3</v>
      </c>
      <c r="X39" s="61">
        <f>IFERROR(_xll.qlBachelierBlackFormulaImpliedVol(IF(O39&lt;$C$4,"Put","Call"),O39,$C$4,$C$7,R39),"")</f>
        <v>7.2020000000003618E-3</v>
      </c>
      <c r="Y39" s="96">
        <f>_xll.qlSmileSectionVolatility($C$40,O39+$C$31)</f>
        <v>6.8634714237077038E-3</v>
      </c>
    </row>
    <row r="40" spans="2:25">
      <c r="B40" s="86" t="s">
        <v>65</v>
      </c>
      <c r="C40" s="93" t="str">
        <f t="array" ref="C40">_xll.qlSabrInterpolatedSmileSection(,C30,C4+C31,B18:B26+C31,FALSE,C22,C18:C26,C32,C33,C34,C35,C36,C37,C38,C39,,,,,,TRUE)</f>
        <v>obj_0003e#0007</v>
      </c>
      <c r="O40" s="37">
        <f t="shared" si="0"/>
        <v>-6.5000000000000092E-3</v>
      </c>
      <c r="P40" s="38" t="str">
        <f>IFERROR(_xll.qlBlackFormula(IF(O40&lt;$C$4,"Put","Call"),O40,$C$4,$C$9*SQRT($C$7)),"")</f>
        <v/>
      </c>
      <c r="Q40" s="39">
        <f>IFERROR(_xll.qlBlackFormula(IF(O40&lt;$C$4,"Put","Call"),O40,$C$4,$C$10*SQRT($C$7),,$C$11),"")</f>
        <v>1.9080178155610542E-3</v>
      </c>
      <c r="R40" s="40">
        <f>IFERROR(_xll.qlBachelierBlackFormula(IF(O40&lt;$C$4,"Put","Call"),O40,$C$4,$C$12*SQRT($C$7)),"")</f>
        <v>2.2465040923258395E-3</v>
      </c>
      <c r="S40" s="41" t="str">
        <f>IFERROR((_xll.qlBlackFormula(IF(O40&lt;$C$4,"Put","Call"),O40+$C$14,$C$4,$C$9*SQRT($C$7))-
2*_xll.qlBlackFormula(IF(O40&lt;$C$4,"Put","Call"),O40,$C$4,$C$9*SQRT($C$7))+
_xll.qlBlackFormula(IF(O40&lt;$C$4,"Put","Call"),O40-$C$14,$C$4,$C$9*SQRT($C$7)))/$C$14^2,"")</f>
        <v/>
      </c>
      <c r="T40" s="42">
        <f>IFERROR((_xll.qlBlackFormula(IF(O40&lt;$C$4,"Put","Call"),O40+$C$14,$C$4,$C$10*SQRT($C$7),,$C$11)-
2*_xll.qlBlackFormula(IF(O40&lt;$C$4,"Put","Call"),O40,$C$4,$C$10*SQRT($C$7),,$C$11)+
_xll.qlBlackFormula(IF(O40&lt;$C$4,"Put","Call"),O40-$C$14,$C$4,$C$10*SQRT($C$7),,$C$11))/$C$14^2,"")</f>
        <v>22.835695140388523</v>
      </c>
      <c r="U40" s="43">
        <f>IFERROR((_xll.qlBachelierBlackFormula(IF(O40&lt;$C$4,"Put","Call"),O40+$C$14,$C$4,$C$12*SQRT($C$7))-
2*_xll.qlBachelierBlackFormula(IF(O40&lt;$C$4,"Put","Call"),O40,$C$4,$C$12*SQRT($C$7))+
_xll.qlBachelierBlackFormula(IF(O40&lt;$C$4,"Put","Call"),O40-$C$14,$C$4,$C$12*SQRT($C$7)))/$C$14^2,"")</f>
        <v>19.197284387151292</v>
      </c>
      <c r="V40" s="61" t="str">
        <f>IFERROR(_xll.qlBachelierBlackFormulaImpliedVol(IF(O40&lt;$C$4,"Put","Call"),O40,$C$4,$C$7,P40),"")</f>
        <v/>
      </c>
      <c r="W40" s="61">
        <f>IFERROR(_xll.qlBachelierBlackFormulaImpliedVol(IF(O40&lt;$C$4,"Put","Call"),O40,$C$4,$C$7,Q40),"")</f>
        <v>6.7030082406223301E-3</v>
      </c>
      <c r="X40" s="61">
        <f>IFERROR(_xll.qlBachelierBlackFormulaImpliedVol(IF(O40&lt;$C$4,"Put","Call"),O40,$C$4,$C$7,R40),"")</f>
        <v>7.202000000000301E-3</v>
      </c>
      <c r="Y40" s="96">
        <f>_xll.qlSmileSectionVolatility($C$40,O40+$C$31)</f>
        <v>6.8650959069330138E-3</v>
      </c>
    </row>
    <row r="41" spans="2:25">
      <c r="B41" s="89" t="s">
        <v>62</v>
      </c>
      <c r="C41" s="95">
        <f>_xll.qlSabrInterpolatedSmileSectionAlpha(C40)</f>
        <v>5.3795826163365264E-2</v>
      </c>
      <c r="O41" s="37">
        <f t="shared" si="0"/>
        <v>-6.400000000000009E-3</v>
      </c>
      <c r="P41" s="38" t="str">
        <f>IFERROR(_xll.qlBlackFormula(IF(O41&lt;$C$4,"Put","Call"),O41,$C$4,$C$9*SQRT($C$7)),"")</f>
        <v/>
      </c>
      <c r="Q41" s="39">
        <f>IFERROR(_xll.qlBlackFormula(IF(O41&lt;$C$4,"Put","Call"),O41,$C$4,$C$10*SQRT($C$7),,$C$11),"")</f>
        <v>1.9332355329177951E-3</v>
      </c>
      <c r="R41" s="40">
        <f>IFERROR(_xll.qlBachelierBlackFormula(IF(O41&lt;$C$4,"Put","Call"),O41,$C$4,$C$12*SQRT($C$7)),"")</f>
        <v>2.2703584527911484E-3</v>
      </c>
      <c r="S41" s="41" t="str">
        <f>IFERROR((_xll.qlBlackFormula(IF(O41&lt;$C$4,"Put","Call"),O41+$C$14,$C$4,$C$9*SQRT($C$7))-
2*_xll.qlBlackFormula(IF(O41&lt;$C$4,"Put","Call"),O41,$C$4,$C$9*SQRT($C$7))+
_xll.qlBlackFormula(IF(O41&lt;$C$4,"Put","Call"),O41-$C$14,$C$4,$C$9*SQRT($C$7)))/$C$14^2,"")</f>
        <v/>
      </c>
      <c r="T41" s="42">
        <f>IFERROR((_xll.qlBlackFormula(IF(O41&lt;$C$4,"Put","Call"),O41+$C$14,$C$4,$C$10*SQRT($C$7),,$C$11)-
2*_xll.qlBlackFormula(IF(O41&lt;$C$4,"Put","Call"),O41,$C$4,$C$10*SQRT($C$7),,$C$11)+
_xll.qlBlackFormula(IF(O41&lt;$C$4,"Put","Call"),O41-$C$14,$C$4,$C$10*SQRT($C$7),,$C$11))/$C$14^2,"")</f>
        <v>22.914017905328876</v>
      </c>
      <c r="U41" s="43">
        <f>IFERROR((_xll.qlBachelierBlackFormula(IF(O41&lt;$C$4,"Put","Call"),O41+$C$14,$C$4,$C$12*SQRT($C$7))-
2*_xll.qlBachelierBlackFormula(IF(O41&lt;$C$4,"Put","Call"),O41,$C$4,$C$12*SQRT($C$7))+
_xll.qlBachelierBlackFormula(IF(O41&lt;$C$4,"Put","Call"),O41-$C$14,$C$4,$C$12*SQRT($C$7)))/$C$14^2,"")</f>
        <v>19.282225989514234</v>
      </c>
      <c r="V41" s="61" t="str">
        <f>IFERROR(_xll.qlBachelierBlackFormulaImpliedVol(IF(O41&lt;$C$4,"Put","Call"),O41,$C$4,$C$7,P41),"")</f>
        <v/>
      </c>
      <c r="W41" s="61">
        <f>IFERROR(_xll.qlBachelierBlackFormulaImpliedVol(IF(O41&lt;$C$4,"Put","Call"),O41,$C$4,$C$7,Q41),"")</f>
        <v>6.7074566083366151E-3</v>
      </c>
      <c r="X41" s="61">
        <f>IFERROR(_xll.qlBachelierBlackFormulaImpliedVol(IF(O41&lt;$C$4,"Put","Call"),O41,$C$4,$C$7,R41),"")</f>
        <v>7.2020000000002412E-3</v>
      </c>
      <c r="Y41" s="96">
        <f>_xll.qlSmileSectionVolatility($C$40,O41+$C$31)</f>
        <v>6.8667411644122633E-3</v>
      </c>
    </row>
    <row r="42" spans="2:25">
      <c r="B42" s="89" t="s">
        <v>63</v>
      </c>
      <c r="C42" s="93">
        <f>_xll.qlSabrInterpolatedSmileSectionBeta(C40)</f>
        <v>0.7</v>
      </c>
      <c r="O42" s="37">
        <f t="shared" si="0"/>
        <v>-6.3000000000000087E-3</v>
      </c>
      <c r="P42" s="38" t="str">
        <f>IFERROR(_xll.qlBlackFormula(IF(O42&lt;$C$4,"Put","Call"),O42,$C$4,$C$9*SQRT($C$7)),"")</f>
        <v/>
      </c>
      <c r="Q42" s="39">
        <f>IFERROR(_xll.qlBlackFormula(IF(O42&lt;$C$4,"Put","Call"),O42,$C$4,$C$10*SQRT($C$7),,$C$11),"")</f>
        <v>1.9586823896593358E-3</v>
      </c>
      <c r="R42" s="40">
        <f>IFERROR(_xll.qlBachelierBlackFormula(IF(O42&lt;$C$4,"Put","Call"),O42,$C$4,$C$12*SQRT($C$7)),"")</f>
        <v>2.2944056352184631E-3</v>
      </c>
      <c r="S42" s="41" t="str">
        <f>IFERROR((_xll.qlBlackFormula(IF(O42&lt;$C$4,"Put","Call"),O42+$C$14,$C$4,$C$9*SQRT($C$7))-
2*_xll.qlBlackFormula(IF(O42&lt;$C$4,"Put","Call"),O42,$C$4,$C$9*SQRT($C$7))+
_xll.qlBlackFormula(IF(O42&lt;$C$4,"Put","Call"),O42-$C$14,$C$4,$C$9*SQRT($C$7)))/$C$14^2,"")</f>
        <v/>
      </c>
      <c r="T42" s="42">
        <f>IFERROR((_xll.qlBlackFormula(IF(O42&lt;$C$4,"Put","Call"),O42+$C$14,$C$4,$C$10*SQRT($C$7),,$C$11)-
2*_xll.qlBlackFormula(IF(O42&lt;$C$4,"Put","Call"),O42,$C$4,$C$10*SQRT($C$7),,$C$11)+
_xll.qlBlackFormula(IF(O42&lt;$C$4,"Put","Call"),O42-$C$14,$C$4,$C$10*SQRT($C$7),,$C$11))/$C$14^2,"")</f>
        <v>22.991344938994018</v>
      </c>
      <c r="U42" s="43">
        <f>IFERROR((_xll.qlBachelierBlackFormula(IF(O42&lt;$C$4,"Put","Call"),O42+$C$14,$C$4,$C$12*SQRT($C$7))-
2*_xll.qlBachelierBlackFormula(IF(O42&lt;$C$4,"Put","Call"),O42,$C$4,$C$12*SQRT($C$7))+
_xll.qlBachelierBlackFormula(IF(O42&lt;$C$4,"Put","Call"),O42-$C$14,$C$4,$C$12*SQRT($C$7)))/$C$14^2,"")</f>
        <v>19.36679983050027</v>
      </c>
      <c r="V42" s="61" t="str">
        <f>IFERROR(_xll.qlBachelierBlackFormulaImpliedVol(IF(O42&lt;$C$4,"Put","Call"),O42,$C$4,$C$7,P42),"")</f>
        <v/>
      </c>
      <c r="W42" s="61">
        <f>IFERROR(_xll.qlBachelierBlackFormulaImpliedVol(IF(O42&lt;$C$4,"Put","Call"),O42,$C$4,$C$7,Q42),"")</f>
        <v>6.7119029133511868E-3</v>
      </c>
      <c r="X42" s="61">
        <f>IFERROR(_xll.qlBachelierBlackFormulaImpliedVol(IF(O42&lt;$C$4,"Put","Call"),O42,$C$4,$C$7,R42),"")</f>
        <v>7.2020000000001805E-3</v>
      </c>
      <c r="Y42" s="96">
        <f>_xll.qlSmileSectionVolatility($C$40,O42+$C$31)</f>
        <v>6.8684072819834071E-3</v>
      </c>
    </row>
    <row r="43" spans="2:25">
      <c r="B43" s="89" t="s">
        <v>68</v>
      </c>
      <c r="C43" s="97">
        <f>_xll.qlSabrInterpolatedSmileSectionNu(C40)</f>
        <v>0.23907947923510342</v>
      </c>
      <c r="O43" s="37">
        <f t="shared" si="0"/>
        <v>-6.2000000000000085E-3</v>
      </c>
      <c r="P43" s="38" t="str">
        <f>IFERROR(_xll.qlBlackFormula(IF(O43&lt;$C$4,"Put","Call"),O43,$C$4,$C$9*SQRT($C$7)),"")</f>
        <v/>
      </c>
      <c r="Q43" s="39">
        <f>IFERROR(_xll.qlBlackFormula(IF(O43&lt;$C$4,"Put","Call"),O43,$C$4,$C$10*SQRT($C$7),,$C$11),"")</f>
        <v>1.9843591589607974E-3</v>
      </c>
      <c r="R43" s="40">
        <f>IFERROR(_xll.qlBachelierBlackFormula(IF(O43&lt;$C$4,"Put","Call"),O43,$C$4,$C$12*SQRT($C$7)),"")</f>
        <v>2.3186464853227184E-3</v>
      </c>
      <c r="S43" s="41" t="str">
        <f>IFERROR((_xll.qlBlackFormula(IF(O43&lt;$C$4,"Put","Call"),O43+$C$14,$C$4,$C$9*SQRT($C$7))-
2*_xll.qlBlackFormula(IF(O43&lt;$C$4,"Put","Call"),O43,$C$4,$C$9*SQRT($C$7))+
_xll.qlBlackFormula(IF(O43&lt;$C$4,"Put","Call"),O43-$C$14,$C$4,$C$9*SQRT($C$7)))/$C$14^2,"")</f>
        <v/>
      </c>
      <c r="T43" s="42">
        <f>IFERROR((_xll.qlBlackFormula(IF(O43&lt;$C$4,"Put","Call"),O43+$C$14,$C$4,$C$10*SQRT($C$7),,$C$11)-
2*_xll.qlBlackFormula(IF(O43&lt;$C$4,"Put","Call"),O43,$C$4,$C$10*SQRT($C$7),,$C$11)+
_xll.qlBlackFormula(IF(O43&lt;$C$4,"Put","Call"),O43-$C$14,$C$4,$C$10*SQRT($C$7),,$C$11))/$C$14^2,"")</f>
        <v>23.06764154691443</v>
      </c>
      <c r="U43" s="43">
        <f>IFERROR((_xll.qlBachelierBlackFormula(IF(O43&lt;$C$4,"Put","Call"),O43+$C$14,$C$4,$C$12*SQRT($C$7))-
2*_xll.qlBachelierBlackFormula(IF(O43&lt;$C$4,"Put","Call"),O43,$C$4,$C$12*SQRT($C$7))+
_xll.qlBachelierBlackFormula(IF(O43&lt;$C$4,"Put","Call"),O43-$C$14,$C$4,$C$12*SQRT($C$7)))/$C$14^2,"")</f>
        <v>19.450992899683328</v>
      </c>
      <c r="V43" s="61" t="str">
        <f>IFERROR(_xll.qlBachelierBlackFormulaImpliedVol(IF(O43&lt;$C$4,"Put","Call"),O43,$C$4,$C$7,P43),"")</f>
        <v/>
      </c>
      <c r="W43" s="61">
        <f>IFERROR(_xll.qlBachelierBlackFormulaImpliedVol(IF(O43&lt;$C$4,"Put","Call"),O43,$C$4,$C$7,Q43),"")</f>
        <v>6.7163471598828536E-3</v>
      </c>
      <c r="X43" s="61">
        <f>IFERROR(_xll.qlBachelierBlackFormulaImpliedVol(IF(O43&lt;$C$4,"Put","Call"),O43,$C$4,$C$7,R43),"")</f>
        <v>7.2020000000001267E-3</v>
      </c>
      <c r="Y43" s="96">
        <f>_xll.qlSmileSectionVolatility($C$40,O43+$C$31)</f>
        <v>6.8700943446621549E-3</v>
      </c>
    </row>
    <row r="44" spans="2:25">
      <c r="B44" s="89" t="s">
        <v>69</v>
      </c>
      <c r="C44" s="97">
        <f>_xll.qlSabrInterpolatedSmileSectionRho(C40)</f>
        <v>-2.1146520251367946E-2</v>
      </c>
      <c r="O44" s="37">
        <f t="shared" si="0"/>
        <v>-6.1000000000000082E-3</v>
      </c>
      <c r="P44" s="38" t="str">
        <f>IFERROR(_xll.qlBlackFormula(IF(O44&lt;$C$4,"Put","Call"),O44,$C$4,$C$9*SQRT($C$7)),"")</f>
        <v/>
      </c>
      <c r="Q44" s="39">
        <f>IFERROR(_xll.qlBlackFormula(IF(O44&lt;$C$4,"Put","Call"),O44,$C$4,$C$10*SQRT($C$7),,$C$11),"")</f>
        <v>2.010266603764542E-3</v>
      </c>
      <c r="R44" s="40">
        <f>IFERROR(_xll.qlBachelierBlackFormula(IF(O44&lt;$C$4,"Put","Call"),O44,$C$4,$C$12*SQRT($C$7)),"")</f>
        <v>2.3430818450279854E-3</v>
      </c>
      <c r="S44" s="41" t="str">
        <f>IFERROR((_xll.qlBlackFormula(IF(O44&lt;$C$4,"Put","Call"),O44+$C$14,$C$4,$C$9*SQRT($C$7))-
2*_xll.qlBlackFormula(IF(O44&lt;$C$4,"Put","Call"),O44,$C$4,$C$9*SQRT($C$7))+
_xll.qlBlackFormula(IF(O44&lt;$C$4,"Put","Call"),O44-$C$14,$C$4,$C$9*SQRT($C$7)))/$C$14^2,"")</f>
        <v/>
      </c>
      <c r="T44" s="42">
        <f>IFERROR((_xll.qlBlackFormula(IF(O44&lt;$C$4,"Put","Call"),O44+$C$14,$C$4,$C$10*SQRT($C$7),,$C$11)-
2*_xll.qlBlackFormula(IF(O44&lt;$C$4,"Put","Call"),O44,$C$4,$C$10*SQRT($C$7),,$C$11)+
_xll.qlBlackFormula(IF(O44&lt;$C$4,"Put","Call"),O44-$C$14,$C$4,$C$10*SQRT($C$7),,$C$11))/$C$14^2,"")</f>
        <v>23.142897320749256</v>
      </c>
      <c r="U44" s="43">
        <f>IFERROR((_xll.qlBachelierBlackFormula(IF(O44&lt;$C$4,"Put","Call"),O44+$C$14,$C$4,$C$12*SQRT($C$7))-
2*_xll.qlBachelierBlackFormula(IF(O44&lt;$C$4,"Put","Call"),O44,$C$4,$C$12*SQRT($C$7))+
_xll.qlBachelierBlackFormula(IF(O44&lt;$C$4,"Put","Call"),O44-$C$14,$C$4,$C$12*SQRT($C$7)))/$C$14^2,"")</f>
        <v>19.534798258169506</v>
      </c>
      <c r="V44" s="61" t="str">
        <f>IFERROR(_xll.qlBachelierBlackFormulaImpliedVol(IF(O44&lt;$C$4,"Put","Call"),O44,$C$4,$C$7,P44),"")</f>
        <v/>
      </c>
      <c r="W44" s="61">
        <f>IFERROR(_xll.qlBachelierBlackFormulaImpliedVol(IF(O44&lt;$C$4,"Put","Call"),O44,$C$4,$C$7,Q44),"")</f>
        <v>6.7207893521338798E-3</v>
      </c>
      <c r="X44" s="61">
        <f>IFERROR(_xll.qlBachelierBlackFormulaImpliedVol(IF(O44&lt;$C$4,"Put","Call"),O44,$C$4,$C$7,R44),"")</f>
        <v>7.2020000000000738E-3</v>
      </c>
      <c r="Y44" s="96">
        <f>_xll.qlSmileSectionVolatility($C$40,O44+$C$31)</f>
        <v>6.8718024366330125E-3</v>
      </c>
    </row>
    <row r="45" spans="2:25">
      <c r="O45" s="37">
        <f t="shared" si="0"/>
        <v>-6.0000000000000079E-3</v>
      </c>
      <c r="P45" s="38" t="str">
        <f>IFERROR(_xll.qlBlackFormula(IF(O45&lt;$C$4,"Put","Call"),O45,$C$4,$C$9*SQRT($C$7)),"")</f>
        <v/>
      </c>
      <c r="Q45" s="39">
        <f>IFERROR(_xll.qlBlackFormula(IF(O45&lt;$C$4,"Put","Call"),O45,$C$4,$C$10*SQRT($C$7),,$C$11),"")</f>
        <v>2.0364054767120394E-3</v>
      </c>
      <c r="R45" s="40">
        <f>IFERROR(_xll.qlBachelierBlackFormula(IF(O45&lt;$C$4,"Put","Call"),O45,$C$4,$C$12*SQRT($C$7)),"")</f>
        <v>2.3677125523859283E-3</v>
      </c>
      <c r="S45" s="41" t="str">
        <f>IFERROR((_xll.qlBlackFormula(IF(O45&lt;$C$4,"Put","Call"),O45+$C$14,$C$4,$C$9*SQRT($C$7))-
2*_xll.qlBlackFormula(IF(O45&lt;$C$4,"Put","Call"),O45,$C$4,$C$9*SQRT($C$7))+
_xll.qlBlackFormula(IF(O45&lt;$C$4,"Put","Call"),O45-$C$14,$C$4,$C$9*SQRT($C$7)))/$C$14^2,"")</f>
        <v/>
      </c>
      <c r="T45" s="42">
        <f>IFERROR((_xll.qlBlackFormula(IF(O45&lt;$C$4,"Put","Call"),O45+$C$14,$C$4,$C$10*SQRT($C$7),,$C$11)-
2*_xll.qlBlackFormula(IF(O45&lt;$C$4,"Put","Call"),O45,$C$4,$C$10*SQRT($C$7),,$C$11)+
_xll.qlBlackFormula(IF(O45&lt;$C$4,"Put","Call"),O45-$C$14,$C$4,$C$10*SQRT($C$7),,$C$11))/$C$14^2,"")</f>
        <v>23.217126138286304</v>
      </c>
      <c r="U45" s="43">
        <f>IFERROR((_xll.qlBachelierBlackFormula(IF(O45&lt;$C$4,"Put","Call"),O45+$C$14,$C$4,$C$12*SQRT($C$7))-
2*_xll.qlBachelierBlackFormula(IF(O45&lt;$C$4,"Put","Call"),O45,$C$4,$C$12*SQRT($C$7))+
_xll.qlBachelierBlackFormula(IF(O45&lt;$C$4,"Put","Call"),O45-$C$14,$C$4,$C$12*SQRT($C$7)))/$C$14^2,"")</f>
        <v>19.61820809970316</v>
      </c>
      <c r="V45" s="61" t="str">
        <f>IFERROR(_xll.qlBachelierBlackFormulaImpliedVol(IF(O45&lt;$C$4,"Put","Call"),O45,$C$4,$C$7,P45),"")</f>
        <v/>
      </c>
      <c r="W45" s="61">
        <f>IFERROR(_xll.qlBachelierBlackFormulaImpliedVol(IF(O45&lt;$C$4,"Put","Call"),O45,$C$4,$C$7,Q45),"")</f>
        <v>6.7252294942920735E-3</v>
      </c>
      <c r="X45" s="61">
        <f>IFERROR(_xll.qlBachelierBlackFormulaImpliedVol(IF(O45&lt;$C$4,"Put","Call"),O45,$C$4,$C$7,R45),"")</f>
        <v>7.2020000000000183E-3</v>
      </c>
      <c r="Y45" s="96">
        <f>_xll.qlSmileSectionVolatility($C$40,O45+$C$31)</f>
        <v>6.8735316412405593E-3</v>
      </c>
    </row>
    <row r="46" spans="2:25">
      <c r="O46" s="37">
        <f t="shared" si="0"/>
        <v>-5.9000000000000077E-3</v>
      </c>
      <c r="P46" s="38" t="str">
        <f>IFERROR(_xll.qlBlackFormula(IF(O46&lt;$C$4,"Put","Call"),O46,$C$4,$C$9*SQRT($C$7)),"")</f>
        <v/>
      </c>
      <c r="Q46" s="39">
        <f>IFERROR(_xll.qlBlackFormula(IF(O46&lt;$C$4,"Put","Call"),O46,$C$4,$C$10*SQRT($C$7),,$C$11),"")</f>
        <v>2.0627765200774834E-3</v>
      </c>
      <c r="R46" s="40">
        <f>IFERROR(_xll.qlBachelierBlackFormula(IF(O46&lt;$C$4,"Put","Call"),O46,$C$4,$C$12*SQRT($C$7)),"")</f>
        <v>2.3925394414943519E-3</v>
      </c>
      <c r="S46" s="41" t="str">
        <f>IFERROR((_xll.qlBlackFormula(IF(O46&lt;$C$4,"Put","Call"),O46+$C$14,$C$4,$C$9*SQRT($C$7))-
2*_xll.qlBlackFormula(IF(O46&lt;$C$4,"Put","Call"),O46,$C$4,$C$9*SQRT($C$7))+
_xll.qlBlackFormula(IF(O46&lt;$C$4,"Put","Call"),O46-$C$14,$C$4,$C$9*SQRT($C$7)))/$C$14^2,"")</f>
        <v/>
      </c>
      <c r="T46" s="42">
        <f>IFERROR((_xll.qlBlackFormula(IF(O46&lt;$C$4,"Put","Call"),O46+$C$14,$C$4,$C$10*SQRT($C$7),,$C$11)-
2*_xll.qlBlackFormula(IF(O46&lt;$C$4,"Put","Call"),O46,$C$4,$C$10*SQRT($C$7),,$C$11)+
_xll.qlBlackFormula(IF(O46&lt;$C$4,"Put","Call"),O46-$C$14,$C$4,$C$10*SQRT($C$7),,$C$11))/$C$14^2,"")</f>
        <v>23.290317591184717</v>
      </c>
      <c r="U46" s="43">
        <f>IFERROR((_xll.qlBachelierBlackFormula(IF(O46&lt;$C$4,"Put","Call"),O46+$C$14,$C$4,$C$12*SQRT($C$7))-
2*_xll.qlBachelierBlackFormula(IF(O46&lt;$C$4,"Put","Call"),O46,$C$4,$C$12*SQRT($C$7))+
_xll.qlBachelierBlackFormula(IF(O46&lt;$C$4,"Put","Call"),O46-$C$14,$C$4,$C$12*SQRT($C$7)))/$C$14^2,"")</f>
        <v>19.701213750666913</v>
      </c>
      <c r="V46" s="61" t="str">
        <f>IFERROR(_xll.qlBachelierBlackFormulaImpliedVol(IF(O46&lt;$C$4,"Put","Call"),O46,$C$4,$C$7,P46),"")</f>
        <v/>
      </c>
      <c r="W46" s="61">
        <f>IFERROR(_xll.qlBachelierBlackFormulaImpliedVol(IF(O46&lt;$C$4,"Put","Call"),O46,$C$4,$C$7,Q46),"")</f>
        <v>6.7296675905308967E-3</v>
      </c>
      <c r="X46" s="61">
        <f>IFERROR(_xll.qlBachelierBlackFormulaImpliedVol(IF(O46&lt;$C$4,"Put","Call"),O46,$C$4,$C$7,R46),"")</f>
        <v>7.201999999999968E-3</v>
      </c>
      <c r="Y46" s="96">
        <f>_xll.qlSmileSectionVolatility($C$40,O46+$C$31)</f>
        <v>6.8752820409806797E-3</v>
      </c>
    </row>
    <row r="47" spans="2:25">
      <c r="O47" s="37">
        <f t="shared" si="0"/>
        <v>-5.8000000000000074E-3</v>
      </c>
      <c r="P47" s="38" t="str">
        <f>IFERROR(_xll.qlBlackFormula(IF(O47&lt;$C$4,"Put","Call"),O47,$C$4,$C$9*SQRT($C$7)),"")</f>
        <v/>
      </c>
      <c r="Q47" s="39">
        <f>IFERROR(_xll.qlBlackFormula(IF(O47&lt;$C$4,"Put","Call"),O47,$C$4,$C$10*SQRT($C$7),,$C$11),"")</f>
        <v>2.0893804657031133E-3</v>
      </c>
      <c r="R47" s="40">
        <f>IFERROR(_xll.qlBachelierBlackFormula(IF(O47&lt;$C$4,"Put","Call"),O47,$C$4,$C$12*SQRT($C$7)),"")</f>
        <v>2.4175633424158597E-3</v>
      </c>
      <c r="S47" s="41" t="str">
        <f>IFERROR((_xll.qlBlackFormula(IF(O47&lt;$C$4,"Put","Call"),O47+$C$14,$C$4,$C$9*SQRT($C$7))-
2*_xll.qlBlackFormula(IF(O47&lt;$C$4,"Put","Call"),O47,$C$4,$C$9*SQRT($C$7))+
_xll.qlBlackFormula(IF(O47&lt;$C$4,"Put","Call"),O47-$C$14,$C$4,$C$9*SQRT($C$7)))/$C$14^2,"")</f>
        <v/>
      </c>
      <c r="T47" s="42">
        <f>IFERROR((_xll.qlBlackFormula(IF(O47&lt;$C$4,"Put","Call"),O47+$C$14,$C$4,$C$10*SQRT($C$7),,$C$11)-
2*_xll.qlBlackFormula(IF(O47&lt;$C$4,"Put","Call"),O47,$C$4,$C$10*SQRT($C$7),,$C$11)+
_xll.qlBlackFormula(IF(O47&lt;$C$4,"Put","Call"),O47-$C$14,$C$4,$C$10*SQRT($C$7),,$C$11))/$C$14^2,"")</f>
        <v>23.362433515528025</v>
      </c>
      <c r="U47" s="43">
        <f>IFERROR((_xll.qlBachelierBlackFormula(IF(O47&lt;$C$4,"Put","Call"),O47+$C$14,$C$4,$C$12*SQRT($C$7))-
2*_xll.qlBachelierBlackFormula(IF(O47&lt;$C$4,"Put","Call"),O47,$C$4,$C$12*SQRT($C$7))+
_xll.qlBachelierBlackFormula(IF(O47&lt;$C$4,"Put","Call"),O47-$C$14,$C$4,$C$12*SQRT($C$7)))/$C$14^2,"")</f>
        <v>19.783808705847729</v>
      </c>
      <c r="V47" s="61" t="str">
        <f>IFERROR(_xll.qlBachelierBlackFormulaImpliedVol(IF(O47&lt;$C$4,"Put","Call"),O47,$C$4,$C$7,P47),"")</f>
        <v/>
      </c>
      <c r="W47" s="61">
        <f>IFERROR(_xll.qlBachelierBlackFormulaImpliedVol(IF(O47&lt;$C$4,"Put","Call"),O47,$C$4,$C$7,Q47),"")</f>
        <v>6.7341036450095032E-3</v>
      </c>
      <c r="X47" s="61">
        <f>IFERROR(_xll.qlBachelierBlackFormulaImpliedVol(IF(O47&lt;$C$4,"Put","Call"),O47,$C$4,$C$7,R47),"")</f>
        <v>7.2019999999999159E-3</v>
      </c>
      <c r="Y47" s="96">
        <f>_xll.qlSmileSectionVolatility($C$40,O47+$C$31)</f>
        <v>6.8770537174918994E-3</v>
      </c>
    </row>
    <row r="48" spans="2:25">
      <c r="O48" s="37">
        <f t="shared" si="0"/>
        <v>-5.7000000000000071E-3</v>
      </c>
      <c r="P48" s="38" t="str">
        <f>IFERROR(_xll.qlBlackFormula(IF(O48&lt;$C$4,"Put","Call"),O48,$C$4,$C$9*SQRT($C$7)),"")</f>
        <v/>
      </c>
      <c r="Q48" s="39">
        <f>IFERROR(_xll.qlBlackFormula(IF(O48&lt;$C$4,"Put","Call"),O48,$C$4,$C$10*SQRT($C$7),,$C$11),"")</f>
        <v>2.1162180349363138E-3</v>
      </c>
      <c r="R48" s="40">
        <f>IFERROR(_xll.qlBachelierBlackFormula(IF(O48&lt;$C$4,"Put","Call"),O48,$C$4,$C$12*SQRT($C$7)),"")</f>
        <v>2.4427850810966384E-3</v>
      </c>
      <c r="S48" s="41" t="str">
        <f>IFERROR((_xll.qlBlackFormula(IF(O48&lt;$C$4,"Put","Call"),O48+$C$14,$C$4,$C$9*SQRT($C$7))-
2*_xll.qlBlackFormula(IF(O48&lt;$C$4,"Put","Call"),O48,$C$4,$C$9*SQRT($C$7))+
_xll.qlBlackFormula(IF(O48&lt;$C$4,"Put","Call"),O48-$C$14,$C$4,$C$9*SQRT($C$7)))/$C$14^2,"")</f>
        <v/>
      </c>
      <c r="T48" s="42">
        <f>IFERROR((_xll.qlBlackFormula(IF(O48&lt;$C$4,"Put","Call"),O48+$C$14,$C$4,$C$10*SQRT($C$7),,$C$11)-
2*_xll.qlBlackFormula(IF(O48&lt;$C$4,"Put","Call"),O48,$C$4,$C$10*SQRT($C$7),,$C$11)+
_xll.qlBlackFormula(IF(O48&lt;$C$4,"Put","Call"),O48-$C$14,$C$4,$C$10*SQRT($C$7),,$C$11))/$C$14^2,"")</f>
        <v>23.433529422467458</v>
      </c>
      <c r="U48" s="43">
        <f>IFERROR((_xll.qlBachelierBlackFormula(IF(O48&lt;$C$4,"Put","Call"),O48+$C$14,$C$4,$C$12*SQRT($C$7))-
2*_xll.qlBachelierBlackFormula(IF(O48&lt;$C$4,"Put","Call"),O48,$C$4,$C$12*SQRT($C$7))+
_xll.qlBachelierBlackFormula(IF(O48&lt;$C$4,"Put","Call"),O48-$C$14,$C$4,$C$12*SQRT($C$7)))/$C$14^2,"")</f>
        <v>19.86598646003257</v>
      </c>
      <c r="V48" s="61" t="str">
        <f>IFERROR(_xll.qlBachelierBlackFormulaImpliedVol(IF(O48&lt;$C$4,"Put","Call"),O48,$C$4,$C$7,P48),"")</f>
        <v/>
      </c>
      <c r="W48" s="61">
        <f>IFERROR(_xll.qlBachelierBlackFormulaImpliedVol(IF(O48&lt;$C$4,"Put","Call"),O48,$C$4,$C$7,Q48),"")</f>
        <v>6.7385376618727998E-3</v>
      </c>
      <c r="X48" s="61">
        <f>IFERROR(_xll.qlBachelierBlackFormulaImpliedVol(IF(O48&lt;$C$4,"Put","Call"),O48,$C$4,$C$7,R48),"")</f>
        <v>7.201999999999876E-3</v>
      </c>
      <c r="Y48" s="96">
        <f>_xll.qlSmileSectionVolatility($C$40,O48+$C$31)</f>
        <v>6.8788467515466982E-3</v>
      </c>
    </row>
    <row r="49" spans="15:25">
      <c r="O49" s="37">
        <f t="shared" si="0"/>
        <v>-5.6000000000000069E-3</v>
      </c>
      <c r="P49" s="38" t="str">
        <f>IFERROR(_xll.qlBlackFormula(IF(O49&lt;$C$4,"Put","Call"),O49,$C$4,$C$9*SQRT($C$7)),"")</f>
        <v/>
      </c>
      <c r="Q49" s="39">
        <f>IFERROR(_xll.qlBlackFormula(IF(O49&lt;$C$4,"Put","Call"),O49,$C$4,$C$10*SQRT($C$7),,$C$11),"")</f>
        <v>2.1432899385684968E-3</v>
      </c>
      <c r="R49" s="40">
        <f>IFERROR(_xll.qlBachelierBlackFormula(IF(O49&lt;$C$4,"Put","Call"),O49,$C$4,$C$12*SQRT($C$7)),"")</f>
        <v>2.4682054792853694E-3</v>
      </c>
      <c r="S49" s="41" t="str">
        <f>IFERROR((_xll.qlBlackFormula(IF(O49&lt;$C$4,"Put","Call"),O49+$C$14,$C$4,$C$9*SQRT($C$7))-
2*_xll.qlBlackFormula(IF(O49&lt;$C$4,"Put","Call"),O49,$C$4,$C$9*SQRT($C$7))+
_xll.qlBlackFormula(IF(O49&lt;$C$4,"Put","Call"),O49-$C$14,$C$4,$C$9*SQRT($C$7)))/$C$14^2,"")</f>
        <v/>
      </c>
      <c r="T49" s="42">
        <f>IFERROR((_xll.qlBlackFormula(IF(O49&lt;$C$4,"Put","Call"),O49+$C$14,$C$4,$C$10*SQRT($C$7),,$C$11)-
2*_xll.qlBlackFormula(IF(O49&lt;$C$4,"Put","Call"),O49,$C$4,$C$10*SQRT($C$7),,$C$11)+
_xll.qlBlackFormula(IF(O49&lt;$C$4,"Put","Call"),O49-$C$14,$C$4,$C$10*SQRT($C$7),,$C$11))/$C$14^2,"")</f>
        <v>23.50355673974569</v>
      </c>
      <c r="U49" s="43">
        <f>IFERROR((_xll.qlBachelierBlackFormula(IF(O49&lt;$C$4,"Put","Call"),O49+$C$14,$C$4,$C$12*SQRT($C$7))-
2*_xll.qlBachelierBlackFormula(IF(O49&lt;$C$4,"Put","Call"),O49,$C$4,$C$12*SQRT($C$7))+
_xll.qlBachelierBlackFormula(IF(O49&lt;$C$4,"Put","Call"),O49-$C$14,$C$4,$C$12*SQRT($C$7)))/$C$14^2,"")</f>
        <v>19.947733569114501</v>
      </c>
      <c r="V49" s="61" t="str">
        <f>IFERROR(_xll.qlBachelierBlackFormulaImpliedVol(IF(O49&lt;$C$4,"Put","Call"),O49,$C$4,$C$7,P49),"")</f>
        <v/>
      </c>
      <c r="W49" s="61">
        <f>IFERROR(_xll.qlBachelierBlackFormulaImpliedVol(IF(O49&lt;$C$4,"Put","Call"),O49,$C$4,$C$7,Q49),"")</f>
        <v>6.7429696452515732E-3</v>
      </c>
      <c r="X49" s="61">
        <f>IFERROR(_xll.qlBachelierBlackFormulaImpliedVol(IF(O49&lt;$C$4,"Put","Call"),O49,$C$4,$C$7,R49),"")</f>
        <v>7.2019999999998309E-3</v>
      </c>
      <c r="Y49" s="96">
        <f>_xll.qlSmileSectionVolatility($C$40,O49+$C$31)</f>
        <v>6.8806612230430872E-3</v>
      </c>
    </row>
    <row r="50" spans="15:25">
      <c r="O50" s="37">
        <f t="shared" si="0"/>
        <v>-5.5000000000000066E-3</v>
      </c>
      <c r="P50" s="38" t="str">
        <f>IFERROR(_xll.qlBlackFormula(IF(O50&lt;$C$4,"Put","Call"),O50,$C$4,$C$9*SQRT($C$7)),"")</f>
        <v/>
      </c>
      <c r="Q50" s="39">
        <f>IFERROR(_xll.qlBlackFormula(IF(O50&lt;$C$4,"Put","Call"),O50,$C$4,$C$10*SQRT($C$7),,$C$11),"")</f>
        <v>2.1705968767756628E-3</v>
      </c>
      <c r="R50" s="40">
        <f>IFERROR(_xll.qlBachelierBlackFormula(IF(O50&lt;$C$4,"Put","Call"),O50,$C$4,$C$12*SQRT($C$7)),"")</f>
        <v>2.4938253544522933E-3</v>
      </c>
      <c r="S50" s="41" t="str">
        <f>IFERROR((_xll.qlBlackFormula(IF(O50&lt;$C$4,"Put","Call"),O50+$C$14,$C$4,$C$9*SQRT($C$7))-
2*_xll.qlBlackFormula(IF(O50&lt;$C$4,"Put","Call"),O50,$C$4,$C$9*SQRT($C$7))+
_xll.qlBlackFormula(IF(O50&lt;$C$4,"Put","Call"),O50-$C$14,$C$4,$C$9*SQRT($C$7)))/$C$14^2,"")</f>
        <v/>
      </c>
      <c r="T50" s="42">
        <f>IFERROR((_xll.qlBlackFormula(IF(O50&lt;$C$4,"Put","Call"),O50+$C$14,$C$4,$C$10*SQRT($C$7),,$C$11)-
2*_xll.qlBlackFormula(IF(O50&lt;$C$4,"Put","Call"),O50,$C$4,$C$10*SQRT($C$7),,$C$11)+
_xll.qlBlackFormula(IF(O50&lt;$C$4,"Put","Call"),O50-$C$14,$C$4,$C$10*SQRT($C$7),,$C$11))/$C$14^2,"")</f>
        <v>23.572494650681008</v>
      </c>
      <c r="U50" s="43">
        <f>IFERROR((_xll.qlBachelierBlackFormula(IF(O50&lt;$C$4,"Put","Call"),O50+$C$14,$C$4,$C$12*SQRT($C$7))-
2*_xll.qlBachelierBlackFormula(IF(O50&lt;$C$4,"Put","Call"),O50,$C$4,$C$12*SQRT($C$7))+
_xll.qlBachelierBlackFormula(IF(O50&lt;$C$4,"Put","Call"),O50-$C$14,$C$4,$C$12*SQRT($C$7)))/$C$14^2,"")</f>
        <v>20.029044395242224</v>
      </c>
      <c r="V50" s="61" t="str">
        <f>IFERROR(_xll.qlBachelierBlackFormulaImpliedVol(IF(O50&lt;$C$4,"Put","Call"),O50,$C$4,$C$7,P50),"")</f>
        <v/>
      </c>
      <c r="W50" s="61">
        <f>IFERROR(_xll.qlBachelierBlackFormulaImpliedVol(IF(O50&lt;$C$4,"Put","Call"),O50,$C$4,$C$7,Q50),"")</f>
        <v>6.7473995992624733E-3</v>
      </c>
      <c r="X50" s="61">
        <f>IFERROR(_xll.qlBachelierBlackFormulaImpliedVol(IF(O50&lt;$C$4,"Put","Call"),O50,$C$4,$C$7,R50),"")</f>
        <v>7.2019999999997962E-3</v>
      </c>
      <c r="Y50" s="96">
        <f>_xll.qlSmileSectionVolatility($C$40,O50+$C$31)</f>
        <v>6.8824972109959833E-3</v>
      </c>
    </row>
    <row r="51" spans="15:25">
      <c r="O51" s="37">
        <f t="shared" si="0"/>
        <v>-5.4000000000000064E-3</v>
      </c>
      <c r="P51" s="38" t="str">
        <f>IFERROR(_xll.qlBlackFormula(IF(O51&lt;$C$4,"Put","Call"),O51,$C$4,$C$9*SQRT($C$7)),"")</f>
        <v/>
      </c>
      <c r="Q51" s="39">
        <f>IFERROR(_xll.qlBlackFormula(IF(O51&lt;$C$4,"Put","Call"),O51,$C$4,$C$10*SQRT($C$7),,$C$11),"")</f>
        <v>2.1981395390607977E-3</v>
      </c>
      <c r="R51" s="40">
        <f>IFERROR(_xll.qlBachelierBlackFormula(IF(O51&lt;$C$4,"Put","Call"),O51,$C$4,$C$12*SQRT($C$7)),"")</f>
        <v>2.5196455197084348E-3</v>
      </c>
      <c r="S51" s="41" t="str">
        <f>IFERROR((_xll.qlBlackFormula(IF(O51&lt;$C$4,"Put","Call"),O51+$C$14,$C$4,$C$9*SQRT($C$7))-
2*_xll.qlBlackFormula(IF(O51&lt;$C$4,"Put","Call"),O51,$C$4,$C$9*SQRT($C$7))+
_xll.qlBlackFormula(IF(O51&lt;$C$4,"Put","Call"),O51-$C$14,$C$4,$C$9*SQRT($C$7)))/$C$14^2,"")</f>
        <v/>
      </c>
      <c r="T51" s="42">
        <f>IFERROR((_xll.qlBlackFormula(IF(O51&lt;$C$4,"Put","Call"),O51+$C$14,$C$4,$C$10*SQRT($C$7),,$C$11)-
2*_xll.qlBlackFormula(IF(O51&lt;$C$4,"Put","Call"),O51,$C$4,$C$10*SQRT($C$7),,$C$11)+
_xll.qlBlackFormula(IF(O51&lt;$C$4,"Put","Call"),O51-$C$14,$C$4,$C$10*SQRT($C$7),,$C$11))/$C$14^2,"")</f>
        <v>23.640377849742933</v>
      </c>
      <c r="U51" s="43">
        <f>IFERROR((_xll.qlBachelierBlackFormula(IF(O51&lt;$C$4,"Put","Call"),O51+$C$14,$C$4,$C$12*SQRT($C$7))-
2*_xll.qlBachelierBlackFormula(IF(O51&lt;$C$4,"Put","Call"),O51,$C$4,$C$12*SQRT($C$7))+
_xll.qlBachelierBlackFormula(IF(O51&lt;$C$4,"Put","Call"),O51-$C$14,$C$4,$C$12*SQRT($C$7)))/$C$14^2,"")</f>
        <v>20.109914601607048</v>
      </c>
      <c r="V51" s="61" t="str">
        <f>IFERROR(_xll.qlBachelierBlackFormulaImpliedVol(IF(O51&lt;$C$4,"Put","Call"),O51,$C$4,$C$7,P51),"")</f>
        <v/>
      </c>
      <c r="W51" s="61">
        <f>IFERROR(_xll.qlBachelierBlackFormulaImpliedVol(IF(O51&lt;$C$4,"Put","Call"),O51,$C$4,$C$7,Q51),"")</f>
        <v>6.75182752800812E-3</v>
      </c>
      <c r="X51" s="61">
        <f>IFERROR(_xll.qlBachelierBlackFormulaImpliedVol(IF(O51&lt;$C$4,"Put","Call"),O51,$C$4,$C$7,R51),"")</f>
        <v>7.2019999999997624E-3</v>
      </c>
      <c r="Y51" s="96">
        <f>_xll.qlSmileSectionVolatility($C$40,O51+$C$31)</f>
        <v>6.8843547935289228E-3</v>
      </c>
    </row>
    <row r="52" spans="15:25">
      <c r="O52" s="37">
        <f t="shared" si="0"/>
        <v>-5.3000000000000061E-3</v>
      </c>
      <c r="P52" s="38" t="str">
        <f>IFERROR(_xll.qlBlackFormula(IF(O52&lt;$C$4,"Put","Call"),O52,$C$4,$C$9*SQRT($C$7)),"")</f>
        <v/>
      </c>
      <c r="Q52" s="39">
        <f>IFERROR(_xll.qlBlackFormula(IF(O52&lt;$C$4,"Put","Call"),O52,$C$4,$C$10*SQRT($C$7),,$C$11),"")</f>
        <v>2.2259186041980183E-3</v>
      </c>
      <c r="R52" s="40">
        <f>IFERROR(_xll.qlBachelierBlackFormula(IF(O52&lt;$C$4,"Put","Call"),O52,$C$4,$C$12*SQRT($C$7)),"")</f>
        <v>2.545666783725004E-3</v>
      </c>
      <c r="S52" s="41" t="str">
        <f>IFERROR((_xll.qlBlackFormula(IF(O52&lt;$C$4,"Put","Call"),O52+$C$14,$C$4,$C$9*SQRT($C$7))-
2*_xll.qlBlackFormula(IF(O52&lt;$C$4,"Put","Call"),O52,$C$4,$C$9*SQRT($C$7))+
_xll.qlBlackFormula(IF(O52&lt;$C$4,"Put","Call"),O52-$C$14,$C$4,$C$9*SQRT($C$7)))/$C$14^2,"")</f>
        <v/>
      </c>
      <c r="T52" s="42">
        <f>IFERROR((_xll.qlBlackFormula(IF(O52&lt;$C$4,"Put","Call"),O52+$C$14,$C$4,$C$10*SQRT($C$7),,$C$11)-
2*_xll.qlBlackFormula(IF(O52&lt;$C$4,"Put","Call"),O52,$C$4,$C$10*SQRT($C$7),,$C$11)+
_xll.qlBlackFormula(IF(O52&lt;$C$4,"Put","Call"),O52-$C$14,$C$4,$C$10*SQRT($C$7),,$C$11))/$C$14^2,"")</f>
        <v>23.707188989696704</v>
      </c>
      <c r="U52" s="43">
        <f>IFERROR((_xll.qlBachelierBlackFormula(IF(O52&lt;$C$4,"Put","Call"),O52+$C$14,$C$4,$C$12*SQRT($C$7))-
2*_xll.qlBachelierBlackFormula(IF(O52&lt;$C$4,"Put","Call"),O52,$C$4,$C$12*SQRT($C$7))+
_xll.qlBachelierBlackFormula(IF(O52&lt;$C$4,"Put","Call"),O52-$C$14,$C$4,$C$12*SQRT($C$7)))/$C$14^2,"")</f>
        <v>20.190329443059429</v>
      </c>
      <c r="V52" s="61" t="str">
        <f>IFERROR(_xll.qlBachelierBlackFormulaImpliedVol(IF(O52&lt;$C$4,"Put","Call"),O52,$C$4,$C$7,P52),"")</f>
        <v/>
      </c>
      <c r="W52" s="61">
        <f>IFERROR(_xll.qlBachelierBlackFormulaImpliedVol(IF(O52&lt;$C$4,"Put","Call"),O52,$C$4,$C$7,Q52),"")</f>
        <v>6.7562534355771796E-3</v>
      </c>
      <c r="X52" s="61">
        <f>IFERROR(_xll.qlBachelierBlackFormulaImpliedVol(IF(O52&lt;$C$4,"Put","Call"),O52,$C$4,$C$7,R52),"")</f>
        <v>7.2019999999997329E-3</v>
      </c>
      <c r="Y52" s="96">
        <f>_xll.qlSmileSectionVolatility($C$40,O52+$C$31)</f>
        <v>6.8862340478656964E-3</v>
      </c>
    </row>
    <row r="53" spans="15:25">
      <c r="O53" s="37">
        <f t="shared" si="0"/>
        <v>-5.2000000000000058E-3</v>
      </c>
      <c r="P53" s="38" t="str">
        <f>IFERROR(_xll.qlBlackFormula(IF(O53&lt;$C$4,"Put","Call"),O53,$C$4,$C$9*SQRT($C$7)),"")</f>
        <v/>
      </c>
      <c r="Q53" s="39">
        <f>IFERROR(_xll.qlBlackFormula(IF(O53&lt;$C$4,"Put","Call"),O53,$C$4,$C$10*SQRT($C$7),,$C$11),"")</f>
        <v>2.2539347401784905E-3</v>
      </c>
      <c r="R53" s="40">
        <f>IFERROR(_xll.qlBachelierBlackFormula(IF(O53&lt;$C$4,"Put","Call"),O53,$C$4,$C$12*SQRT($C$7)),"")</f>
        <v>2.5718899506529834E-3</v>
      </c>
      <c r="S53" s="41" t="str">
        <f>IFERROR((_xll.qlBlackFormula(IF(O53&lt;$C$4,"Put","Call"),O53+$C$14,$C$4,$C$9*SQRT($C$7))-
2*_xll.qlBlackFormula(IF(O53&lt;$C$4,"Put","Call"),O53,$C$4,$C$9*SQRT($C$7))+
_xll.qlBlackFormula(IF(O53&lt;$C$4,"Put","Call"),O53-$C$14,$C$4,$C$9*SQRT($C$7)))/$C$14^2,"")</f>
        <v/>
      </c>
      <c r="T53" s="42">
        <f>IFERROR((_xll.qlBlackFormula(IF(O53&lt;$C$4,"Put","Call"),O53+$C$14,$C$4,$C$10*SQRT($C$7),,$C$11)-
2*_xll.qlBlackFormula(IF(O53&lt;$C$4,"Put","Call"),O53,$C$4,$C$10*SQRT($C$7),,$C$11)+
_xll.qlBlackFormula(IF(O53&lt;$C$4,"Put","Call"),O53-$C$14,$C$4,$C$10*SQRT($C$7),,$C$11))/$C$14^2,"")</f>
        <v>23.772910723307561</v>
      </c>
      <c r="U53" s="43">
        <f>IFERROR((_xll.qlBachelierBlackFormula(IF(O53&lt;$C$4,"Put","Call"),O53+$C$14,$C$4,$C$12*SQRT($C$7))-
2*_xll.qlBachelierBlackFormula(IF(O53&lt;$C$4,"Put","Call"),O53,$C$4,$C$12*SQRT($C$7))+
_xll.qlBachelierBlackFormula(IF(O53&lt;$C$4,"Put","Call"),O53-$C$14,$C$4,$C$12*SQRT($C$7)))/$C$14^2,"")</f>
        <v>20.270285450152414</v>
      </c>
      <c r="V53" s="61" t="str">
        <f>IFERROR(_xll.qlBachelierBlackFormulaImpliedVol(IF(O53&lt;$C$4,"Put","Call"),O53,$C$4,$C$7,P53),"")</f>
        <v/>
      </c>
      <c r="W53" s="61">
        <f>IFERROR(_xll.qlBachelierBlackFormulaImpliedVol(IF(O53&lt;$C$4,"Put","Call"),O53,$C$4,$C$7,Q53),"")</f>
        <v>6.7606773260444333E-3</v>
      </c>
      <c r="X53" s="61">
        <f>IFERROR(_xll.qlBachelierBlackFormulaImpliedVol(IF(O53&lt;$C$4,"Put","Call"),O53,$C$4,$C$7,R53),"")</f>
        <v>7.2019999999997095E-3</v>
      </c>
      <c r="Y53" s="96">
        <f>_xll.qlSmileSectionVolatility($C$40,O53+$C$31)</f>
        <v>6.8881350503220921E-3</v>
      </c>
    </row>
    <row r="54" spans="15:25">
      <c r="O54" s="37">
        <f t="shared" si="0"/>
        <v>-5.1000000000000056E-3</v>
      </c>
      <c r="P54" s="38" t="str">
        <f>IFERROR(_xll.qlBlackFormula(IF(O54&lt;$C$4,"Put","Call"),O54,$C$4,$C$9*SQRT($C$7)),"")</f>
        <v/>
      </c>
      <c r="Q54" s="39">
        <f>IFERROR(_xll.qlBlackFormula(IF(O54&lt;$C$4,"Put","Call"),O54,$C$4,$C$10*SQRT($C$7),,$C$11),"")</f>
        <v>2.2821886041580822E-3</v>
      </c>
      <c r="R54" s="40">
        <f>IFERROR(_xll.qlBachelierBlackFormula(IF(O54&lt;$C$4,"Put","Call"),O54,$C$4,$C$12*SQRT($C$7)),"")</f>
        <v>2.5983158200429124E-3</v>
      </c>
      <c r="S54" s="41" t="str">
        <f>IFERROR((_xll.qlBlackFormula(IF(O54&lt;$C$4,"Put","Call"),O54+$C$14,$C$4,$C$9*SQRT($C$7))-
2*_xll.qlBlackFormula(IF(O54&lt;$C$4,"Put","Call"),O54,$C$4,$C$9*SQRT($C$7))+
_xll.qlBlackFormula(IF(O54&lt;$C$4,"Put","Call"),O54-$C$14,$C$4,$C$9*SQRT($C$7)))/$C$14^2,"")</f>
        <v/>
      </c>
      <c r="T54" s="42">
        <f>IFERROR((_xll.qlBlackFormula(IF(O54&lt;$C$4,"Put","Call"),O54+$C$14,$C$4,$C$10*SQRT($C$7),,$C$11)-
2*_xll.qlBlackFormula(IF(O54&lt;$C$4,"Put","Call"),O54,$C$4,$C$10*SQRT($C$7),,$C$11)+
_xll.qlBlackFormula(IF(O54&lt;$C$4,"Put","Call"),O54-$C$14,$C$4,$C$10*SQRT($C$7),,$C$11))/$C$14^2,"")</f>
        <v>23.837515294999889</v>
      </c>
      <c r="U54" s="43">
        <f>IFERROR((_xll.qlBachelierBlackFormula(IF(O54&lt;$C$4,"Put","Call"),O54+$C$14,$C$4,$C$12*SQRT($C$7))-
2*_xll.qlBachelierBlackFormula(IF(O54&lt;$C$4,"Put","Call"),O54,$C$4,$C$12*SQRT($C$7))+
_xll.qlBachelierBlackFormula(IF(O54&lt;$C$4,"Put","Call"),O54-$C$14,$C$4,$C$12*SQRT($C$7)))/$C$14^2,"")</f>
        <v>20.34977134718341</v>
      </c>
      <c r="V54" s="61" t="str">
        <f>IFERROR(_xll.qlBachelierBlackFormulaImpliedVol(IF(O54&lt;$C$4,"Put","Call"),O54,$C$4,$C$7,P54),"")</f>
        <v/>
      </c>
      <c r="W54" s="61">
        <f>IFERROR(_xll.qlBachelierBlackFormulaImpliedVol(IF(O54&lt;$C$4,"Put","Call"),O54,$C$4,$C$7,Q54),"")</f>
        <v>6.765099203470828E-3</v>
      </c>
      <c r="X54" s="61">
        <f>IFERROR(_xll.qlBachelierBlackFormulaImpliedVol(IF(O54&lt;$C$4,"Put","Call"),O54,$C$4,$C$7,R54),"")</f>
        <v>7.2019999999996887E-3</v>
      </c>
      <c r="Y54" s="96">
        <f>_xll.qlSmileSectionVolatility($C$40,O54+$C$31)</f>
        <v>6.8900578762977754E-3</v>
      </c>
    </row>
    <row r="55" spans="15:25">
      <c r="O55" s="37">
        <f t="shared" si="0"/>
        <v>-5.0000000000000053E-3</v>
      </c>
      <c r="P55" s="38" t="str">
        <f>IFERROR(_xll.qlBlackFormula(IF(O55&lt;$C$4,"Put","Call"),O55,$C$4,$C$9*SQRT($C$7)),"")</f>
        <v/>
      </c>
      <c r="Q55" s="39">
        <f>IFERROR(_xll.qlBlackFormula(IF(O55&lt;$C$4,"Put","Call"),O55,$C$4,$C$10*SQRT($C$7),,$C$11),"")</f>
        <v>2.31068084240681E-3</v>
      </c>
      <c r="R55" s="40">
        <f>IFERROR(_xll.qlBachelierBlackFormula(IF(O55&lt;$C$4,"Put","Call"),O55,$C$4,$C$12*SQRT($C$7)),"")</f>
        <v>2.6249451867648918E-3</v>
      </c>
      <c r="S55" s="41" t="str">
        <f>IFERROR((_xll.qlBlackFormula(IF(O55&lt;$C$4,"Put","Call"),O55+$C$14,$C$4,$C$9*SQRT($C$7))-
2*_xll.qlBlackFormula(IF(O55&lt;$C$4,"Put","Call"),O55,$C$4,$C$9*SQRT($C$7))+
_xll.qlBlackFormula(IF(O55&lt;$C$4,"Put","Call"),O55-$C$14,$C$4,$C$9*SQRT($C$7)))/$C$14^2,"")</f>
        <v/>
      </c>
      <c r="T55" s="42">
        <f>IFERROR((_xll.qlBlackFormula(IF(O55&lt;$C$4,"Put","Call"),O55+$C$14,$C$4,$C$10*SQRT($C$7),,$C$11)-
2*_xll.qlBlackFormula(IF(O55&lt;$C$4,"Put","Call"),O55,$C$4,$C$10*SQRT($C$7),,$C$11)+
_xll.qlBlackFormula(IF(O55&lt;$C$4,"Put","Call"),O55-$C$14,$C$4,$C$10*SQRT($C$7),,$C$11))/$C$14^2,"")</f>
        <v>23.901054746477968</v>
      </c>
      <c r="U55" s="43">
        <f>IFERROR((_xll.qlBachelierBlackFormula(IF(O55&lt;$C$4,"Put","Call"),O55+$C$14,$C$4,$C$12*SQRT($C$7))-
2*_xll.qlBachelierBlackFormula(IF(O55&lt;$C$4,"Put","Call"),O55,$C$4,$C$12*SQRT($C$7))+
_xll.qlBachelierBlackFormula(IF(O55&lt;$C$4,"Put","Call"),O55-$C$14,$C$4,$C$12*SQRT($C$7)))/$C$14^2,"")</f>
        <v>20.428784098386334</v>
      </c>
      <c r="V55" s="61" t="str">
        <f>IFERROR(_xll.qlBachelierBlackFormulaImpliedVol(IF(O55&lt;$C$4,"Put","Call"),O55,$C$4,$C$7,P55),"")</f>
        <v/>
      </c>
      <c r="W55" s="61">
        <f>IFERROR(_xll.qlBachelierBlackFormulaImpliedVol(IF(O55&lt;$C$4,"Put","Call"),O55,$C$4,$C$7,Q55),"")</f>
        <v>6.7695190719035334E-3</v>
      </c>
      <c r="X55" s="61">
        <f>IFERROR(_xll.qlBachelierBlackFormulaImpliedVol(IF(O55&lt;$C$4,"Put","Call"),O55,$C$4,$C$7,R55),"")</f>
        <v>7.2019999999996757E-3</v>
      </c>
      <c r="Y55" s="96">
        <f>_xll.qlSmileSectionVolatility($C$40,O55+$C$31)</f>
        <v>6.8920026002681706E-3</v>
      </c>
    </row>
    <row r="56" spans="15:25">
      <c r="O56" s="37">
        <f t="shared" si="0"/>
        <v>-4.900000000000005E-3</v>
      </c>
      <c r="P56" s="38" t="str">
        <f>IFERROR(_xll.qlBlackFormula(IF(O56&lt;$C$4,"Put","Call"),O56,$C$4,$C$9*SQRT($C$7)),"")</f>
        <v/>
      </c>
      <c r="Q56" s="62">
        <f>IFERROR(_xll.qlBlackFormula(IF(O56&lt;$C$4,"Put","Call"),O56,$C$4,$C$10*SQRT($C$7),,$C$11),"")</f>
        <v>2.3394120902600832E-3</v>
      </c>
      <c r="R56" s="40">
        <f>IFERROR(_xll.qlBachelierBlackFormula(IF(O56&lt;$C$4,"Put","Call"),O56,$C$4,$C$12*SQRT($C$7)),"")</f>
        <v>2.6517788409288149E-3</v>
      </c>
      <c r="S56" s="41" t="str">
        <f>IFERROR((_xll.qlBlackFormula(IF(O56&lt;$C$4,"Put","Call"),O56+$C$14,$C$4,$C$9*SQRT($C$7))-
2*_xll.qlBlackFormula(IF(O56&lt;$C$4,"Put","Call"),O56,$C$4,$C$9*SQRT($C$7))+
_xll.qlBlackFormula(IF(O56&lt;$C$4,"Put","Call"),O56-$C$14,$C$4,$C$9*SQRT($C$7)))/$C$14^2,"")</f>
        <v/>
      </c>
      <c r="T56" s="42">
        <f>IFERROR((_xll.qlBlackFormula(IF(O56&lt;$C$4,"Put","Call"),O56+$C$14,$C$4,$C$10*SQRT($C$7),,$C$11)-
2*_xll.qlBlackFormula(IF(O56&lt;$C$4,"Put","Call"),O56,$C$4,$C$10*SQRT($C$7),,$C$11)+
_xll.qlBlackFormula(IF(O56&lt;$C$4,"Put","Call"),O56-$C$14,$C$4,$C$10*SQRT($C$7),,$C$11))/$C$14^2,"")</f>
        <v>23.963487444378373</v>
      </c>
      <c r="U56" s="43">
        <f>IFERROR((_xll.qlBachelierBlackFormula(IF(O56&lt;$C$4,"Put","Call"),O56+$C$14,$C$4,$C$12*SQRT($C$7))-
2*_xll.qlBachelierBlackFormula(IF(O56&lt;$C$4,"Put","Call"),O56,$C$4,$C$12*SQRT($C$7))+
_xll.qlBachelierBlackFormula(IF(O56&lt;$C$4,"Put","Call"),O56-$C$14,$C$4,$C$12*SQRT($C$7)))/$C$14^2,"")</f>
        <v>20.507310693335114</v>
      </c>
      <c r="V56" s="61" t="str">
        <f>IFERROR(_xll.qlBachelierBlackFormulaImpliedVol(IF(O56&lt;$C$4,"Put","Call"),O56,$C$4,$C$7,P56),"")</f>
        <v/>
      </c>
      <c r="W56" s="61">
        <f>IFERROR(_xll.qlBachelierBlackFormulaImpliedVol(IF(O56&lt;$C$4,"Put","Call"),O56,$C$4,$C$7,Q56),"")</f>
        <v>6.7739369353760348E-3</v>
      </c>
      <c r="X56" s="61">
        <f>IFERROR(_xll.qlBachelierBlackFormulaImpliedVol(IF(O56&lt;$C$4,"Put","Call"),O56,$C$4,$C$7,R56),"")</f>
        <v>7.2019999999996661E-3</v>
      </c>
      <c r="Y56" s="96">
        <f>_xll.qlSmileSectionVolatility($C$40,O56+$C$31)</f>
        <v>6.8939692957765333E-3</v>
      </c>
    </row>
    <row r="57" spans="15:25">
      <c r="O57" s="37">
        <f t="shared" si="0"/>
        <v>-4.8000000000000048E-3</v>
      </c>
      <c r="P57" s="38" t="str">
        <f>IFERROR(_xll.qlBlackFormula(IF(O57&lt;$C$4,"Put","Call"),O57,$C$4,$C$9*SQRT($C$7)),"")</f>
        <v/>
      </c>
      <c r="Q57" s="62">
        <f>IFERROR(_xll.qlBlackFormula(IF(O57&lt;$C$4,"Put","Call"),O57,$C$4,$C$10*SQRT($C$7),,$C$11),"")</f>
        <v>2.3683829720716823E-3</v>
      </c>
      <c r="R57" s="40">
        <f>IFERROR(_xll.qlBachelierBlackFormula(IF(O57&lt;$C$4,"Put","Call"),O57,$C$4,$C$12*SQRT($C$7)),"")</f>
        <v>2.6788175678048331E-3</v>
      </c>
      <c r="S57" s="41" t="str">
        <f>IFERROR((_xll.qlBlackFormula(IF(O57&lt;$C$4,"Put","Call"),O57+$C$14,$C$4,$C$9*SQRT($C$7))-
2*_xll.qlBlackFormula(IF(O57&lt;$C$4,"Put","Call"),O57,$C$4,$C$9*SQRT($C$7))+
_xll.qlBlackFormula(IF(O57&lt;$C$4,"Put","Call"),O57-$C$14,$C$4,$C$9*SQRT($C$7)))/$C$14^2,"")</f>
        <v/>
      </c>
      <c r="T57" s="42">
        <f>IFERROR((_xll.qlBlackFormula(IF(O57&lt;$C$4,"Put","Call"),O57+$C$14,$C$4,$C$10*SQRT($C$7),,$C$11)-
2*_xll.qlBlackFormula(IF(O57&lt;$C$4,"Put","Call"),O57,$C$4,$C$10*SQRT($C$7),,$C$11)+
_xll.qlBlackFormula(IF(O57&lt;$C$4,"Put","Call"),O57-$C$14,$C$4,$C$10*SQRT($C$7),,$C$11))/$C$14^2,"")</f>
        <v>24.024813388701105</v>
      </c>
      <c r="U57" s="43">
        <f>IFERROR((_xll.qlBachelierBlackFormula(IF(O57&lt;$C$4,"Put","Call"),O57+$C$14,$C$4,$C$12*SQRT($C$7))-
2*_xll.qlBachelierBlackFormula(IF(O57&lt;$C$4,"Put","Call"),O57,$C$4,$C$12*SQRT($C$7))+
_xll.qlBachelierBlackFormula(IF(O57&lt;$C$4,"Put","Call"),O57-$C$14,$C$4,$C$12*SQRT($C$7)))/$C$14^2,"")</f>
        <v>20.585348529944536</v>
      </c>
      <c r="V57" s="61" t="str">
        <f>IFERROR(_xll.qlBachelierBlackFormulaImpliedVol(IF(O57&lt;$C$4,"Put","Call"),O57,$C$4,$C$7,P57),"")</f>
        <v/>
      </c>
      <c r="W57" s="61">
        <f>IFERROR(_xll.qlBachelierBlackFormulaImpliedVol(IF(O57&lt;$C$4,"Put","Call"),O57,$C$4,$C$7,Q57),"")</f>
        <v>6.7783527979081689E-3</v>
      </c>
      <c r="X57" s="61">
        <f>IFERROR(_xll.qlBachelierBlackFormulaImpliedVol(IF(O57&lt;$C$4,"Put","Call"),O57,$C$4,$C$7,R57),"")</f>
        <v>7.2019999999996566E-3</v>
      </c>
      <c r="Y57" s="96">
        <f>_xll.qlSmileSectionVolatility($C$40,O57+$C$31)</f>
        <v>6.8959580354260482E-3</v>
      </c>
    </row>
    <row r="58" spans="15:25">
      <c r="O58" s="37">
        <f t="shared" si="0"/>
        <v>-4.7000000000000045E-3</v>
      </c>
      <c r="P58" s="38" t="str">
        <f>IFERROR(_xll.qlBlackFormula(IF(O58&lt;$C$4,"Put","Call"),O58,$C$4,$C$9*SQRT($C$7)),"")</f>
        <v/>
      </c>
      <c r="Q58" s="62">
        <f>IFERROR(_xll.qlBlackFormula(IF(O58&lt;$C$4,"Put","Call"),O58,$C$4,$C$10*SQRT($C$7),,$C$11),"")</f>
        <v>2.397594101168514E-3</v>
      </c>
      <c r="R58" s="40">
        <f>IFERROR(_xll.qlBachelierBlackFormula(IF(O58&lt;$C$4,"Put","Call"),O58,$C$4,$C$12*SQRT($C$7)),"")</f>
        <v>2.706062147744083E-3</v>
      </c>
      <c r="S58" s="41" t="str">
        <f>IFERROR((_xll.qlBlackFormula(IF(O58&lt;$C$4,"Put","Call"),O58+$C$14,$C$4,$C$9*SQRT($C$7))-
2*_xll.qlBlackFormula(IF(O58&lt;$C$4,"Put","Call"),O58,$C$4,$C$9*SQRT($C$7))+
_xll.qlBlackFormula(IF(O58&lt;$C$4,"Put","Call"),O58-$C$14,$C$4,$C$9*SQRT($C$7)))/$C$14^2,"")</f>
        <v/>
      </c>
      <c r="T58" s="42">
        <f>IFERROR((_xll.qlBlackFormula(IF(O58&lt;$C$4,"Put","Call"),O58+$C$14,$C$4,$C$10*SQRT($C$7),,$C$11)-
2*_xll.qlBlackFormula(IF(O58&lt;$C$4,"Put","Call"),O58,$C$4,$C$10*SQRT($C$7),,$C$11)+
_xll.qlBlackFormula(IF(O58&lt;$C$4,"Put","Call"),O58-$C$14,$C$4,$C$10*SQRT($C$7),,$C$11))/$C$14^2,"")</f>
        <v>24.08504298778702</v>
      </c>
      <c r="U58" s="43">
        <f>IFERROR((_xll.qlBachelierBlackFormula(IF(O58&lt;$C$4,"Put","Call"),O58+$C$14,$C$4,$C$12*SQRT($C$7))-
2*_xll.qlBachelierBlackFormula(IF(O58&lt;$C$4,"Put","Call"),O58,$C$4,$C$12*SQRT($C$7))+
_xll.qlBachelierBlackFormula(IF(O58&lt;$C$4,"Put","Call"),O58-$C$14,$C$4,$C$12*SQRT($C$7)))/$C$14^2,"")</f>
        <v>20.662883730426795</v>
      </c>
      <c r="V58" s="61" t="str">
        <f>IFERROR(_xll.qlBachelierBlackFormulaImpliedVol(IF(O58&lt;$C$4,"Put","Call"),O58,$C$4,$C$7,P58),"")</f>
        <v/>
      </c>
      <c r="W58" s="61">
        <f>IFERROR(_xll.qlBachelierBlackFormulaImpliedVol(IF(O58&lt;$C$4,"Put","Call"),O58,$C$4,$C$7,Q58),"")</f>
        <v>6.7827666635062083E-3</v>
      </c>
      <c r="X58" s="61">
        <f>IFERROR(_xll.qlBachelierBlackFormulaImpliedVol(IF(O58&lt;$C$4,"Put","Call"),O58,$C$4,$C$7,R58),"")</f>
        <v>7.2019999999996566E-3</v>
      </c>
      <c r="Y58" s="96">
        <f>_xll.qlSmileSectionVolatility($C$40,O58+$C$31)</f>
        <v>6.8979688908720211E-3</v>
      </c>
    </row>
    <row r="59" spans="15:25">
      <c r="O59" s="37">
        <f t="shared" si="0"/>
        <v>-4.6000000000000043E-3</v>
      </c>
      <c r="P59" s="38" t="str">
        <f>IFERROR(_xll.qlBlackFormula(IF(O59&lt;$C$4,"Put","Call"),O59,$C$4,$C$9*SQRT($C$7)),"")</f>
        <v/>
      </c>
      <c r="Q59" s="62">
        <f>IFERROR(_xll.qlBlackFormula(IF(O59&lt;$C$4,"Put","Call"),O59,$C$4,$C$10*SQRT($C$7),,$C$11),"")</f>
        <v>2.4270460798071734E-3</v>
      </c>
      <c r="R59" s="40">
        <f>IFERROR(_xll.qlBachelierBlackFormula(IF(O59&lt;$C$4,"Put","Call"),O59,$C$4,$C$12*SQRT($C$7)),"")</f>
        <v>2.7335133560996718E-3</v>
      </c>
      <c r="S59" s="41" t="str">
        <f>IFERROR((_xll.qlBlackFormula(IF(O59&lt;$C$4,"Put","Call"),O59+$C$14,$C$4,$C$9*SQRT($C$7))-
2*_xll.qlBlackFormula(IF(O59&lt;$C$4,"Put","Call"),O59,$C$4,$C$9*SQRT($C$7))+
_xll.qlBlackFormula(IF(O59&lt;$C$4,"Put","Call"),O59-$C$14,$C$4,$C$9*SQRT($C$7)))/$C$14^2,"")</f>
        <v/>
      </c>
      <c r="T59" s="42">
        <f>IFERROR((_xll.qlBlackFormula(IF(O59&lt;$C$4,"Put","Call"),O59+$C$14,$C$4,$C$10*SQRT($C$7),,$C$11)-
2*_xll.qlBlackFormula(IF(O59&lt;$C$4,"Put","Call"),O59,$C$4,$C$10*SQRT($C$7),,$C$11)+
_xll.qlBlackFormula(IF(O59&lt;$C$4,"Put","Call"),O59-$C$14,$C$4,$C$10*SQRT($C$7),,$C$11))/$C$14^2,"")</f>
        <v>24.144162363848309</v>
      </c>
      <c r="U59" s="43">
        <f>IFERROR((_xll.qlBachelierBlackFormula(IF(O59&lt;$C$4,"Put","Call"),O59+$C$14,$C$4,$C$12*SQRT($C$7))-
2*_xll.qlBachelierBlackFormula(IF(O59&lt;$C$4,"Put","Call"),O59,$C$4,$C$12*SQRT($C$7))+
_xll.qlBachelierBlackFormula(IF(O59&lt;$C$4,"Put","Call"),O59-$C$14,$C$4,$C$12*SQRT($C$7)))/$C$14^2,"")</f>
        <v>20.739910656930594</v>
      </c>
      <c r="V59" s="61" t="str">
        <f>IFERROR(_xll.qlBachelierBlackFormulaImpliedVol(IF(O59&lt;$C$4,"Put","Call"),O59,$C$4,$C$7,P59),"")</f>
        <v/>
      </c>
      <c r="W59" s="61">
        <f>IFERROR(_xll.qlBachelierBlackFormulaImpliedVol(IF(O59&lt;$C$4,"Put","Call"),O59,$C$4,$C$7,Q59),"")</f>
        <v>6.7871785361629357E-3</v>
      </c>
      <c r="X59" s="61">
        <f>IFERROR(_xll.qlBachelierBlackFormulaImpliedVol(IF(O59&lt;$C$4,"Put","Call"),O59,$C$4,$C$7,R59),"")</f>
        <v>7.2019999999996609E-3</v>
      </c>
      <c r="Y59" s="96">
        <f>_xll.qlSmileSectionVolatility($C$40,O59+$C$31)</f>
        <v>6.9000019328142332E-3</v>
      </c>
    </row>
    <row r="60" spans="15:25">
      <c r="O60" s="37">
        <f t="shared" si="0"/>
        <v>-4.500000000000004E-3</v>
      </c>
      <c r="P60" s="38" t="str">
        <f>IFERROR(_xll.qlBlackFormula(IF(O60&lt;$C$4,"Put","Call"),O60,$C$4,$C$9*SQRT($C$7)),"")</f>
        <v/>
      </c>
      <c r="Q60" s="62">
        <f>IFERROR(_xll.qlBlackFormula(IF(O60&lt;$C$4,"Put","Call"),O60,$C$4,$C$10*SQRT($C$7),,$C$11),"")</f>
        <v>2.4567394991322246E-3</v>
      </c>
      <c r="R60" s="40">
        <f>IFERROR(_xll.qlBachelierBlackFormula(IF(O60&lt;$C$4,"Put","Call"),O60,$C$4,$C$12*SQRT($C$7)),"")</f>
        <v>2.7611719631479527E-3</v>
      </c>
      <c r="S60" s="41" t="str">
        <f>IFERROR((_xll.qlBlackFormula(IF(O60&lt;$C$4,"Put","Call"),O60+$C$14,$C$4,$C$9*SQRT($C$7))-
2*_xll.qlBlackFormula(IF(O60&lt;$C$4,"Put","Call"),O60,$C$4,$C$9*SQRT($C$7))+
_xll.qlBlackFormula(IF(O60&lt;$C$4,"Put","Call"),O60-$C$14,$C$4,$C$9*SQRT($C$7)))/$C$14^2,"")</f>
        <v/>
      </c>
      <c r="T60" s="42">
        <f>IFERROR((_xll.qlBlackFormula(IF(O60&lt;$C$4,"Put","Call"),O60+$C$14,$C$4,$C$10*SQRT($C$7),,$C$11)-
2*_xll.qlBlackFormula(IF(O60&lt;$C$4,"Put","Call"),O60,$C$4,$C$10*SQRT($C$7),,$C$11)+
_xll.qlBlackFormula(IF(O60&lt;$C$4,"Put","Call"),O60-$C$14,$C$4,$C$10*SQRT($C$7),,$C$11))/$C$14^2,"")</f>
        <v>24.202161108544118</v>
      </c>
      <c r="U60" s="43">
        <f>IFERROR((_xll.qlBachelierBlackFormula(IF(O60&lt;$C$4,"Put","Call"),O60+$C$14,$C$4,$C$12*SQRT($C$7))-
2*_xll.qlBachelierBlackFormula(IF(O60&lt;$C$4,"Put","Call"),O60,$C$4,$C$12*SQRT($C$7))+
_xll.qlBachelierBlackFormula(IF(O60&lt;$C$4,"Put","Call"),O60-$C$14,$C$4,$C$12*SQRT($C$7)))/$C$14^2,"")</f>
        <v>20.816426707370717</v>
      </c>
      <c r="V60" s="61" t="str">
        <f>IFERROR(_xll.qlBachelierBlackFormulaImpliedVol(IF(O60&lt;$C$4,"Put","Call"),O60,$C$4,$C$7,P60),"")</f>
        <v/>
      </c>
      <c r="W60" s="61">
        <f>IFERROR(_xll.qlBachelierBlackFormulaImpliedVol(IF(O60&lt;$C$4,"Put","Call"),O60,$C$4,$C$7,Q60),"")</f>
        <v>6.7915884198576793E-3</v>
      </c>
      <c r="X60" s="61">
        <f>IFERROR(_xll.qlBachelierBlackFormulaImpliedVol(IF(O60&lt;$C$4,"Put","Call"),O60,$C$4,$C$7,R60),"")</f>
        <v>7.2019999999996644E-3</v>
      </c>
      <c r="Y60" s="96">
        <f>_xll.qlSmileSectionVolatility($C$40,O60+$C$31)</f>
        <v>6.9020572309892664E-3</v>
      </c>
    </row>
    <row r="61" spans="15:25">
      <c r="O61" s="37">
        <f t="shared" si="0"/>
        <v>-4.4000000000000037E-3</v>
      </c>
      <c r="P61" s="38" t="str">
        <f>IFERROR(_xll.qlBlackFormula(IF(O61&lt;$C$4,"Put","Call"),O61,$C$4,$C$9*SQRT($C$7)),"")</f>
        <v/>
      </c>
      <c r="Q61" s="39">
        <f>IFERROR(_xll.qlBlackFormula(IF(O61&lt;$C$4,"Put","Call"),O61,$C$4,$C$10*SQRT($C$7),,$C$11),"")</f>
        <v>2.4866749391362804E-3</v>
      </c>
      <c r="R61" s="40">
        <f>IFERROR(_xll.qlBachelierBlackFormula(IF(O61&lt;$C$4,"Put","Call"),O61,$C$4,$C$12*SQRT($C$7)),"")</f>
        <v>2.7890387340100881E-3</v>
      </c>
      <c r="S61" s="41" t="str">
        <f>IFERROR((_xll.qlBlackFormula(IF(O61&lt;$C$4,"Put","Call"),O61+$C$14,$C$4,$C$9*SQRT($C$7))-
2*_xll.qlBlackFormula(IF(O61&lt;$C$4,"Put","Call"),O61,$C$4,$C$9*SQRT($C$7))+
_xll.qlBlackFormula(IF(O61&lt;$C$4,"Put","Call"),O61-$C$14,$C$4,$C$9*SQRT($C$7)))/$C$14^2,"")</f>
        <v/>
      </c>
      <c r="T61" s="42">
        <f>IFERROR((_xll.qlBlackFormula(IF(O61&lt;$C$4,"Put","Call"),O61+$C$14,$C$4,$C$10*SQRT($C$7),,$C$11)-
2*_xll.qlBlackFormula(IF(O61&lt;$C$4,"Put","Call"),O61,$C$4,$C$10*SQRT($C$7),,$C$11)+
_xll.qlBlackFormula(IF(O61&lt;$C$4,"Put","Call"),O61-$C$14,$C$4,$C$10*SQRT($C$7),,$C$11))/$C$14^2,"")</f>
        <v>24.259046160768349</v>
      </c>
      <c r="U61" s="43">
        <f>IFERROR((_xll.qlBachelierBlackFormula(IF(O61&lt;$C$4,"Put","Call"),O61+$C$14,$C$4,$C$12*SQRT($C$7))-
2*_xll.qlBachelierBlackFormula(IF(O61&lt;$C$4,"Put","Call"),O61,$C$4,$C$12*SQRT($C$7))+
_xll.qlBachelierBlackFormula(IF(O61&lt;$C$4,"Put","Call"),O61-$C$14,$C$4,$C$12*SQRT($C$7)))/$C$14^2,"")</f>
        <v>20.892413233469799</v>
      </c>
      <c r="V61" s="61" t="str">
        <f>IFERROR(_xll.qlBachelierBlackFormulaImpliedVol(IF(O61&lt;$C$4,"Put","Call"),O61,$C$4,$C$7,P61),"")</f>
        <v/>
      </c>
      <c r="W61" s="61">
        <f>IFERROR(_xll.qlBachelierBlackFormulaImpliedVol(IF(O61&lt;$C$4,"Put","Call"),O61,$C$4,$C$7,Q61),"")</f>
        <v>6.7959963185563752E-3</v>
      </c>
      <c r="X61" s="61">
        <f>IFERROR(_xll.qlBachelierBlackFormulaImpliedVol(IF(O61&lt;$C$4,"Put","Call"),O61,$C$4,$C$7,R61),"")</f>
        <v>7.2019999999996765E-3</v>
      </c>
      <c r="Y61" s="96">
        <f>_xll.qlSmileSectionVolatility($C$40,O61+$C$31)</f>
        <v>6.9041348541631544E-3</v>
      </c>
    </row>
    <row r="62" spans="15:25">
      <c r="O62" s="37">
        <f t="shared" si="0"/>
        <v>-4.3000000000000035E-3</v>
      </c>
      <c r="P62" s="38" t="str">
        <f>IFERROR(_xll.qlBlackFormula(IF(O62&lt;$C$4,"Put","Call"),O62,$C$4,$C$9*SQRT($C$7)),"")</f>
        <v/>
      </c>
      <c r="Q62" s="39">
        <f>IFERROR(_xll.qlBlackFormula(IF(O62&lt;$C$4,"Put","Call"),O62,$C$4,$C$10*SQRT($C$7),,$C$11),"")</f>
        <v>2.5168529686218633E-3</v>
      </c>
      <c r="R62" s="40">
        <f>IFERROR(_xll.qlBachelierBlackFormula(IF(O62&lt;$C$4,"Put","Call"),O62,$C$4,$C$12*SQRT($C$7)),"")</f>
        <v>2.8171144285739124E-3</v>
      </c>
      <c r="S62" s="41" t="str">
        <f>IFERROR((_xll.qlBlackFormula(IF(O62&lt;$C$4,"Put","Call"),O62+$C$14,$C$4,$C$9*SQRT($C$7))-
2*_xll.qlBlackFormula(IF(O62&lt;$C$4,"Put","Call"),O62,$C$4,$C$9*SQRT($C$7))+
_xll.qlBlackFormula(IF(O62&lt;$C$4,"Put","Call"),O62-$C$14,$C$4,$C$9*SQRT($C$7)))/$C$14^2,"")</f>
        <v/>
      </c>
      <c r="T62" s="42">
        <f>IFERROR((_xll.qlBlackFormula(IF(O62&lt;$C$4,"Put","Call"),O62+$C$14,$C$4,$C$10*SQRT($C$7),,$C$11)-
2*_xll.qlBlackFormula(IF(O62&lt;$C$4,"Put","Call"),O62,$C$4,$C$10*SQRT($C$7),,$C$11)+
_xll.qlBlackFormula(IF(O62&lt;$C$4,"Put","Call"),O62-$C$14,$C$4,$C$10*SQRT($C$7),,$C$11))/$C$14^2,"")</f>
        <v>24.31479323439234</v>
      </c>
      <c r="U62" s="43">
        <f>IFERROR((_xll.qlBachelierBlackFormula(IF(O62&lt;$C$4,"Put","Call"),O62+$C$14,$C$4,$C$12*SQRT($C$7))-
2*_xll.qlBachelierBlackFormula(IF(O62&lt;$C$4,"Put","Call"),O62,$C$4,$C$12*SQRT($C$7))+
_xll.qlBachelierBlackFormula(IF(O62&lt;$C$4,"Put","Call"),O62-$C$14,$C$4,$C$12*SQRT($C$7)))/$C$14^2,"")</f>
        <v>20.96787327099392</v>
      </c>
      <c r="V62" s="61" t="str">
        <f>IFERROR(_xll.qlBachelierBlackFormulaImpliedVol(IF(O62&lt;$C$4,"Put","Call"),O62,$C$4,$C$7,P62),"")</f>
        <v/>
      </c>
      <c r="W62" s="61">
        <f>IFERROR(_xll.qlBachelierBlackFormulaImpliedVol(IF(O62&lt;$C$4,"Put","Call"),O62,$C$4,$C$7,Q62),"")</f>
        <v>6.8004022362116731E-3</v>
      </c>
      <c r="X62" s="61">
        <f>IFERROR(_xll.qlBachelierBlackFormulaImpliedVol(IF(O62&lt;$C$4,"Put","Call"),O62,$C$4,$C$7,R62),"")</f>
        <v>7.2019999999996887E-3</v>
      </c>
      <c r="Y62" s="96">
        <f>_xll.qlSmileSectionVolatility($C$40,O62+$C$31)</f>
        <v>6.9062348701239423E-3</v>
      </c>
    </row>
    <row r="63" spans="15:25">
      <c r="O63" s="37">
        <f t="shared" si="0"/>
        <v>-4.2000000000000032E-3</v>
      </c>
      <c r="P63" s="38" t="str">
        <f>IFERROR(_xll.qlBlackFormula(IF(O63&lt;$C$4,"Put","Call"),O63,$C$4,$C$9*SQRT($C$7)),"")</f>
        <v/>
      </c>
      <c r="Q63" s="39">
        <f>IFERROR(_xll.qlBlackFormula(IF(O63&lt;$C$4,"Put","Call"),O63,$C$4,$C$10*SQRT($C$7),,$C$11),"")</f>
        <v>2.5472741451649829E-3</v>
      </c>
      <c r="R63" s="40">
        <f>IFERROR(_xll.qlBachelierBlackFormula(IF(O63&lt;$C$4,"Put","Call"),O63,$C$4,$C$12*SQRT($C$7)),"")</f>
        <v>2.8453998014161329E-3</v>
      </c>
      <c r="S63" s="41" t="str">
        <f>IFERROR((_xll.qlBlackFormula(IF(O63&lt;$C$4,"Put","Call"),O63+$C$14,$C$4,$C$9*SQRT($C$7))-
2*_xll.qlBlackFormula(IF(O63&lt;$C$4,"Put","Call"),O63,$C$4,$C$9*SQRT($C$7))+
_xll.qlBlackFormula(IF(O63&lt;$C$4,"Put","Call"),O63-$C$14,$C$4,$C$9*SQRT($C$7)))/$C$14^2,"")</f>
        <v/>
      </c>
      <c r="T63" s="42">
        <f>IFERROR((_xll.qlBlackFormula(IF(O63&lt;$C$4,"Put","Call"),O63+$C$14,$C$4,$C$10*SQRT($C$7),,$C$11)-
2*_xll.qlBlackFormula(IF(O63&lt;$C$4,"Put","Call"),O63,$C$4,$C$10*SQRT($C$7),,$C$11)+
_xll.qlBlackFormula(IF(O63&lt;$C$4,"Put","Call"),O63-$C$14,$C$4,$C$10*SQRT($C$7),,$C$11))/$C$14^2,"")</f>
        <v>24.369443962779513</v>
      </c>
      <c r="U63" s="43">
        <f>IFERROR((_xll.qlBachelierBlackFormula(IF(O63&lt;$C$4,"Put","Call"),O63+$C$14,$C$4,$C$12*SQRT($C$7))-
2*_xll.qlBachelierBlackFormula(IF(O63&lt;$C$4,"Put","Call"),O63,$C$4,$C$12*SQRT($C$7))+
_xll.qlBachelierBlackFormula(IF(O63&lt;$C$4,"Put","Call"),O63-$C$14,$C$4,$C$12*SQRT($C$7)))/$C$14^2,"")</f>
        <v>21.042790340070063</v>
      </c>
      <c r="V63" s="61" t="str">
        <f>IFERROR(_xll.qlBachelierBlackFormulaImpliedVol(IF(O63&lt;$C$4,"Put","Call"),O63,$C$4,$C$7,P63),"")</f>
        <v/>
      </c>
      <c r="W63" s="61">
        <f>IFERROR(_xll.qlBachelierBlackFormulaImpliedVol(IF(O63&lt;$C$4,"Put","Call"),O63,$C$4,$C$7,Q63),"")</f>
        <v>6.8048061767629385E-3</v>
      </c>
      <c r="X63" s="61">
        <f>IFERROR(_xll.qlBachelierBlackFormulaImpliedVol(IF(O63&lt;$C$4,"Put","Call"),O63,$C$4,$C$7,R63),"")</f>
        <v>7.201999999999706E-3</v>
      </c>
      <c r="Y63" s="96">
        <f>_xll.qlSmileSectionVolatility($C$40,O63+$C$31)</f>
        <v>6.9083573456743689E-3</v>
      </c>
    </row>
    <row r="64" spans="15:25">
      <c r="O64" s="37">
        <f t="shared" si="0"/>
        <v>-4.1000000000000029E-3</v>
      </c>
      <c r="P64" s="38" t="str">
        <f>IFERROR(_xll.qlBlackFormula(IF(O64&lt;$C$4,"Put","Call"),O64,$C$4,$C$9*SQRT($C$7)),"")</f>
        <v/>
      </c>
      <c r="Q64" s="39">
        <f>IFERROR(_xll.qlBlackFormula(IF(O64&lt;$C$4,"Put","Call"),O64,$C$4,$C$10*SQRT($C$7),,$C$11),"")</f>
        <v>2.5779390150805492E-3</v>
      </c>
      <c r="R64" s="40">
        <f>IFERROR(_xll.qlBachelierBlackFormula(IF(O64&lt;$C$4,"Put","Call"),O64,$C$4,$C$12*SQRT($C$7)),"")</f>
        <v>2.8738956017248427E-3</v>
      </c>
      <c r="S64" s="41" t="str">
        <f>IFERROR((_xll.qlBlackFormula(IF(O64&lt;$C$4,"Put","Call"),O64+$C$14,$C$4,$C$9*SQRT($C$7))-
2*_xll.qlBlackFormula(IF(O64&lt;$C$4,"Put","Call"),O64,$C$4,$C$9*SQRT($C$7))+
_xll.qlBlackFormula(IF(O64&lt;$C$4,"Put","Call"),O64-$C$14,$C$4,$C$9*SQRT($C$7)))/$C$14^2,"")</f>
        <v/>
      </c>
      <c r="T64" s="42">
        <f>IFERROR((_xll.qlBlackFormula(IF(O64&lt;$C$4,"Put","Call"),O64+$C$14,$C$4,$C$10*SQRT($C$7),,$C$11)-
2*_xll.qlBlackFormula(IF(O64&lt;$C$4,"Put","Call"),O64,$C$4,$C$10*SQRT($C$7),,$C$11)+
_xll.qlBlackFormula(IF(O64&lt;$C$4,"Put","Call"),O64-$C$14,$C$4,$C$10*SQRT($C$7),,$C$11))/$C$14^2,"")</f>
        <v>24.422939365331686</v>
      </c>
      <c r="U64" s="43">
        <f>IFERROR((_xll.qlBachelierBlackFormula(IF(O64&lt;$C$4,"Put","Call"),O64+$C$14,$C$4,$C$12*SQRT($C$7))-
2*_xll.qlBachelierBlackFormula(IF(O64&lt;$C$4,"Put","Call"),O64,$C$4,$C$12*SQRT($C$7))+
_xll.qlBachelierBlackFormula(IF(O64&lt;$C$4,"Put","Call"),O64-$C$14,$C$4,$C$12*SQRT($C$7)))/$C$14^2,"")</f>
        <v>21.11716530805996</v>
      </c>
      <c r="V64" s="61" t="str">
        <f>IFERROR(_xll.qlBachelierBlackFormulaImpliedVol(IF(O64&lt;$C$4,"Put","Call"),O64,$C$4,$C$7,P64),"")</f>
        <v/>
      </c>
      <c r="W64" s="61">
        <f>IFERROR(_xll.qlBachelierBlackFormulaImpliedVol(IF(O64&lt;$C$4,"Put","Call"),O64,$C$4,$C$7,Q64),"")</f>
        <v>6.8092081441363762E-3</v>
      </c>
      <c r="X64" s="61">
        <f>IFERROR(_xll.qlBachelierBlackFormulaImpliedVol(IF(O64&lt;$C$4,"Put","Call"),O64,$C$4,$C$7,R64),"")</f>
        <v>7.2019999999997234E-3</v>
      </c>
      <c r="Y64" s="96">
        <f>_xll.qlSmileSectionVolatility($C$40,O64+$C$31)</f>
        <v>6.9105023466248605E-3</v>
      </c>
    </row>
    <row r="65" spans="15:25">
      <c r="O65" s="37">
        <f t="shared" si="0"/>
        <v>-4.0000000000000027E-3</v>
      </c>
      <c r="P65" s="38" t="str">
        <f>IFERROR(_xll.qlBlackFormula(IF(O65&lt;$C$4,"Put","Call"),O65,$C$4,$C$9*SQRT($C$7)),"")</f>
        <v/>
      </c>
      <c r="Q65" s="39">
        <f>IFERROR(_xll.qlBlackFormula(IF(O65&lt;$C$4,"Put","Call"),O65,$C$4,$C$10*SQRT($C$7),,$C$11),"")</f>
        <v>2.6088481133894614E-3</v>
      </c>
      <c r="R65" s="40">
        <f>IFERROR(_xll.qlBachelierBlackFormula(IF(O65&lt;$C$4,"Put","Call"),O65,$C$4,$C$12*SQRT($C$7)),"")</f>
        <v>2.902602573222399E-3</v>
      </c>
      <c r="S65" s="41" t="str">
        <f>IFERROR((_xll.qlBlackFormula(IF(O65&lt;$C$4,"Put","Call"),O65+$C$14,$C$4,$C$9*SQRT($C$7))-
2*_xll.qlBlackFormula(IF(O65&lt;$C$4,"Put","Call"),O65,$C$4,$C$9*SQRT($C$7))+
_xll.qlBlackFormula(IF(O65&lt;$C$4,"Put","Call"),O65-$C$14,$C$4,$C$9*SQRT($C$7)))/$C$14^2,"")</f>
        <v/>
      </c>
      <c r="T65" s="42">
        <f>IFERROR((_xll.qlBlackFormula(IF(O65&lt;$C$4,"Put","Call"),O65+$C$14,$C$4,$C$10*SQRT($C$7),,$C$11)-
2*_xll.qlBlackFormula(IF(O65&lt;$C$4,"Put","Call"),O65,$C$4,$C$10*SQRT($C$7),,$C$11)+
_xll.qlBlackFormula(IF(O65&lt;$C$4,"Put","Call"),O65-$C$14,$C$4,$C$10*SQRT($C$7),,$C$11))/$C$14^2,"")</f>
        <v>24.475303728177522</v>
      </c>
      <c r="U65" s="43">
        <f>IFERROR((_xll.qlBachelierBlackFormula(IF(O65&lt;$C$4,"Put","Call"),O65+$C$14,$C$4,$C$12*SQRT($C$7))-
2*_xll.qlBachelierBlackFormula(IF(O65&lt;$C$4,"Put","Call"),O65,$C$4,$C$12*SQRT($C$7))+
_xll.qlBachelierBlackFormula(IF(O65&lt;$C$4,"Put","Call"),O65-$C$14,$C$4,$C$12*SQRT($C$7)))/$C$14^2,"")</f>
        <v>21.190984730856677</v>
      </c>
      <c r="V65" s="61" t="str">
        <f>IFERROR(_xll.qlBachelierBlackFormulaImpliedVol(IF(O65&lt;$C$4,"Put","Call"),O65,$C$4,$C$7,P65),"")</f>
        <v/>
      </c>
      <c r="W65" s="61">
        <f>IFERROR(_xll.qlBachelierBlackFormulaImpliedVol(IF(O65&lt;$C$4,"Put","Call"),O65,$C$4,$C$7,Q65),"")</f>
        <v>6.8136081422450478E-3</v>
      </c>
      <c r="X65" s="61">
        <f>IFERROR(_xll.qlBachelierBlackFormulaImpliedVol(IF(O65&lt;$C$4,"Put","Call"),O65,$C$4,$C$7,R65),"")</f>
        <v>7.2019999999997451E-3</v>
      </c>
      <c r="Y65" s="96">
        <f>_xll.qlSmileSectionVolatility($C$40,O65+$C$31)</f>
        <v>6.9126699377864099E-3</v>
      </c>
    </row>
    <row r="66" spans="15:25">
      <c r="O66" s="37">
        <f t="shared" si="0"/>
        <v>-3.9000000000000029E-3</v>
      </c>
      <c r="P66" s="38" t="str">
        <f>IFERROR(_xll.qlBlackFormula(IF(O66&lt;$C$4,"Put","Call"),O66,$C$4,$C$9*SQRT($C$7)),"")</f>
        <v/>
      </c>
      <c r="Q66" s="39">
        <f>IFERROR(_xll.qlBlackFormula(IF(O66&lt;$C$4,"Put","Call"),O66,$C$4,$C$10*SQRT($C$7),,$C$11),"")</f>
        <v>2.640001963787518E-3</v>
      </c>
      <c r="R66" s="40">
        <f>IFERROR(_xll.qlBachelierBlackFormula(IF(O66&lt;$C$4,"Put","Call"),O66,$C$4,$C$12*SQRT($C$7)),"")</f>
        <v>2.931521454088642E-3</v>
      </c>
      <c r="S66" s="41" t="str">
        <f>IFERROR((_xll.qlBlackFormula(IF(O66&lt;$C$4,"Put","Call"),O66+$C$14,$C$4,$C$9*SQRT($C$7))-
2*_xll.qlBlackFormula(IF(O66&lt;$C$4,"Put","Call"),O66,$C$4,$C$9*SQRT($C$7))+
_xll.qlBlackFormula(IF(O66&lt;$C$4,"Put","Call"),O66-$C$14,$C$4,$C$9*SQRT($C$7)))/$C$14^2,"")</f>
        <v/>
      </c>
      <c r="T66" s="42">
        <f>IFERROR((_xll.qlBlackFormula(IF(O66&lt;$C$4,"Put","Call"),O66+$C$14,$C$4,$C$10*SQRT($C$7),,$C$11)-
2*_xll.qlBlackFormula(IF(O66&lt;$C$4,"Put","Call"),O66,$C$4,$C$10*SQRT($C$7),,$C$11)+
_xll.qlBlackFormula(IF(O66&lt;$C$4,"Put","Call"),O66-$C$14,$C$4,$C$10*SQRT($C$7),,$C$11))/$C$14^2,"")</f>
        <v>24.526540520763973</v>
      </c>
      <c r="U66" s="43">
        <f>IFERROR((_xll.qlBachelierBlackFormula(IF(O66&lt;$C$4,"Put","Call"),O66+$C$14,$C$4,$C$12*SQRT($C$7))-
2*_xll.qlBachelierBlackFormula(IF(O66&lt;$C$4,"Put","Call"),O66,$C$4,$C$12*SQRT($C$7))+
_xll.qlBachelierBlackFormula(IF(O66&lt;$C$4,"Put","Call"),O66-$C$14,$C$4,$C$12*SQRT($C$7)))/$C$14^2,"")</f>
        <v>21.264243404289786</v>
      </c>
      <c r="V66" s="61" t="str">
        <f>IFERROR(_xll.qlBachelierBlackFormulaImpliedVol(IF(O66&lt;$C$4,"Put","Call"),O66,$C$4,$C$7,P66),"")</f>
        <v/>
      </c>
      <c r="W66" s="61">
        <f>IFERROR(_xll.qlBachelierBlackFormulaImpliedVol(IF(O66&lt;$C$4,"Put","Call"),O66,$C$4,$C$7,Q66),"")</f>
        <v>6.8180061749889501E-3</v>
      </c>
      <c r="X66" s="61">
        <f>IFERROR(_xll.qlBachelierBlackFormulaImpliedVol(IF(O66&lt;$C$4,"Put","Call"),O66,$C$4,$C$7,R66),"")</f>
        <v>7.2019999999997694E-3</v>
      </c>
      <c r="Y66" s="96">
        <f>_xll.qlSmileSectionVolatility($C$40,O66+$C$31)</f>
        <v>6.914860182963686E-3</v>
      </c>
    </row>
    <row r="67" spans="15:25">
      <c r="O67" s="37">
        <f t="shared" si="0"/>
        <v>-3.800000000000003E-3</v>
      </c>
      <c r="P67" s="38" t="str">
        <f>IFERROR(_xll.qlBlackFormula(IF(O67&lt;$C$4,"Put","Call"),O67,$C$4,$C$9*SQRT($C$7)),"")</f>
        <v/>
      </c>
      <c r="Q67" s="39">
        <f>IFERROR(_xll.qlBlackFormula(IF(O67&lt;$C$4,"Put","Call"),O67,$C$4,$C$10*SQRT($C$7),,$C$11),"")</f>
        <v>2.6714010786160342E-3</v>
      </c>
      <c r="R67" s="40">
        <f>IFERROR(_xll.qlBachelierBlackFormula(IF(O67&lt;$C$4,"Put","Call"),O67,$C$4,$C$12*SQRT($C$7)),"")</f>
        <v>2.9606529768845041E-3</v>
      </c>
      <c r="S67" s="41" t="str">
        <f>IFERROR((_xll.qlBlackFormula(IF(O67&lt;$C$4,"Put","Call"),O67+$C$14,$C$4,$C$9*SQRT($C$7))-
2*_xll.qlBlackFormula(IF(O67&lt;$C$4,"Put","Call"),O67,$C$4,$C$9*SQRT($C$7))+
_xll.qlBlackFormula(IF(O67&lt;$C$4,"Put","Call"),O67-$C$14,$C$4,$C$9*SQRT($C$7)))/$C$14^2,"")</f>
        <v/>
      </c>
      <c r="T67" s="42">
        <f>IFERROR((_xll.qlBlackFormula(IF(O67&lt;$C$4,"Put","Call"),O67+$C$14,$C$4,$C$10*SQRT($C$7),,$C$11)-
2*_xll.qlBlackFormula(IF(O67&lt;$C$4,"Put","Call"),O67,$C$4,$C$10*SQRT($C$7),,$C$11)+
_xll.qlBlackFormula(IF(O67&lt;$C$4,"Put","Call"),O67-$C$14,$C$4,$C$10*SQRT($C$7),,$C$11))/$C$14^2,"")</f>
        <v>24.576632395856279</v>
      </c>
      <c r="U67" s="43">
        <f>IFERROR((_xll.qlBachelierBlackFormula(IF(O67&lt;$C$4,"Put","Call"),O67+$C$14,$C$4,$C$12*SQRT($C$7))-
2*_xll.qlBachelierBlackFormula(IF(O67&lt;$C$4,"Put","Call"),O67,$C$4,$C$12*SQRT($C$7))+
_xll.qlBachelierBlackFormula(IF(O67&lt;$C$4,"Put","Call"),O67-$C$14,$C$4,$C$12*SQRT($C$7)))/$C$14^2,"")</f>
        <v>21.336927016890606</v>
      </c>
      <c r="V67" s="61" t="str">
        <f>IFERROR(_xll.qlBachelierBlackFormulaImpliedVol(IF(O67&lt;$C$4,"Put","Call"),O67,$C$4,$C$7,P67),"")</f>
        <v/>
      </c>
      <c r="W67" s="61">
        <f>IFERROR(_xll.qlBachelierBlackFormulaImpliedVol(IF(O67&lt;$C$4,"Put","Call"),O67,$C$4,$C$7,Q67),"")</f>
        <v>6.8224022462550528E-3</v>
      </c>
      <c r="X67" s="61">
        <f>IFERROR(_xll.qlBachelierBlackFormulaImpliedVol(IF(O67&lt;$C$4,"Put","Call"),O67,$C$4,$C$7,R67),"")</f>
        <v>7.2019999999997945E-3</v>
      </c>
      <c r="Y67" s="96">
        <f>_xll.qlSmileSectionVolatility($C$40,O67+$C$31)</f>
        <v>6.9170731449482697E-3</v>
      </c>
    </row>
    <row r="68" spans="15:25">
      <c r="O68" s="37">
        <f t="shared" si="0"/>
        <v>-3.7000000000000032E-3</v>
      </c>
      <c r="P68" s="38" t="str">
        <f>IFERROR(_xll.qlBlackFormula(IF(O68&lt;$C$4,"Put","Call"),O68,$C$4,$C$9*SQRT($C$7)),"")</f>
        <v/>
      </c>
      <c r="Q68" s="39">
        <f>IFERROR(_xll.qlBlackFormula(IF(O68&lt;$C$4,"Put","Call"),O68,$C$4,$C$10*SQRT($C$7),,$C$11),"")</f>
        <v>2.7030459588342631E-3</v>
      </c>
      <c r="R68" s="40">
        <f>IFERROR(_xll.qlBachelierBlackFormula(IF(O68&lt;$C$4,"Put","Call"),O68,$C$4,$C$12*SQRT($C$7)),"")</f>
        <v>2.9899978684759863E-3</v>
      </c>
      <c r="S68" s="41" t="str">
        <f>IFERROR((_xll.qlBlackFormula(IF(O68&lt;$C$4,"Put","Call"),O68+$C$14,$C$4,$C$9*SQRT($C$7))-
2*_xll.qlBlackFormula(IF(O68&lt;$C$4,"Put","Call"),O68,$C$4,$C$9*SQRT($C$7))+
_xll.qlBlackFormula(IF(O68&lt;$C$4,"Put","Call"),O68-$C$14,$C$4,$C$9*SQRT($C$7)))/$C$14^2,"")</f>
        <v/>
      </c>
      <c r="T68" s="42">
        <f>IFERROR((_xll.qlBlackFormula(IF(O68&lt;$C$4,"Put","Call"),O68+$C$14,$C$4,$C$10*SQRT($C$7),,$C$11)-
2*_xll.qlBlackFormula(IF(O68&lt;$C$4,"Put","Call"),O68,$C$4,$C$10*SQRT($C$7),,$C$11)+
_xll.qlBlackFormula(IF(O68&lt;$C$4,"Put","Call"),O68-$C$14,$C$4,$C$10*SQRT($C$7),,$C$11))/$C$14^2,"")</f>
        <v>24.625582822901393</v>
      </c>
      <c r="U68" s="43">
        <f>IFERROR((_xll.qlBachelierBlackFormula(IF(O68&lt;$C$4,"Put","Call"),O68+$C$14,$C$4,$C$12*SQRT($C$7))-
2*_xll.qlBachelierBlackFormula(IF(O68&lt;$C$4,"Put","Call"),O68,$C$4,$C$12*SQRT($C$7))+
_xll.qlBachelierBlackFormula(IF(O68&lt;$C$4,"Put","Call"),O68-$C$14,$C$4,$C$12*SQRT($C$7)))/$C$14^2,"")</f>
        <v>21.409037303382618</v>
      </c>
      <c r="V68" s="61" t="str">
        <f>IFERROR(_xll.qlBachelierBlackFormulaImpliedVol(IF(O68&lt;$C$4,"Put","Call"),O68,$C$4,$C$7,P68),"")</f>
        <v/>
      </c>
      <c r="W68" s="61">
        <f>IFERROR(_xll.qlBachelierBlackFormulaImpliedVol(IF(O68&lt;$C$4,"Put","Call"),O68,$C$4,$C$7,Q68),"")</f>
        <v>6.8267963599174192E-3</v>
      </c>
      <c r="X68" s="61">
        <f>IFERROR(_xll.qlBachelierBlackFormulaImpliedVol(IF(O68&lt;$C$4,"Put","Call"),O68,$C$4,$C$7,R68),"")</f>
        <v>7.2019999999998197E-3</v>
      </c>
      <c r="Y68" s="96">
        <f>_xll.qlSmileSectionVolatility($C$40,O68+$C$31)</f>
        <v>6.9193088855120004E-3</v>
      </c>
    </row>
    <row r="69" spans="15:25">
      <c r="O69" s="37">
        <f t="shared" si="0"/>
        <v>-3.6000000000000034E-3</v>
      </c>
      <c r="P69" s="38" t="str">
        <f>IFERROR(_xll.qlBlackFormula(IF(O69&lt;$C$4,"Put","Call"),O69,$C$4,$C$9*SQRT($C$7)),"")</f>
        <v/>
      </c>
      <c r="Q69" s="39">
        <f>IFERROR(_xll.qlBlackFormula(IF(O69&lt;$C$4,"Put","Call"),O69,$C$4,$C$10*SQRT($C$7),,$C$11),"")</f>
        <v>2.7349370939934795E-3</v>
      </c>
      <c r="R69" s="40">
        <f>IFERROR(_xll.qlBachelierBlackFormula(IF(O69&lt;$C$4,"Put","Call"),O69,$C$4,$C$12*SQRT($C$7)),"")</f>
        <v>3.0195568499585533E-3</v>
      </c>
      <c r="S69" s="41" t="str">
        <f>IFERROR((_xll.qlBlackFormula(IF(O69&lt;$C$4,"Put","Call"),O69+$C$14,$C$4,$C$9*SQRT($C$7))-
2*_xll.qlBlackFormula(IF(O69&lt;$C$4,"Put","Call"),O69,$C$4,$C$9*SQRT($C$7))+
_xll.qlBlackFormula(IF(O69&lt;$C$4,"Put","Call"),O69-$C$14,$C$4,$C$9*SQRT($C$7)))/$C$14^2,"")</f>
        <v/>
      </c>
      <c r="T69" s="42">
        <f>IFERROR((_xll.qlBlackFormula(IF(O69&lt;$C$4,"Put","Call"),O69+$C$14,$C$4,$C$10*SQRT($C$7),,$C$11)-
2*_xll.qlBlackFormula(IF(O69&lt;$C$4,"Put","Call"),O69,$C$4,$C$10*SQRT($C$7),,$C$11)+
_xll.qlBlackFormula(IF(O69&lt;$C$4,"Put","Call"),O69-$C$14,$C$4,$C$10*SQRT($C$7),,$C$11))/$C$14^2,"")</f>
        <v>24.673412618581025</v>
      </c>
      <c r="U69" s="43">
        <f>IFERROR((_xll.qlBachelierBlackFormula(IF(O69&lt;$C$4,"Put","Call"),O69+$C$14,$C$4,$C$12*SQRT($C$7))-
2*_xll.qlBachelierBlackFormula(IF(O69&lt;$C$4,"Put","Call"),O69,$C$4,$C$12*SQRT($C$7))+
_xll.qlBachelierBlackFormula(IF(O69&lt;$C$4,"Put","Call"),O69-$C$14,$C$4,$C$12*SQRT($C$7)))/$C$14^2,"")</f>
        <v>21.480563421744094</v>
      </c>
      <c r="V69" s="61" t="str">
        <f>IFERROR(_xll.qlBachelierBlackFormulaImpliedVol(IF(O69&lt;$C$4,"Put","Call"),O69,$C$4,$C$7,P69),"")</f>
        <v/>
      </c>
      <c r="W69" s="61">
        <f>IFERROR(_xll.qlBachelierBlackFormulaImpliedVol(IF(O69&lt;$C$4,"Put","Call"),O69,$C$4,$C$7,Q69),"")</f>
        <v>6.8311885198371882E-3</v>
      </c>
      <c r="X69" s="61">
        <f>IFERROR(_xll.qlBachelierBlackFormulaImpliedVol(IF(O69&lt;$C$4,"Put","Call"),O69,$C$4,$C$7,R69),"")</f>
        <v>7.2019999999998474E-3</v>
      </c>
      <c r="Y69" s="96">
        <f>_xll.qlSmileSectionVolatility($C$40,O69+$C$31)</f>
        <v>6.9215674654004144E-3</v>
      </c>
    </row>
    <row r="70" spans="15:25">
      <c r="O70" s="37">
        <f t="shared" si="0"/>
        <v>-3.5000000000000035E-3</v>
      </c>
      <c r="P70" s="38" t="str">
        <f>IFERROR(_xll.qlBlackFormula(IF(O70&lt;$C$4,"Put","Call"),O70,$C$4,$C$9*SQRT($C$7)),"")</f>
        <v/>
      </c>
      <c r="Q70" s="39">
        <f>IFERROR(_xll.qlBlackFormula(IF(O70&lt;$C$4,"Put","Call"),O70,$C$4,$C$10*SQRT($C$7),,$C$11),"")</f>
        <v>2.767074962212894E-3</v>
      </c>
      <c r="R70" s="40">
        <f>IFERROR(_xll.qlBachelierBlackFormula(IF(O70&lt;$C$4,"Put","Call"),O70,$C$4,$C$12*SQRT($C$7)),"")</f>
        <v>3.0493306365819242E-3</v>
      </c>
      <c r="S70" s="41" t="str">
        <f>IFERROR((_xll.qlBlackFormula(IF(O70&lt;$C$4,"Put","Call"),O70+$C$14,$C$4,$C$9*SQRT($C$7))-
2*_xll.qlBlackFormula(IF(O70&lt;$C$4,"Put","Call"),O70,$C$4,$C$9*SQRT($C$7))+
_xll.qlBlackFormula(IF(O70&lt;$C$4,"Put","Call"),O70-$C$14,$C$4,$C$9*SQRT($C$7)))/$C$14^2,"")</f>
        <v/>
      </c>
      <c r="T70" s="42">
        <f>IFERROR((_xll.qlBlackFormula(IF(O70&lt;$C$4,"Put","Call"),O70+$C$14,$C$4,$C$10*SQRT($C$7),,$C$11)-
2*_xll.qlBlackFormula(IF(O70&lt;$C$4,"Put","Call"),O70,$C$4,$C$10*SQRT($C$7),,$C$11)+
_xll.qlBlackFormula(IF(O70&lt;$C$4,"Put","Call"),O70-$C$14,$C$4,$C$10*SQRT($C$7),,$C$11))/$C$14^2,"")</f>
        <v>24.72007321063785</v>
      </c>
      <c r="U70" s="43">
        <f>IFERROR((_xll.qlBachelierBlackFormula(IF(O70&lt;$C$4,"Put","Call"),O70+$C$14,$C$4,$C$12*SQRT($C$7))-
2*_xll.qlBachelierBlackFormula(IF(O70&lt;$C$4,"Put","Call"),O70,$C$4,$C$12*SQRT($C$7))+
_xll.qlBachelierBlackFormula(IF(O70&lt;$C$4,"Put","Call"),O70-$C$14,$C$4,$C$12*SQRT($C$7)))/$C$14^2,"")</f>
        <v>21.551497132038524</v>
      </c>
      <c r="V70" s="61" t="str">
        <f>IFERROR(_xll.qlBachelierBlackFormulaImpliedVol(IF(O70&lt;$C$4,"Put","Call"),O70,$C$4,$C$7,P70),"")</f>
        <v/>
      </c>
      <c r="W70" s="61">
        <f>IFERROR(_xll.qlBachelierBlackFormulaImpliedVol(IF(O70&lt;$C$4,"Put","Call"),O70,$C$4,$C$7,Q70),"")</f>
        <v>6.8355787298627095E-3</v>
      </c>
      <c r="X70" s="61">
        <f>IFERROR(_xll.qlBachelierBlackFormulaImpliedVol(IF(O70&lt;$C$4,"Put","Call"),O70,$C$4,$C$7,R70),"")</f>
        <v>7.2019999999998726E-3</v>
      </c>
      <c r="Y70" s="96">
        <f>_xll.qlSmileSectionVolatility($C$40,O70+$C$31)</f>
        <v>6.9238489443264268E-3</v>
      </c>
    </row>
    <row r="71" spans="15:25">
      <c r="O71" s="37">
        <f t="shared" ref="O71:O134" si="1">O70+0.01%</f>
        <v>-3.4000000000000037E-3</v>
      </c>
      <c r="P71" s="38" t="str">
        <f>IFERROR(_xll.qlBlackFormula(IF(O71&lt;$C$4,"Put","Call"),O71,$C$4,$C$9*SQRT($C$7)),"")</f>
        <v/>
      </c>
      <c r="Q71" s="39">
        <f>IFERROR(_xll.qlBlackFormula(IF(O71&lt;$C$4,"Put","Call"),O71,$C$4,$C$10*SQRT($C$7),,$C$11),"")</f>
        <v>2.7994600301572241E-3</v>
      </c>
      <c r="R71" s="40">
        <f>IFERROR(_xll.qlBachelierBlackFormula(IF(O71&lt;$C$4,"Put","Call"),O71,$C$4,$C$12*SQRT($C$7)),"")</f>
        <v>3.0793199376752916E-3</v>
      </c>
      <c r="S71" s="41" t="str">
        <f>IFERROR((_xll.qlBlackFormula(IF(O71&lt;$C$4,"Put","Call"),O71+$C$14,$C$4,$C$9*SQRT($C$7))-
2*_xll.qlBlackFormula(IF(O71&lt;$C$4,"Put","Call"),O71,$C$4,$C$9*SQRT($C$7))+
_xll.qlBlackFormula(IF(O71&lt;$C$4,"Put","Call"),O71-$C$14,$C$4,$C$9*SQRT($C$7)))/$C$14^2,"")</f>
        <v/>
      </c>
      <c r="T71" s="42">
        <f>IFERROR((_xll.qlBlackFormula(IF(O71&lt;$C$4,"Put","Call"),O71+$C$14,$C$4,$C$10*SQRT($C$7),,$C$11)-
2*_xll.qlBlackFormula(IF(O71&lt;$C$4,"Put","Call"),O71,$C$4,$C$10*SQRT($C$7),,$C$11)+
_xll.qlBlackFormula(IF(O71&lt;$C$4,"Put","Call"),O71-$C$14,$C$4,$C$10*SQRT($C$7),,$C$11))/$C$14^2,"")</f>
        <v>24.765568068518817</v>
      </c>
      <c r="U71" s="43">
        <f>IFERROR((_xll.qlBachelierBlackFormula(IF(O71&lt;$C$4,"Put","Call"),O71+$C$14,$C$4,$C$12*SQRT($C$7))-
2*_xll.qlBachelierBlackFormula(IF(O71&lt;$C$4,"Put","Call"),O71,$C$4,$C$12*SQRT($C$7))+
_xll.qlBachelierBlackFormula(IF(O71&lt;$C$4,"Put","Call"),O71-$C$14,$C$4,$C$12*SQRT($C$7)))/$C$14^2,"")</f>
        <v>21.621832362733741</v>
      </c>
      <c r="V71" s="61" t="str">
        <f>IFERROR(_xll.qlBachelierBlackFormulaImpliedVol(IF(O71&lt;$C$4,"Put","Call"),O71,$C$4,$C$7,P71),"")</f>
        <v/>
      </c>
      <c r="W71" s="61">
        <f>IFERROR(_xll.qlBachelierBlackFormulaImpliedVol(IF(O71&lt;$C$4,"Put","Call"),O71,$C$4,$C$7,Q71),"")</f>
        <v>6.8399669938295537E-3</v>
      </c>
      <c r="X71" s="61">
        <f>IFERROR(_xll.qlBachelierBlackFormulaImpliedVol(IF(O71&lt;$C$4,"Put","Call"),O71,$C$4,$C$7,R71),"")</f>
        <v>7.2019999999999003E-3</v>
      </c>
      <c r="Y71" s="96">
        <f>_xll.qlSmileSectionVolatility($C$40,O71+$C$31)</f>
        <v>6.9261533809639791E-3</v>
      </c>
    </row>
    <row r="72" spans="15:25">
      <c r="O72" s="37">
        <f t="shared" si="1"/>
        <v>-3.3000000000000039E-3</v>
      </c>
      <c r="P72" s="38" t="str">
        <f>IFERROR(_xll.qlBlackFormula(IF(O72&lt;$C$4,"Put","Call"),O72,$C$4,$C$9*SQRT($C$7)),"")</f>
        <v/>
      </c>
      <c r="Q72" s="39">
        <f>IFERROR(_xll.qlBlackFormula(IF(O72&lt;$C$4,"Put","Call"),O72,$C$4,$C$10*SQRT($C$7),,$C$11),"")</f>
        <v>2.8320927530159912E-3</v>
      </c>
      <c r="R72" s="40">
        <f>IFERROR(_xll.qlBachelierBlackFormula(IF(O72&lt;$C$4,"Put","Call"),O72,$C$4,$C$12*SQRT($C$7)),"")</f>
        <v>3.1095254565729866E-3</v>
      </c>
      <c r="S72" s="41" t="str">
        <f>IFERROR((_xll.qlBlackFormula(IF(O72&lt;$C$4,"Put","Call"),O72+$C$14,$C$4,$C$9*SQRT($C$7))-
2*_xll.qlBlackFormula(IF(O72&lt;$C$4,"Put","Call"),O72,$C$4,$C$9*SQRT($C$7))+
_xll.qlBlackFormula(IF(O72&lt;$C$4,"Put","Call"),O72-$C$14,$C$4,$C$9*SQRT($C$7)))/$C$14^2,"")</f>
        <v/>
      </c>
      <c r="T72" s="42">
        <f>IFERROR((_xll.qlBlackFormula(IF(O72&lt;$C$4,"Put","Call"),O72+$C$14,$C$4,$C$10*SQRT($C$7),,$C$11)-
2*_xll.qlBlackFormula(IF(O72&lt;$C$4,"Put","Call"),O72,$C$4,$C$10*SQRT($C$7),,$C$11)+
_xll.qlBlackFormula(IF(O72&lt;$C$4,"Put","Call"),O72-$C$14,$C$4,$C$10*SQRT($C$7),,$C$11))/$C$14^2,"")</f>
        <v>24.809949233928208</v>
      </c>
      <c r="U72" s="43">
        <f>IFERROR((_xll.qlBachelierBlackFormula(IF(O72&lt;$C$4,"Put","Call"),O72+$C$14,$C$4,$C$12*SQRT($C$7))-
2*_xll.qlBachelierBlackFormula(IF(O72&lt;$C$4,"Put","Call"),O72,$C$4,$C$12*SQRT($C$7))+
_xll.qlBachelierBlackFormula(IF(O72&lt;$C$4,"Put","Call"),O72-$C$14,$C$4,$C$12*SQRT($C$7)))/$C$14^2,"")</f>
        <v>21.691559572850629</v>
      </c>
      <c r="V72" s="61" t="str">
        <f>IFERROR(_xll.qlBachelierBlackFormulaImpliedVol(IF(O72&lt;$C$4,"Put","Call"),O72,$C$4,$C$7,P72),"")</f>
        <v/>
      </c>
      <c r="W72" s="61">
        <f>IFERROR(_xll.qlBachelierBlackFormulaImpliedVol(IF(O72&lt;$C$4,"Put","Call"),O72,$C$4,$C$7,Q72),"")</f>
        <v>6.8443533155605543E-3</v>
      </c>
      <c r="X72" s="61">
        <f>IFERROR(_xll.qlBachelierBlackFormulaImpliedVol(IF(O72&lt;$C$4,"Put","Call"),O72,$C$4,$C$7,R72),"")</f>
        <v>7.2019999999999289E-3</v>
      </c>
      <c r="Y72" s="96">
        <f>_xll.qlSmileSectionVolatility($C$40,O72+$C$31)</f>
        <v>6.9284808329420052E-3</v>
      </c>
    </row>
    <row r="73" spans="15:25">
      <c r="O73" s="37">
        <f t="shared" si="1"/>
        <v>-3.2000000000000041E-3</v>
      </c>
      <c r="P73" s="38" t="str">
        <f>IFERROR(_xll.qlBlackFormula(IF(O73&lt;$C$4,"Put","Call"),O73,$C$4,$C$9*SQRT($C$7)),"")</f>
        <v/>
      </c>
      <c r="Q73" s="39">
        <f>IFERROR(_xll.qlBlackFormula(IF(O73&lt;$C$4,"Put","Call"),O73,$C$4,$C$10*SQRT($C$7),,$C$11),"")</f>
        <v>2.8649735744846298E-3</v>
      </c>
      <c r="R73" s="40">
        <f>IFERROR(_xll.qlBachelierBlackFormula(IF(O73&lt;$C$4,"Put","Call"),O73,$C$4,$C$12*SQRT($C$7)),"")</f>
        <v>3.1399478905405811E-3</v>
      </c>
      <c r="S73" s="41" t="str">
        <f>IFERROR((_xll.qlBlackFormula(IF(O73&lt;$C$4,"Put","Call"),O73+$C$14,$C$4,$C$9*SQRT($C$7))-
2*_xll.qlBlackFormula(IF(O73&lt;$C$4,"Put","Call"),O73,$C$4,$C$9*SQRT($C$7))+
_xll.qlBlackFormula(IF(O73&lt;$C$4,"Put","Call"),O73-$C$14,$C$4,$C$9*SQRT($C$7)))/$C$14^2,"")</f>
        <v/>
      </c>
      <c r="T73" s="42">
        <f>IFERROR((_xll.qlBlackFormula(IF(O73&lt;$C$4,"Put","Call"),O73+$C$14,$C$4,$C$10*SQRT($C$7),,$C$11)-
2*_xll.qlBlackFormula(IF(O73&lt;$C$4,"Put","Call"),O73,$C$4,$C$10*SQRT($C$7),,$C$11)+
_xll.qlBlackFormula(IF(O73&lt;$C$4,"Put","Call"),O73-$C$14,$C$4,$C$10*SQRT($C$7),,$C$11))/$C$14^2,"")</f>
        <v>24.853182012396502</v>
      </c>
      <c r="U73" s="43">
        <f>IFERROR((_xll.qlBachelierBlackFormula(IF(O73&lt;$C$4,"Put","Call"),O73+$C$14,$C$4,$C$12*SQRT($C$7))-
2*_xll.qlBachelierBlackFormula(IF(O73&lt;$C$4,"Put","Call"),O73,$C$4,$C$12*SQRT($C$7))+
_xll.qlBachelierBlackFormula(IF(O73&lt;$C$4,"Put","Call"),O73-$C$14,$C$4,$C$12*SQRT($C$7)))/$C$14^2,"")</f>
        <v>21.760670956133545</v>
      </c>
      <c r="V73" s="61" t="str">
        <f>IFERROR(_xll.qlBachelierBlackFormulaImpliedVol(IF(O73&lt;$C$4,"Put","Call"),O73,$C$4,$C$7,P73),"")</f>
        <v/>
      </c>
      <c r="W73" s="61">
        <f>IFERROR(_xll.qlBachelierBlackFormulaImpliedVol(IF(O73&lt;$C$4,"Put","Call"),O73,$C$4,$C$7,Q73),"")</f>
        <v>6.848737698865931E-3</v>
      </c>
      <c r="X73" s="61">
        <f>IFERROR(_xll.qlBachelierBlackFormulaImpliedVol(IF(O73&lt;$C$4,"Put","Call"),O73,$C$4,$C$7,R73),"")</f>
        <v>7.2019999999999602E-3</v>
      </c>
      <c r="Y73" s="96">
        <f>_xll.qlSmileSectionVolatility($C$40,O73+$C$31)</f>
        <v>6.9308313568383463E-3</v>
      </c>
    </row>
    <row r="74" spans="15:25">
      <c r="O74" s="37">
        <f t="shared" si="1"/>
        <v>-3.1000000000000042E-3</v>
      </c>
      <c r="P74" s="38" t="str">
        <f>IFERROR(_xll.qlBlackFormula(IF(O74&lt;$C$4,"Put","Call"),O74,$C$4,$C$9*SQRT($C$7)),"")</f>
        <v/>
      </c>
      <c r="Q74" s="39">
        <f>IFERROR(_xll.qlBlackFormula(IF(O74&lt;$C$4,"Put","Call"),O74,$C$4,$C$10*SQRT($C$7),,$C$11),"")</f>
        <v>2.8981029267472237E-3</v>
      </c>
      <c r="R74" s="40">
        <f>IFERROR(_xll.qlBachelierBlackFormula(IF(O74&lt;$C$4,"Put","Call"),O74,$C$4,$C$12*SQRT($C$7)),"")</f>
        <v>3.1705879307014628E-3</v>
      </c>
      <c r="S74" s="41" t="str">
        <f>IFERROR((_xll.qlBlackFormula(IF(O74&lt;$C$4,"Put","Call"),O74+$C$14,$C$4,$C$9*SQRT($C$7))-
2*_xll.qlBlackFormula(IF(O74&lt;$C$4,"Put","Call"),O74,$C$4,$C$9*SQRT($C$7))+
_xll.qlBlackFormula(IF(O74&lt;$C$4,"Put","Call"),O74-$C$14,$C$4,$C$9*SQRT($C$7)))/$C$14^2,"")</f>
        <v/>
      </c>
      <c r="T74" s="42">
        <f>IFERROR((_xll.qlBlackFormula(IF(O74&lt;$C$4,"Put","Call"),O74+$C$14,$C$4,$C$10*SQRT($C$7),,$C$11)-
2*_xll.qlBlackFormula(IF(O74&lt;$C$4,"Put","Call"),O74,$C$4,$C$10*SQRT($C$7),,$C$11)+
_xll.qlBlackFormula(IF(O74&lt;$C$4,"Put","Call"),O74-$C$14,$C$4,$C$10*SQRT($C$7),,$C$11))/$C$14^2,"")</f>
        <v>24.895252526135891</v>
      </c>
      <c r="U74" s="43">
        <f>IFERROR((_xll.qlBachelierBlackFormula(IF(O74&lt;$C$4,"Put","Call"),O74+$C$14,$C$4,$C$12*SQRT($C$7))-
2*_xll.qlBachelierBlackFormula(IF(O74&lt;$C$4,"Put","Call"),O74,$C$4,$C$12*SQRT($C$7))+
_xll.qlBachelierBlackFormula(IF(O74&lt;$C$4,"Put","Call"),O74-$C$14,$C$4,$C$12*SQRT($C$7)))/$C$14^2,"")</f>
        <v>21.829164344178142</v>
      </c>
      <c r="V74" s="61" t="str">
        <f>IFERROR(_xll.qlBachelierBlackFormulaImpliedVol(IF(O74&lt;$C$4,"Put","Call"),O74,$C$4,$C$7,P74),"")</f>
        <v/>
      </c>
      <c r="W74" s="61">
        <f>IFERROR(_xll.qlBachelierBlackFormulaImpliedVol(IF(O74&lt;$C$4,"Put","Call"),O74,$C$4,$C$7,Q74),"")</f>
        <v>6.8531201475433255E-3</v>
      </c>
      <c r="X74" s="61">
        <f>IFERROR(_xll.qlBachelierBlackFormulaImpliedVol(IF(O74&lt;$C$4,"Put","Call"),O74,$C$4,$C$7,R74),"")</f>
        <v>7.2019999999999819E-3</v>
      </c>
      <c r="Y74" s="96">
        <f>_xll.qlSmileSectionVolatility($C$40,O74+$C$31)</f>
        <v>6.9332050081740296E-3</v>
      </c>
    </row>
    <row r="75" spans="15:25">
      <c r="O75" s="37">
        <f t="shared" si="1"/>
        <v>-3.0000000000000044E-3</v>
      </c>
      <c r="P75" s="38" t="str">
        <f>IFERROR(_xll.qlBlackFormula(IF(O75&lt;$C$4,"Put","Call"),O75,$C$4,$C$9*SQRT($C$7)),"")</f>
        <v/>
      </c>
      <c r="Q75" s="39">
        <f>IFERROR(_xll.qlBlackFormula(IF(O75&lt;$C$4,"Put","Call"),O75,$C$4,$C$10*SQRT($C$7),,$C$11),"")</f>
        <v>2.9314812304609486E-3</v>
      </c>
      <c r="R75" s="40">
        <f>IFERROR(_xll.qlBachelierBlackFormula(IF(O75&lt;$C$4,"Put","Call"),O75,$C$4,$C$12*SQRT($C$7)),"")</f>
        <v>3.2014462619638895E-3</v>
      </c>
      <c r="S75" s="41" t="str">
        <f>IFERROR((_xll.qlBlackFormula(IF(O75&lt;$C$4,"Put","Call"),O75+$C$14,$C$4,$C$9*SQRT($C$7))-
2*_xll.qlBlackFormula(IF(O75&lt;$C$4,"Put","Call"),O75,$C$4,$C$9*SQRT($C$7))+
_xll.qlBlackFormula(IF(O75&lt;$C$4,"Put","Call"),O75-$C$14,$C$4,$C$9*SQRT($C$7)))/$C$14^2,"")</f>
        <v/>
      </c>
      <c r="T75" s="42">
        <f>IFERROR((_xll.qlBlackFormula(IF(O75&lt;$C$4,"Put","Call"),O75+$C$14,$C$4,$C$10*SQRT($C$7),,$C$11)-
2*_xll.qlBlackFormula(IF(O75&lt;$C$4,"Put","Call"),O75,$C$4,$C$10*SQRT($C$7),,$C$11)+
_xll.qlBlackFormula(IF(O75&lt;$C$4,"Put","Call"),O75-$C$14,$C$4,$C$10*SQRT($C$7),,$C$11))/$C$14^2,"")</f>
        <v>24.936160775146377</v>
      </c>
      <c r="U75" s="43">
        <f>IFERROR((_xll.qlBachelierBlackFormula(IF(O75&lt;$C$4,"Put","Call"),O75+$C$14,$C$4,$C$12*SQRT($C$7))-
2*_xll.qlBachelierBlackFormula(IF(O75&lt;$C$4,"Put","Call"),O75,$C$4,$C$12*SQRT($C$7))+
_xll.qlBachelierBlackFormula(IF(O75&lt;$C$4,"Put","Call"),O75-$C$14,$C$4,$C$12*SQRT($C$7)))/$C$14^2,"")</f>
        <v>21.897022823430536</v>
      </c>
      <c r="V75" s="61" t="str">
        <f>IFERROR(_xll.qlBachelierBlackFormulaImpliedVol(IF(O75&lt;$C$4,"Put","Call"),O75,$C$4,$C$7,P75),"")</f>
        <v/>
      </c>
      <c r="W75" s="61">
        <f>IFERROR(_xll.qlBachelierBlackFormulaImpliedVol(IF(O75&lt;$C$4,"Put","Call"),O75,$C$4,$C$7,Q75),"")</f>
        <v>6.8575006653778274E-3</v>
      </c>
      <c r="X75" s="61">
        <f>IFERROR(_xll.qlBachelierBlackFormulaImpliedVol(IF(O75&lt;$C$4,"Put","Call"),O75,$C$4,$C$7,R75),"")</f>
        <v>7.2020000000000122E-3</v>
      </c>
      <c r="Y75" s="96">
        <f>_xll.qlSmileSectionVolatility($C$40,O75+$C$31)</f>
        <v>6.9356018414074511E-3</v>
      </c>
    </row>
    <row r="76" spans="15:25">
      <c r="O76" s="37">
        <f t="shared" si="1"/>
        <v>-2.9000000000000046E-3</v>
      </c>
      <c r="P76" s="38" t="str">
        <f>IFERROR(_xll.qlBlackFormula(IF(O76&lt;$C$4,"Put","Call"),O76,$C$4,$C$9*SQRT($C$7)),"")</f>
        <v/>
      </c>
      <c r="Q76" s="39">
        <f>IFERROR(_xll.qlBlackFormula(IF(O76&lt;$C$4,"Put","Call"),O76,$C$4,$C$10*SQRT($C$7),,$C$11),"")</f>
        <v>2.9651088947422501E-3</v>
      </c>
      <c r="R76" s="40">
        <f>IFERROR(_xll.qlBachelierBlackFormula(IF(O76&lt;$C$4,"Put","Call"),O76,$C$4,$C$12*SQRT($C$7)),"")</f>
        <v>3.2325235629485135E-3</v>
      </c>
      <c r="S76" s="41" t="str">
        <f>IFERROR((_xll.qlBlackFormula(IF(O76&lt;$C$4,"Put","Call"),O76+$C$14,$C$4,$C$9*SQRT($C$7))-
2*_xll.qlBlackFormula(IF(O76&lt;$C$4,"Put","Call"),O76,$C$4,$C$9*SQRT($C$7))+
_xll.qlBlackFormula(IF(O76&lt;$C$4,"Put","Call"),O76-$C$14,$C$4,$C$9*SQRT($C$7)))/$C$14^2,"")</f>
        <v/>
      </c>
      <c r="T76" s="42">
        <f>IFERROR((_xll.qlBlackFormula(IF(O76&lt;$C$4,"Put","Call"),O76+$C$14,$C$4,$C$10*SQRT($C$7),,$C$11)-
2*_xll.qlBlackFormula(IF(O76&lt;$C$4,"Put","Call"),O76,$C$4,$C$10*SQRT($C$7),,$C$11)+
_xll.qlBlackFormula(IF(O76&lt;$C$4,"Put","Call"),O76-$C$14,$C$4,$C$10*SQRT($C$7),,$C$11))/$C$14^2,"")</f>
        <v>24.975910228874909</v>
      </c>
      <c r="U76" s="43">
        <f>IFERROR((_xll.qlBachelierBlackFormula(IF(O76&lt;$C$4,"Put","Call"),O76+$C$14,$C$4,$C$12*SQRT($C$7))-
2*_xll.qlBachelierBlackFormula(IF(O76&lt;$C$4,"Put","Call"),O76,$C$4,$C$12*SQRT($C$7))+
_xll.qlBachelierBlackFormula(IF(O76&lt;$C$4,"Put","Call"),O76-$C$14,$C$4,$C$12*SQRT($C$7)))/$C$14^2,"")</f>
        <v>21.964251598061146</v>
      </c>
      <c r="V76" s="61" t="str">
        <f>IFERROR(_xll.qlBachelierBlackFormulaImpliedVol(IF(O76&lt;$C$4,"Put","Call"),O76,$C$4,$C$7,P76),"")</f>
        <v/>
      </c>
      <c r="W76" s="61">
        <f>IFERROR(_xll.qlBachelierBlackFormulaImpliedVol(IF(O76&lt;$C$4,"Put","Call"),O76,$C$4,$C$7,Q76),"")</f>
        <v>6.8618792561420472E-3</v>
      </c>
      <c r="X76" s="61">
        <f>IFERROR(_xll.qlBachelierBlackFormulaImpliedVol(IF(O76&lt;$C$4,"Put","Call"),O76,$C$4,$C$7,R76),"")</f>
        <v>7.2020000000000322E-3</v>
      </c>
      <c r="Y76" s="96">
        <f>_xll.qlSmileSectionVolatility($C$40,O76+$C$31)</f>
        <v>6.9380219099289811E-3</v>
      </c>
    </row>
    <row r="77" spans="15:25">
      <c r="O77" s="37">
        <f t="shared" si="1"/>
        <v>-2.8000000000000047E-3</v>
      </c>
      <c r="P77" s="38" t="str">
        <f>IFERROR(_xll.qlBlackFormula(IF(O77&lt;$C$4,"Put","Call"),O77,$C$4,$C$9*SQRT($C$7)),"")</f>
        <v/>
      </c>
      <c r="Q77" s="39">
        <f>IFERROR(_xll.qlBlackFormula(IF(O77&lt;$C$4,"Put","Call"),O77,$C$4,$C$10*SQRT($C$7),,$C$11),"")</f>
        <v>2.9989863171547039E-3</v>
      </c>
      <c r="R77" s="40">
        <f>IFERROR(_xll.qlBachelierBlackFormula(IF(O77&lt;$C$4,"Put","Call"),O77,$C$4,$C$12*SQRT($C$7)),"")</f>
        <v>3.263820505916437E-3</v>
      </c>
      <c r="S77" s="41" t="str">
        <f>IFERROR((_xll.qlBlackFormula(IF(O77&lt;$C$4,"Put","Call"),O77+$C$14,$C$4,$C$9*SQRT($C$7))-
2*_xll.qlBlackFormula(IF(O77&lt;$C$4,"Put","Call"),O77,$C$4,$C$9*SQRT($C$7))+
_xll.qlBlackFormula(IF(O77&lt;$C$4,"Put","Call"),O77-$C$14,$C$4,$C$9*SQRT($C$7)))/$C$14^2,"")</f>
        <v/>
      </c>
      <c r="T77" s="42">
        <f>IFERROR((_xll.qlBlackFormula(IF(O77&lt;$C$4,"Put","Call"),O77+$C$14,$C$4,$C$10*SQRT($C$7),,$C$11)-
2*_xll.qlBlackFormula(IF(O77&lt;$C$4,"Put","Call"),O77,$C$4,$C$10*SQRT($C$7),,$C$11)+
_xll.qlBlackFormula(IF(O77&lt;$C$4,"Put","Call"),O77-$C$14,$C$4,$C$10*SQRT($C$7),,$C$11))/$C$14^2,"")</f>
        <v>25.014507826215393</v>
      </c>
      <c r="U77" s="43">
        <f>IFERROR((_xll.qlBachelierBlackFormula(IF(O77&lt;$C$4,"Put","Call"),O77+$C$14,$C$4,$C$12*SQRT($C$7))-
2*_xll.qlBachelierBlackFormula(IF(O77&lt;$C$4,"Put","Call"),O77,$C$4,$C$12*SQRT($C$7))+
_xll.qlBachelierBlackFormula(IF(O77&lt;$C$4,"Put","Call"),O77-$C$14,$C$4,$C$12*SQRT($C$7)))/$C$14^2,"")</f>
        <v>22.030837657643911</v>
      </c>
      <c r="V77" s="61" t="str">
        <f>IFERROR(_xll.qlBachelierBlackFormulaImpliedVol(IF(O77&lt;$C$4,"Put","Call"),O77,$C$4,$C$7,P77),"")</f>
        <v/>
      </c>
      <c r="W77" s="61">
        <f>IFERROR(_xll.qlBachelierBlackFormulaImpliedVol(IF(O77&lt;$C$4,"Put","Call"),O77,$C$4,$C$7,Q77),"")</f>
        <v>6.866255923596189E-3</v>
      </c>
      <c r="X77" s="61">
        <f>IFERROR(_xll.qlBachelierBlackFormulaImpliedVol(IF(O77&lt;$C$4,"Put","Call"),O77,$C$4,$C$7,R77),"")</f>
        <v>7.2020000000000538E-3</v>
      </c>
      <c r="Y77" s="96">
        <f>_xll.qlSmileSectionVolatility($C$40,O77+$C$31)</f>
        <v>6.9404652660553651E-3</v>
      </c>
    </row>
    <row r="78" spans="15:25">
      <c r="O78" s="37">
        <f t="shared" si="1"/>
        <v>-2.7000000000000049E-3</v>
      </c>
      <c r="P78" s="38" t="str">
        <f>IFERROR(_xll.qlBlackFormula(IF(O78&lt;$C$4,"Put","Call"),O78,$C$4,$C$9*SQRT($C$7)),"")</f>
        <v/>
      </c>
      <c r="Q78" s="39">
        <f>IFERROR(_xll.qlBlackFormula(IF(O78&lt;$C$4,"Put","Call"),O78,$C$4,$C$10*SQRT($C$7),,$C$11),"")</f>
        <v>3.0331138836985697E-3</v>
      </c>
      <c r="R78" s="40">
        <f>IFERROR(_xll.qlBachelierBlackFormula(IF(O78&lt;$C$4,"Put","Call"),O78,$C$4,$C$12*SQRT($C$7)),"")</f>
        <v>3.295337756697755E-3</v>
      </c>
      <c r="S78" s="41" t="str">
        <f>IFERROR((_xll.qlBlackFormula(IF(O78&lt;$C$4,"Put","Call"),O78+$C$14,$C$4,$C$9*SQRT($C$7))-
2*_xll.qlBlackFormula(IF(O78&lt;$C$4,"Put","Call"),O78,$C$4,$C$9*SQRT($C$7))+
_xll.qlBlackFormula(IF(O78&lt;$C$4,"Put","Call"),O78-$C$14,$C$4,$C$9*SQRT($C$7)))/$C$14^2,"")</f>
        <v/>
      </c>
      <c r="T78" s="42">
        <f>IFERROR((_xll.qlBlackFormula(IF(O78&lt;$C$4,"Put","Call"),O78+$C$14,$C$4,$C$10*SQRT($C$7),,$C$11)-
2*_xll.qlBlackFormula(IF(O78&lt;$C$4,"Put","Call"),O78,$C$4,$C$10*SQRT($C$7),,$C$11)+
_xll.qlBlackFormula(IF(O78&lt;$C$4,"Put","Call"),O78-$C$14,$C$4,$C$10*SQRT($C$7),,$C$11))/$C$14^2,"")</f>
        <v>25.051953567167828</v>
      </c>
      <c r="U78" s="43">
        <f>IFERROR((_xll.qlBachelierBlackFormula(IF(O78&lt;$C$4,"Put","Call"),O78+$C$14,$C$4,$C$12*SQRT($C$7))-
2*_xll.qlBachelierBlackFormula(IF(O78&lt;$C$4,"Put","Call"),O78,$C$4,$C$12*SQRT($C$7))+
_xll.qlBachelierBlackFormula(IF(O78&lt;$C$4,"Put","Call"),O78-$C$14,$C$4,$C$12*SQRT($C$7)))/$C$14^2,"")</f>
        <v>22.096770593837967</v>
      </c>
      <c r="V78" s="61" t="str">
        <f>IFERROR(_xll.qlBachelierBlackFormulaImpliedVol(IF(O78&lt;$C$4,"Put","Call"),O78,$C$4,$C$7,P78),"")</f>
        <v/>
      </c>
      <c r="W78" s="61">
        <f>IFERROR(_xll.qlBachelierBlackFormulaImpliedVol(IF(O78&lt;$C$4,"Put","Call"),O78,$C$4,$C$7,Q78),"")</f>
        <v>6.8706306714881073E-3</v>
      </c>
      <c r="X78" s="61">
        <f>IFERROR(_xll.qlBachelierBlackFormulaImpliedVol(IF(O78&lt;$C$4,"Put","Call"),O78,$C$4,$C$7,R78),"")</f>
        <v>7.202000000000079E-3</v>
      </c>
      <c r="Y78" s="96">
        <f>_xll.qlSmileSectionVolatility($C$40,O78+$C$31)</f>
        <v>6.9429319610246334E-3</v>
      </c>
    </row>
    <row r="79" spans="15:25">
      <c r="O79" s="37">
        <f t="shared" si="1"/>
        <v>-2.6000000000000051E-3</v>
      </c>
      <c r="P79" s="38" t="str">
        <f>IFERROR(_xll.qlBlackFormula(IF(O79&lt;$C$4,"Put","Call"),O79,$C$4,$C$9*SQRT($C$7)),"")</f>
        <v/>
      </c>
      <c r="Q79" s="39">
        <f>IFERROR(_xll.qlBlackFormula(IF(O79&lt;$C$4,"Put","Call"),O79,$C$4,$C$10*SQRT($C$7),,$C$11),"")</f>
        <v>3.0674919688019886E-3</v>
      </c>
      <c r="R79" s="40">
        <f>IFERROR(_xll.qlBachelierBlackFormula(IF(O79&lt;$C$4,"Put","Call"),O79,$C$4,$C$12*SQRT($C$7)),"")</f>
        <v>3.3270759746206408E-3</v>
      </c>
      <c r="S79" s="41" t="str">
        <f>IFERROR((_xll.qlBlackFormula(IF(O79&lt;$C$4,"Put","Call"),O79+$C$14,$C$4,$C$9*SQRT($C$7))-
2*_xll.qlBlackFormula(IF(O79&lt;$C$4,"Put","Call"),O79,$C$4,$C$9*SQRT($C$7))+
_xll.qlBlackFormula(IF(O79&lt;$C$4,"Put","Call"),O79-$C$14,$C$4,$C$9*SQRT($C$7)))/$C$14^2,"")</f>
        <v/>
      </c>
      <c r="T79" s="42">
        <f>IFERROR((_xll.qlBlackFormula(IF(O79&lt;$C$4,"Put","Call"),O79+$C$14,$C$4,$C$10*SQRT($C$7),,$C$11)-
2*_xll.qlBlackFormula(IF(O79&lt;$C$4,"Put","Call"),O79,$C$4,$C$10*SQRT($C$7),,$C$11)+
_xll.qlBlackFormula(IF(O79&lt;$C$4,"Put","Call"),O79-$C$14,$C$4,$C$10*SQRT($C$7),,$C$11))/$C$14^2,"")</f>
        <v>25.088243982285263</v>
      </c>
      <c r="U79" s="43">
        <f>IFERROR((_xll.qlBachelierBlackFormula(IF(O79&lt;$C$4,"Put","Call"),O79+$C$14,$C$4,$C$12*SQRT($C$7))-
2*_xll.qlBachelierBlackFormula(IF(O79&lt;$C$4,"Put","Call"),O79,$C$4,$C$12*SQRT($C$7))+
_xll.qlBachelierBlackFormula(IF(O79&lt;$C$4,"Put","Call"),O79-$C$14,$C$4,$C$12*SQRT($C$7)))/$C$14^2,"")</f>
        <v>22.162046069834631</v>
      </c>
      <c r="V79" s="61" t="str">
        <f>IFERROR(_xll.qlBachelierBlackFormulaImpliedVol(IF(O79&lt;$C$4,"Put","Call"),O79,$C$4,$C$7,P79),"")</f>
        <v/>
      </c>
      <c r="W79" s="61">
        <f>IFERROR(_xll.qlBachelierBlackFormulaImpliedVol(IF(O79&lt;$C$4,"Put","Call"),O79,$C$4,$C$7,Q79),"")</f>
        <v>6.875003503553345E-3</v>
      </c>
      <c r="X79" s="61">
        <f>IFERROR(_xll.qlBachelierBlackFormulaImpliedVol(IF(O79&lt;$C$4,"Put","Call"),O79,$C$4,$C$7,R79),"")</f>
        <v>7.2020000000000989E-3</v>
      </c>
      <c r="Y79" s="96">
        <f>_xll.qlSmileSectionVolatility($C$40,O79+$C$31)</f>
        <v>6.9454220449909456E-3</v>
      </c>
    </row>
    <row r="80" spans="15:25">
      <c r="O80" s="37">
        <f t="shared" si="1"/>
        <v>-2.5000000000000053E-3</v>
      </c>
      <c r="P80" s="38" t="str">
        <f>IFERROR(_xll.qlBlackFormula(IF(O80&lt;$C$4,"Put","Call"),O80,$C$4,$C$9*SQRT($C$7)),"")</f>
        <v/>
      </c>
      <c r="Q80" s="39">
        <f>IFERROR(_xll.qlBlackFormula(IF(O80&lt;$C$4,"Put","Call"),O80,$C$4,$C$10*SQRT($C$7),,$C$11),"")</f>
        <v>3.1021209353138714E-3</v>
      </c>
      <c r="R80" s="40">
        <f>IFERROR(_xll.qlBachelierBlackFormula(IF(O80&lt;$C$4,"Put","Call"),O80,$C$4,$C$12*SQRT($C$7)),"")</f>
        <v>3.3590358124409663E-3</v>
      </c>
      <c r="S80" s="41" t="str">
        <f>IFERROR((_xll.qlBlackFormula(IF(O80&lt;$C$4,"Put","Call"),O80+$C$14,$C$4,$C$9*SQRT($C$7))-
2*_xll.qlBlackFormula(IF(O80&lt;$C$4,"Put","Call"),O80,$C$4,$C$9*SQRT($C$7))+
_xll.qlBlackFormula(IF(O80&lt;$C$4,"Put","Call"),O80-$C$14,$C$4,$C$9*SQRT($C$7)))/$C$14^2,"")</f>
        <v/>
      </c>
      <c r="T80" s="42">
        <f>IFERROR((_xll.qlBlackFormula(IF(O80&lt;$C$4,"Put","Call"),O80+$C$14,$C$4,$C$10*SQRT($C$7),,$C$11)-
2*_xll.qlBlackFormula(IF(O80&lt;$C$4,"Put","Call"),O80,$C$4,$C$10*SQRT($C$7),,$C$11)+
_xll.qlBlackFormula(IF(O80&lt;$C$4,"Put","Call"),O80-$C$14,$C$4,$C$10*SQRT($C$7),,$C$11))/$C$14^2,"")</f>
        <v>25.123361724332938</v>
      </c>
      <c r="U80" s="43">
        <f>IFERROR((_xll.qlBachelierBlackFormula(IF(O80&lt;$C$4,"Put","Call"),O80+$C$14,$C$4,$C$12*SQRT($C$7))-
2*_xll.qlBachelierBlackFormula(IF(O80&lt;$C$4,"Put","Call"),O80,$C$4,$C$12*SQRT($C$7))+
_xll.qlBachelierBlackFormula(IF(O80&lt;$C$4,"Put","Call"),O80-$C$14,$C$4,$C$12*SQRT($C$7)))/$C$14^2,"")</f>
        <v>22.226655412016516</v>
      </c>
      <c r="V80" s="61" t="str">
        <f>IFERROR(_xll.qlBachelierBlackFormulaImpliedVol(IF(O80&lt;$C$4,"Put","Call"),O80,$C$4,$C$7,P80),"")</f>
        <v/>
      </c>
      <c r="W80" s="61">
        <f>IFERROR(_xll.qlBachelierBlackFormulaImpliedVol(IF(O80&lt;$C$4,"Put","Call"),O80,$C$4,$C$7,Q80),"")</f>
        <v>6.8793744235152079E-3</v>
      </c>
      <c r="X80" s="61">
        <f>IFERROR(_xll.qlBachelierBlackFormulaImpliedVol(IF(O80&lt;$C$4,"Put","Call"),O80,$C$4,$C$7,R80),"")</f>
        <v>7.2020000000001137E-3</v>
      </c>
      <c r="Y80" s="96">
        <f>_xll.qlSmileSectionVolatility($C$40,O80+$C$31)</f>
        <v>6.9479355670196644E-3</v>
      </c>
    </row>
    <row r="81" spans="15:25">
      <c r="O81" s="37">
        <f t="shared" si="1"/>
        <v>-2.4000000000000054E-3</v>
      </c>
      <c r="P81" s="38" t="str">
        <f>IFERROR(_xll.qlBlackFormula(IF(O81&lt;$C$4,"Put","Call"),O81,$C$4,$C$9*SQRT($C$7)),"")</f>
        <v/>
      </c>
      <c r="Q81" s="39">
        <f>IFERROR(_xll.qlBlackFormula(IF(O81&lt;$C$4,"Put","Call"),O81,$C$4,$C$10*SQRT($C$7),,$C$11),"")</f>
        <v>3.1370011344984232E-3</v>
      </c>
      <c r="R81" s="40">
        <f>IFERROR(_xll.qlBachelierBlackFormula(IF(O81&lt;$C$4,"Put","Call"),O81,$C$4,$C$12*SQRT($C$7)),"")</f>
        <v>3.3912179162724717E-3</v>
      </c>
      <c r="S81" s="41" t="str">
        <f>IFERROR((_xll.qlBlackFormula(IF(O81&lt;$C$4,"Put","Call"),O81+$C$14,$C$4,$C$9*SQRT($C$7))-
2*_xll.qlBlackFormula(IF(O81&lt;$C$4,"Put","Call"),O81,$C$4,$C$9*SQRT($C$7))+
_xll.qlBlackFormula(IF(O81&lt;$C$4,"Put","Call"),O81-$C$14,$C$4,$C$9*SQRT($C$7)))/$C$14^2,"")</f>
        <v/>
      </c>
      <c r="T81" s="42">
        <f>IFERROR((_xll.qlBlackFormula(IF(O81&lt;$C$4,"Put","Call"),O81+$C$14,$C$4,$C$10*SQRT($C$7),,$C$11)-
2*_xll.qlBlackFormula(IF(O81&lt;$C$4,"Put","Call"),O81,$C$4,$C$10*SQRT($C$7),,$C$11)+
_xll.qlBlackFormula(IF(O81&lt;$C$4,"Put","Call"),O81-$C$14,$C$4,$C$10*SQRT($C$7),,$C$11))/$C$14^2,"")</f>
        <v>25.157324140545612</v>
      </c>
      <c r="U81" s="43">
        <f>IFERROR((_xll.qlBachelierBlackFormula(IF(O81&lt;$C$4,"Put","Call"),O81+$C$14,$C$4,$C$12*SQRT($C$7))-
2*_xll.qlBachelierBlackFormula(IF(O81&lt;$C$4,"Put","Call"),O81,$C$4,$C$12*SQRT($C$7))+
_xll.qlBachelierBlackFormula(IF(O81&lt;$C$4,"Put","Call"),O81-$C$14,$C$4,$C$12*SQRT($C$7)))/$C$14^2,"")</f>
        <v>22.290597319341021</v>
      </c>
      <c r="V81" s="61" t="str">
        <f>IFERROR(_xll.qlBachelierBlackFormulaImpliedVol(IF(O81&lt;$C$4,"Put","Call"),O81,$C$4,$C$7,P81),"")</f>
        <v/>
      </c>
      <c r="W81" s="61">
        <f>IFERROR(_xll.qlBachelierBlackFormulaImpliedVol(IF(O81&lt;$C$4,"Put","Call"),O81,$C$4,$C$7,Q81),"")</f>
        <v>6.8837434350848071E-3</v>
      </c>
      <c r="X81" s="61">
        <f>IFERROR(_xll.qlBachelierBlackFormulaImpliedVol(IF(O81&lt;$C$4,"Put","Call"),O81,$C$4,$C$7,R81),"")</f>
        <v>7.2020000000001258E-3</v>
      </c>
      <c r="Y81" s="96">
        <f>_xll.qlSmileSectionVolatility($C$40,O81+$C$31)</f>
        <v>6.9504725750825667E-3</v>
      </c>
    </row>
    <row r="82" spans="15:25">
      <c r="O82" s="37">
        <f t="shared" si="1"/>
        <v>-2.3000000000000056E-3</v>
      </c>
      <c r="P82" s="38" t="str">
        <f>IFERROR(_xll.qlBlackFormula(IF(O82&lt;$C$4,"Put","Call"),O82,$C$4,$C$9*SQRT($C$7)),"")</f>
        <v/>
      </c>
      <c r="Q82" s="39">
        <f>IFERROR(_xll.qlBlackFormula(IF(O82&lt;$C$4,"Put","Call"),O82,$C$4,$C$10*SQRT($C$7),,$C$11),"")</f>
        <v>3.1721329060313483E-3</v>
      </c>
      <c r="R82" s="40">
        <f>IFERROR(_xll.qlBachelierBlackFormula(IF(O82&lt;$C$4,"Put","Call"),O82,$C$4,$C$12*SQRT($C$7)),"")</f>
        <v>3.4236229255175088E-3</v>
      </c>
      <c r="S82" s="41" t="str">
        <f>IFERROR((_xll.qlBlackFormula(IF(O82&lt;$C$4,"Put","Call"),O82+$C$14,$C$4,$C$9*SQRT($C$7))-
2*_xll.qlBlackFormula(IF(O82&lt;$C$4,"Put","Call"),O82,$C$4,$C$9*SQRT($C$7))+
_xll.qlBlackFormula(IF(O82&lt;$C$4,"Put","Call"),O82-$C$14,$C$4,$C$9*SQRT($C$7)))/$C$14^2,"")</f>
        <v/>
      </c>
      <c r="T82" s="42">
        <f>IFERROR((_xll.qlBlackFormula(IF(O82&lt;$C$4,"Put","Call"),O82+$C$14,$C$4,$C$10*SQRT($C$7),,$C$11)-
2*_xll.qlBlackFormula(IF(O82&lt;$C$4,"Put","Call"),O82,$C$4,$C$10*SQRT($C$7),,$C$11)+
_xll.qlBlackFormula(IF(O82&lt;$C$4,"Put","Call"),O82-$C$14,$C$4,$C$10*SQRT($C$7),,$C$11))/$C$14^2,"")</f>
        <v>25.190141639264141</v>
      </c>
      <c r="U82" s="43">
        <f>IFERROR((_xll.qlBachelierBlackFormula(IF(O82&lt;$C$4,"Put","Call"),O82+$C$14,$C$4,$C$12*SQRT($C$7))-
2*_xll.qlBachelierBlackFormula(IF(O82&lt;$C$4,"Put","Call"),O82,$C$4,$C$12*SQRT($C$7))+
_xll.qlBachelierBlackFormula(IF(O82&lt;$C$4,"Put","Call"),O82-$C$14,$C$4,$C$12*SQRT($C$7)))/$C$14^2,"")</f>
        <v>22.35386138346729</v>
      </c>
      <c r="V82" s="61" t="str">
        <f>IFERROR(_xll.qlBachelierBlackFormulaImpliedVol(IF(O82&lt;$C$4,"Put","Call"),O82,$C$4,$C$7,P82),"")</f>
        <v/>
      </c>
      <c r="W82" s="61">
        <f>IFERROR(_xll.qlBachelierBlackFormulaImpliedVol(IF(O82&lt;$C$4,"Put","Call"),O82,$C$4,$C$7,Q82),"")</f>
        <v>6.8881105419611004E-3</v>
      </c>
      <c r="X82" s="61">
        <f>IFERROR(_xll.qlBachelierBlackFormulaImpliedVol(IF(O82&lt;$C$4,"Put","Call"),O82,$C$4,$C$7,R82),"")</f>
        <v>7.2020000000001371E-3</v>
      </c>
      <c r="Y82" s="96">
        <f>_xll.qlSmileSectionVolatility($C$40,O82+$C$31)</f>
        <v>6.9530331160532408E-3</v>
      </c>
    </row>
    <row r="83" spans="15:25">
      <c r="O83" s="37">
        <f t="shared" si="1"/>
        <v>-2.2000000000000058E-3</v>
      </c>
      <c r="P83" s="38" t="str">
        <f>IFERROR(_xll.qlBlackFormula(IF(O83&lt;$C$4,"Put","Call"),O83,$C$4,$C$9*SQRT($C$7)),"")</f>
        <v/>
      </c>
      <c r="Q83" s="39">
        <f>IFERROR(_xll.qlBlackFormula(IF(O83&lt;$C$4,"Put","Call"),O83,$C$4,$C$10*SQRT($C$7),,$C$11),"")</f>
        <v>3.2075165779977058E-3</v>
      </c>
      <c r="R83" s="40">
        <f>IFERROR(_xll.qlBachelierBlackFormula(IF(O83&lt;$C$4,"Put","Call"),O83,$C$4,$C$12*SQRT($C$7)),"")</f>
        <v>3.4562514727983517E-3</v>
      </c>
      <c r="S83" s="41" t="str">
        <f>IFERROR((_xll.qlBlackFormula(IF(O83&lt;$C$4,"Put","Call"),O83+$C$14,$C$4,$C$9*SQRT($C$7))-
2*_xll.qlBlackFormula(IF(O83&lt;$C$4,"Put","Call"),O83,$C$4,$C$9*SQRT($C$7))+
_xll.qlBlackFormula(IF(O83&lt;$C$4,"Put","Call"),O83-$C$14,$C$4,$C$9*SQRT($C$7)))/$C$14^2,"")</f>
        <v/>
      </c>
      <c r="T83" s="42">
        <f>IFERROR((_xll.qlBlackFormula(IF(O83&lt;$C$4,"Put","Call"),O83+$C$14,$C$4,$C$10*SQRT($C$7),,$C$11)-
2*_xll.qlBlackFormula(IF(O83&lt;$C$4,"Put","Call"),O83,$C$4,$C$10*SQRT($C$7),,$C$11)+
_xll.qlBlackFormula(IF(O83&lt;$C$4,"Put","Call"),O83-$C$14,$C$4,$C$10*SQRT($C$7),,$C$11))/$C$14^2,"")</f>
        <v>25.221793403806814</v>
      </c>
      <c r="U83" s="43">
        <f>IFERROR((_xll.qlBachelierBlackFormula(IF(O83&lt;$C$4,"Put","Call"),O83+$C$14,$C$4,$C$12*SQRT($C$7))-
2*_xll.qlBachelierBlackFormula(IF(O83&lt;$C$4,"Put","Call"),O83,$C$4,$C$12*SQRT($C$7))+
_xll.qlBachelierBlackFormula(IF(O83&lt;$C$4,"Put","Call"),O83-$C$14,$C$4,$C$12*SQRT($C$7)))/$C$14^2,"")</f>
        <v>22.416438497097069</v>
      </c>
      <c r="V83" s="61" t="str">
        <f>IFERROR(_xll.qlBachelierBlackFormulaImpliedVol(IF(O83&lt;$C$4,"Put","Call"),O83,$C$4,$C$7,P83),"")</f>
        <v/>
      </c>
      <c r="W83" s="61">
        <f>IFERROR(_xll.qlBachelierBlackFormulaImpliedVol(IF(O83&lt;$C$4,"Put","Call"),O83,$C$4,$C$7,Q83),"")</f>
        <v>6.8924757478310223E-3</v>
      </c>
      <c r="X83" s="61">
        <f>IFERROR(_xll.qlBachelierBlackFormulaImpliedVol(IF(O83&lt;$C$4,"Put","Call"),O83,$C$4,$C$7,R83),"")</f>
        <v>7.202000000000151E-3</v>
      </c>
      <c r="Y83" s="96">
        <f>_xll.qlSmileSectionVolatility($C$40,O83+$C$31)</f>
        <v>6.9556172357026083E-3</v>
      </c>
    </row>
    <row r="84" spans="15:25">
      <c r="O84" s="37">
        <f t="shared" si="1"/>
        <v>-2.1000000000000059E-3</v>
      </c>
      <c r="P84" s="38" t="str">
        <f>IFERROR(_xll.qlBlackFormula(IF(O84&lt;$C$4,"Put","Call"),O84,$C$4,$C$9*SQRT($C$7)),"")</f>
        <v/>
      </c>
      <c r="Q84" s="39">
        <f>IFERROR(_xll.qlBlackFormula(IF(O84&lt;$C$4,"Put","Call"),O84,$C$4,$C$10*SQRT($C$7),,$C$11),"")</f>
        <v>3.2431524668912887E-3</v>
      </c>
      <c r="R84" s="40">
        <f>IFERROR(_xll.qlBachelierBlackFormula(IF(O84&lt;$C$4,"Put","Call"),O84,$C$4,$C$12*SQRT($C$7)),"")</f>
        <v>3.4891041838890978E-3</v>
      </c>
      <c r="S84" s="41" t="str">
        <f>IFERROR((_xll.qlBlackFormula(IF(O84&lt;$C$4,"Put","Call"),O84+$C$14,$C$4,$C$9*SQRT($C$7))-
2*_xll.qlBlackFormula(IF(O84&lt;$C$4,"Put","Call"),O84,$C$4,$C$9*SQRT($C$7))+
_xll.qlBlackFormula(IF(O84&lt;$C$4,"Put","Call"),O84-$C$14,$C$4,$C$9*SQRT($C$7)))/$C$14^2,"")</f>
        <v/>
      </c>
      <c r="T84" s="42">
        <f>IFERROR((_xll.qlBlackFormula(IF(O84&lt;$C$4,"Put","Call"),O84+$C$14,$C$4,$C$10*SQRT($C$7),,$C$11)-
2*_xll.qlBlackFormula(IF(O84&lt;$C$4,"Put","Call"),O84,$C$4,$C$10*SQRT($C$7),,$C$11)+
_xll.qlBlackFormula(IF(O84&lt;$C$4,"Put","Call"),O84-$C$14,$C$4,$C$10*SQRT($C$7),,$C$11))/$C$14^2,"")</f>
        <v>25.25227943417363</v>
      </c>
      <c r="U84" s="43">
        <f>IFERROR((_xll.qlBachelierBlackFormula(IF(O84&lt;$C$4,"Put","Call"),O84+$C$14,$C$4,$C$12*SQRT($C$7))-
2*_xll.qlBachelierBlackFormula(IF(O84&lt;$C$4,"Put","Call"),O84,$C$4,$C$12*SQRT($C$7))+
_xll.qlBachelierBlackFormula(IF(O84&lt;$C$4,"Put","Call"),O84-$C$14,$C$4,$C$12*SQRT($C$7)))/$C$14^2,"")</f>
        <v>22.478325190783412</v>
      </c>
      <c r="V84" s="61" t="str">
        <f>IFERROR(_xll.qlBachelierBlackFormulaImpliedVol(IF(O84&lt;$C$4,"Put","Call"),O84,$C$4,$C$7,P84),"")</f>
        <v/>
      </c>
      <c r="W84" s="61">
        <f>IFERROR(_xll.qlBachelierBlackFormulaImpliedVol(IF(O84&lt;$C$4,"Put","Call"),O84,$C$4,$C$7,Q84),"")</f>
        <v>6.8968390563694431E-3</v>
      </c>
      <c r="X84" s="61">
        <f>IFERROR(_xll.qlBachelierBlackFormulaImpliedVol(IF(O84&lt;$C$4,"Put","Call"),O84,$C$4,$C$7,R84),"")</f>
        <v>7.2020000000001614E-3</v>
      </c>
      <c r="Y84" s="96">
        <f>_xll.qlSmileSectionVolatility($C$40,O84+$C$31)</f>
        <v>6.9582249786946321E-3</v>
      </c>
    </row>
    <row r="85" spans="15:25">
      <c r="O85" s="37">
        <f t="shared" si="1"/>
        <v>-2.0000000000000061E-3</v>
      </c>
      <c r="P85" s="38" t="str">
        <f>IFERROR(_xll.qlBlackFormula(IF(O85&lt;$C$4,"Put","Call"),O85,$C$4,$C$9*SQRT($C$7)),"")</f>
        <v/>
      </c>
      <c r="Q85" s="39">
        <f>IFERROR(_xll.qlBlackFormula(IF(O85&lt;$C$4,"Put","Call"),O85,$C$4,$C$10*SQRT($C$7),,$C$11),"")</f>
        <v>3.2790408776157617E-3</v>
      </c>
      <c r="R85" s="40">
        <f>IFERROR(_xll.qlBachelierBlackFormula(IF(O85&lt;$C$4,"Put","Call"),O85,$C$4,$C$12*SQRT($C$7)),"")</f>
        <v>3.5221816776481764E-3</v>
      </c>
      <c r="S85" s="41" t="str">
        <f>IFERROR((_xll.qlBlackFormula(IF(O85&lt;$C$4,"Put","Call"),O85+$C$14,$C$4,$C$9*SQRT($C$7))-
2*_xll.qlBlackFormula(IF(O85&lt;$C$4,"Put","Call"),O85,$C$4,$C$9*SQRT($C$7))+
_xll.qlBlackFormula(IF(O85&lt;$C$4,"Put","Call"),O85-$C$14,$C$4,$C$9*SQRT($C$7)))/$C$14^2,"")</f>
        <v/>
      </c>
      <c r="T85" s="42">
        <f>IFERROR((_xll.qlBlackFormula(IF(O85&lt;$C$4,"Put","Call"),O85+$C$14,$C$4,$C$10*SQRT($C$7),,$C$11)-
2*_xll.qlBlackFormula(IF(O85&lt;$C$4,"Put","Call"),O85,$C$4,$C$10*SQRT($C$7),,$C$11)+
_xll.qlBlackFormula(IF(O85&lt;$C$4,"Put","Call"),O85-$C$14,$C$4,$C$10*SQRT($C$7),,$C$11))/$C$14^2,"")</f>
        <v>25.281613608152398</v>
      </c>
      <c r="U85" s="43">
        <f>IFERROR((_xll.qlBachelierBlackFormula(IF(O85&lt;$C$4,"Put","Call"),O85+$C$14,$C$4,$C$12*SQRT($C$7))-
2*_xll.qlBachelierBlackFormula(IF(O85&lt;$C$4,"Put","Call"),O85,$C$4,$C$12*SQRT($C$7))+
_xll.qlBachelierBlackFormula(IF(O85&lt;$C$4,"Put","Call"),O85-$C$14,$C$4,$C$12*SQRT($C$7)))/$C$14^2,"")</f>
        <v>22.539514525632409</v>
      </c>
      <c r="V85" s="61" t="str">
        <f>IFERROR(_xll.qlBachelierBlackFormulaImpliedVol(IF(O85&lt;$C$4,"Put","Call"),O85,$C$4,$C$7,P85),"")</f>
        <v/>
      </c>
      <c r="W85" s="61">
        <f>IFERROR(_xll.qlBachelierBlackFormulaImpliedVol(IF(O85&lt;$C$4,"Put","Call"),O85,$C$4,$C$7,Q85),"")</f>
        <v>6.9012004712392773E-3</v>
      </c>
      <c r="X85" s="61">
        <f>IFERROR(_xll.qlBachelierBlackFormulaImpliedVol(IF(O85&lt;$C$4,"Put","Call"),O85,$C$4,$C$7,R85),"")</f>
        <v>7.2020000000001649E-3</v>
      </c>
      <c r="Y85" s="96">
        <f>_xll.qlSmileSectionVolatility($C$40,O85+$C$31)</f>
        <v>6.9608563885822476E-3</v>
      </c>
    </row>
    <row r="86" spans="15:25">
      <c r="O86" s="37">
        <f t="shared" si="1"/>
        <v>-1.9000000000000061E-3</v>
      </c>
      <c r="P86" s="38" t="str">
        <f>IFERROR(_xll.qlBlackFormula(IF(O86&lt;$C$4,"Put","Call"),O86,$C$4,$C$9*SQRT($C$7)),"")</f>
        <v/>
      </c>
      <c r="Q86" s="39">
        <f>IFERROR(_xll.qlBlackFormula(IF(O86&lt;$C$4,"Put","Call"),O86,$C$4,$C$10*SQRT($C$7),,$C$11),"")</f>
        <v>3.315182103487288E-3</v>
      </c>
      <c r="R86" s="40">
        <f>IFERROR(_xll.qlBachelierBlackFormula(IF(O86&lt;$C$4,"Put","Call"),O86,$C$4,$C$12*SQRT($C$7)),"")</f>
        <v>3.5554845659514674E-3</v>
      </c>
      <c r="S86" s="41" t="str">
        <f>IFERROR((_xll.qlBlackFormula(IF(O86&lt;$C$4,"Put","Call"),O86+$C$14,$C$4,$C$9*SQRT($C$7))-
2*_xll.qlBlackFormula(IF(O86&lt;$C$4,"Put","Call"),O86,$C$4,$C$9*SQRT($C$7))+
_xll.qlBlackFormula(IF(O86&lt;$C$4,"Put","Call"),O86-$C$14,$C$4,$C$9*SQRT($C$7)))/$C$14^2,"")</f>
        <v/>
      </c>
      <c r="T86" s="42">
        <f>IFERROR((_xll.qlBlackFormula(IF(O86&lt;$C$4,"Put","Call"),O86+$C$14,$C$4,$C$10*SQRT($C$7),,$C$11)-
2*_xll.qlBlackFormula(IF(O86&lt;$C$4,"Put","Call"),O86,$C$4,$C$10*SQRT($C$7),,$C$11)+
_xll.qlBlackFormula(IF(O86&lt;$C$4,"Put","Call"),O86-$C$14,$C$4,$C$10*SQRT($C$7),,$C$11))/$C$14^2,"")</f>
        <v>25.309799395190069</v>
      </c>
      <c r="U86" s="43">
        <f>IFERROR((_xll.qlBachelierBlackFormula(IF(O86&lt;$C$4,"Put","Call"),O86+$C$14,$C$4,$C$12*SQRT($C$7))-
2*_xll.qlBachelierBlackFormula(IF(O86&lt;$C$4,"Put","Call"),O86,$C$4,$C$12*SQRT($C$7))+
_xll.qlBachelierBlackFormula(IF(O86&lt;$C$4,"Put","Call"),O86-$C$14,$C$4,$C$12*SQRT($C$7)))/$C$14^2,"")</f>
        <v>22.599996526984079</v>
      </c>
      <c r="V86" s="61" t="str">
        <f>IFERROR(_xll.qlBachelierBlackFormulaImpliedVol(IF(O86&lt;$C$4,"Put","Call"),O86,$C$4,$C$7,P86),"")</f>
        <v/>
      </c>
      <c r="W86" s="61">
        <f>IFERROR(_xll.qlBachelierBlackFormulaImpliedVol(IF(O86&lt;$C$4,"Put","Call"),O86,$C$4,$C$7,Q86),"")</f>
        <v>6.9055599960915065E-3</v>
      </c>
      <c r="X86" s="61">
        <f>IFERROR(_xll.qlBachelierBlackFormulaImpliedVol(IF(O86&lt;$C$4,"Put","Call"),O86,$C$4,$C$7,R86),"")</f>
        <v>7.2020000000001683E-3</v>
      </c>
      <c r="Y86" s="96">
        <f>_xll.qlSmileSectionVolatility($C$40,O86+$C$31)</f>
        <v>6.9635115078032842E-3</v>
      </c>
    </row>
    <row r="87" spans="15:25">
      <c r="O87" s="37">
        <f t="shared" si="1"/>
        <v>-1.800000000000006E-3</v>
      </c>
      <c r="P87" s="38" t="str">
        <f>IFERROR(_xll.qlBlackFormula(IF(O87&lt;$C$4,"Put","Call"),O87,$C$4,$C$9*SQRT($C$7)),"")</f>
        <v/>
      </c>
      <c r="Q87" s="39">
        <f>IFERROR(_xll.qlBlackFormula(IF(O87&lt;$C$4,"Put","Call"),O87,$C$4,$C$10*SQRT($C$7),,$C$11),"")</f>
        <v>3.3515764262388899E-3</v>
      </c>
      <c r="R87" s="40">
        <f>IFERROR(_xll.qlBachelierBlackFormula(IF(O87&lt;$C$4,"Put","Call"),O87,$C$4,$C$12*SQRT($C$7)),"")</f>
        <v>3.5890134536260385E-3</v>
      </c>
      <c r="S87" s="41" t="str">
        <f>IFERROR((_xll.qlBlackFormula(IF(O87&lt;$C$4,"Put","Call"),O87+$C$14,$C$4,$C$9*SQRT($C$7))-
2*_xll.qlBlackFormula(IF(O87&lt;$C$4,"Put","Call"),O87,$C$4,$C$9*SQRT($C$7))+
_xll.qlBlackFormula(IF(O87&lt;$C$4,"Put","Call"),O87-$C$14,$C$4,$C$9*SQRT($C$7)))/$C$14^2,"")</f>
        <v/>
      </c>
      <c r="T87" s="42">
        <f>IFERROR((_xll.qlBlackFormula(IF(O87&lt;$C$4,"Put","Call"),O87+$C$14,$C$4,$C$10*SQRT($C$7),,$C$11)-
2*_xll.qlBlackFormula(IF(O87&lt;$C$4,"Put","Call"),O87,$C$4,$C$10*SQRT($C$7),,$C$11)+
_xll.qlBlackFormula(IF(O87&lt;$C$4,"Put","Call"),O87-$C$14,$C$4,$C$10*SQRT($C$7),,$C$11))/$C$14^2,"")</f>
        <v>25.336798631370172</v>
      </c>
      <c r="U87" s="43">
        <f>IFERROR((_xll.qlBachelierBlackFormula(IF(O87&lt;$C$4,"Put","Call"),O87+$C$14,$C$4,$C$12*SQRT($C$7))-
2*_xll.qlBachelierBlackFormula(IF(O87&lt;$C$4,"Put","Call"),O87,$C$4,$C$12*SQRT($C$7))+
_xll.qlBachelierBlackFormula(IF(O87&lt;$C$4,"Put","Call"),O87-$C$14,$C$4,$C$12*SQRT($C$7)))/$C$14^2,"")</f>
        <v>22.659767291710597</v>
      </c>
      <c r="V87" s="61" t="str">
        <f>IFERROR(_xll.qlBachelierBlackFormulaImpliedVol(IF(O87&lt;$C$4,"Put","Call"),O87,$C$4,$C$7,P87),"")</f>
        <v/>
      </c>
      <c r="W87" s="61">
        <f>IFERROR(_xll.qlBachelierBlackFormulaImpliedVol(IF(O87&lt;$C$4,"Put","Call"),O87,$C$4,$C$7,Q87),"")</f>
        <v>6.9099176345653107E-3</v>
      </c>
      <c r="X87" s="61">
        <f>IFERROR(_xll.qlBachelierBlackFormulaImpliedVol(IF(O87&lt;$C$4,"Put","Call"),O87,$C$4,$C$7,R87),"")</f>
        <v>7.2020000000001683E-3</v>
      </c>
      <c r="Y87" s="96">
        <f>_xll.qlSmileSectionVolatility($C$40,O87+$C$31)</f>
        <v>6.966190377676834E-3</v>
      </c>
    </row>
    <row r="88" spans="15:25">
      <c r="O88" s="37">
        <f t="shared" si="1"/>
        <v>-1.700000000000006E-3</v>
      </c>
      <c r="P88" s="38" t="str">
        <f>IFERROR(_xll.qlBlackFormula(IF(O88&lt;$C$4,"Put","Call"),O88,$C$4,$C$9*SQRT($C$7)),"")</f>
        <v/>
      </c>
      <c r="Q88" s="39">
        <f>IFERROR(_xll.qlBlackFormula(IF(O88&lt;$C$4,"Put","Call"),O88,$C$4,$C$10*SQRT($C$7),,$C$11),"")</f>
        <v>3.3882241160261874E-3</v>
      </c>
      <c r="R88" s="40">
        <f>IFERROR(_xll.qlBachelierBlackFormula(IF(O88&lt;$C$4,"Put","Call"),O88,$C$4,$C$12*SQRT($C$7)),"")</f>
        <v>3.6227689383845334E-3</v>
      </c>
      <c r="S88" s="41" t="str">
        <f>IFERROR((_xll.qlBlackFormula(IF(O88&lt;$C$4,"Put","Call"),O88+$C$14,$C$4,$C$9*SQRT($C$7))-
2*_xll.qlBlackFormula(IF(O88&lt;$C$4,"Put","Call"),O88,$C$4,$C$9*SQRT($C$7))+
_xll.qlBlackFormula(IF(O88&lt;$C$4,"Put","Call"),O88-$C$14,$C$4,$C$9*SQRT($C$7)))/$C$14^2,"")</f>
        <v/>
      </c>
      <c r="T88" s="42">
        <f>IFERROR((_xll.qlBlackFormula(IF(O88&lt;$C$4,"Put","Call"),O88+$C$14,$C$4,$C$10*SQRT($C$7),,$C$11)-
2*_xll.qlBlackFormula(IF(O88&lt;$C$4,"Put","Call"),O88,$C$4,$C$10*SQRT($C$7),,$C$11)+
_xll.qlBlackFormula(IF(O88&lt;$C$4,"Put","Call"),O88-$C$14,$C$4,$C$10*SQRT($C$7),,$C$11))/$C$14^2,"")</f>
        <v>25.362666827843938</v>
      </c>
      <c r="U88" s="43">
        <f>IFERROR((_xll.qlBachelierBlackFormula(IF(O88&lt;$C$4,"Put","Call"),O88+$C$14,$C$4,$C$12*SQRT($C$7))-
2*_xll.qlBachelierBlackFormula(IF(O88&lt;$C$4,"Put","Call"),O88,$C$4,$C$12*SQRT($C$7))+
_xll.qlBachelierBlackFormula(IF(O88&lt;$C$4,"Put","Call"),O88-$C$14,$C$4,$C$12*SQRT($C$7)))/$C$14^2,"")</f>
        <v>22.718821181960671</v>
      </c>
      <c r="V88" s="61" t="str">
        <f>IFERROR(_xll.qlBachelierBlackFormulaImpliedVol(IF(O88&lt;$C$4,"Put","Call"),O88,$C$4,$C$7,P88),"")</f>
        <v/>
      </c>
      <c r="W88" s="61">
        <f>IFERROR(_xll.qlBachelierBlackFormulaImpliedVol(IF(O88&lt;$C$4,"Put","Call"),O88,$C$4,$C$7,Q88),"")</f>
        <v>6.9142733902879984E-3</v>
      </c>
      <c r="X88" s="61">
        <f>IFERROR(_xll.qlBachelierBlackFormulaImpliedVol(IF(O88&lt;$C$4,"Put","Call"),O88,$C$4,$C$7,R88),"")</f>
        <v>7.2020000000001675E-3</v>
      </c>
      <c r="Y88" s="96">
        <f>_xll.qlSmileSectionVolatility($C$40,O88+$C$31)</f>
        <v>6.9688930383994827E-3</v>
      </c>
    </row>
    <row r="89" spans="15:25">
      <c r="O89" s="37">
        <f t="shared" si="1"/>
        <v>-1.6000000000000059E-3</v>
      </c>
      <c r="P89" s="38" t="str">
        <f>IFERROR(_xll.qlBlackFormula(IF(O89&lt;$C$4,"Put","Call"),O89,$C$4,$C$9*SQRT($C$7)),"")</f>
        <v/>
      </c>
      <c r="Q89" s="39">
        <f>IFERROR(_xll.qlBlackFormula(IF(O89&lt;$C$4,"Put","Call"),O89,$C$4,$C$10*SQRT($C$7),,$C$11),"")</f>
        <v>3.4251254314349409E-3</v>
      </c>
      <c r="R89" s="40">
        <f>IFERROR(_xll.qlBachelierBlackFormula(IF(O89&lt;$C$4,"Put","Call"),O89,$C$4,$C$12*SQRT($C$7)),"")</f>
        <v>3.6567516107601991E-3</v>
      </c>
      <c r="S89" s="41" t="str">
        <f>IFERROR((_xll.qlBlackFormula(IF(O89&lt;$C$4,"Put","Call"),O89+$C$14,$C$4,$C$9*SQRT($C$7))-
2*_xll.qlBlackFormula(IF(O89&lt;$C$4,"Put","Call"),O89,$C$4,$C$9*SQRT($C$7))+
_xll.qlBlackFormula(IF(O89&lt;$C$4,"Put","Call"),O89-$C$14,$C$4,$C$9*SQRT($C$7)))/$C$14^2,"")</f>
        <v/>
      </c>
      <c r="T89" s="42">
        <f>IFERROR((_xll.qlBlackFormula(IF(O89&lt;$C$4,"Put","Call"),O89+$C$14,$C$4,$C$10*SQRT($C$7),,$C$11)-
2*_xll.qlBlackFormula(IF(O89&lt;$C$4,"Put","Call"),O89,$C$4,$C$10*SQRT($C$7),,$C$11)+
_xll.qlBlackFormula(IF(O89&lt;$C$4,"Put","Call"),O89-$C$14,$C$4,$C$10*SQRT($C$7),,$C$11))/$C$14^2,"")</f>
        <v>25.387365820694896</v>
      </c>
      <c r="U89" s="43">
        <f>IFERROR((_xll.qlBachelierBlackFormula(IF(O89&lt;$C$4,"Put","Call"),O89+$C$14,$C$4,$C$12*SQRT($C$7))-
2*_xll.qlBachelierBlackFormula(IF(O89&lt;$C$4,"Put","Call"),O89,$C$4,$C$12*SQRT($C$7))+
_xll.qlBachelierBlackFormula(IF(O89&lt;$C$4,"Put","Call"),O89-$C$14,$C$4,$C$12*SQRT($C$7)))/$C$14^2,"")</f>
        <v>22.777149957797782</v>
      </c>
      <c r="V89" s="61" t="str">
        <f>IFERROR(_xll.qlBachelierBlackFormulaImpliedVol(IF(O89&lt;$C$4,"Put","Call"),O89,$C$4,$C$7,P89),"")</f>
        <v/>
      </c>
      <c r="W89" s="61">
        <f>IFERROR(_xll.qlBachelierBlackFormulaImpliedVol(IF(O89&lt;$C$4,"Put","Call"),O89,$C$4,$C$7,Q89),"")</f>
        <v>6.9186272668751731E-3</v>
      </c>
      <c r="X89" s="61">
        <f>IFERROR(_xll.qlBachelierBlackFormulaImpliedVol(IF(O89&lt;$C$4,"Put","Call"),O89,$C$4,$C$7,R89),"")</f>
        <v>7.2020000000001631E-3</v>
      </c>
      <c r="Y89" s="96">
        <f>_xll.qlSmileSectionVolatility($C$40,O89+$C$31)</f>
        <v>6.9716195290419926E-3</v>
      </c>
    </row>
    <row r="90" spans="15:25">
      <c r="O90" s="37">
        <f t="shared" si="1"/>
        <v>-1.5000000000000059E-3</v>
      </c>
      <c r="P90" s="38" t="str">
        <f>IFERROR(_xll.qlBlackFormula(IF(O90&lt;$C$4,"Put","Call"),O90,$C$4,$C$9*SQRT($C$7)),"")</f>
        <v/>
      </c>
      <c r="Q90" s="39">
        <f>IFERROR(_xll.qlBlackFormula(IF(O90&lt;$C$4,"Put","Call"),O90,$C$4,$C$10*SQRT($C$7),,$C$11),"")</f>
        <v>3.4622806194899991E-3</v>
      </c>
      <c r="R90" s="40">
        <f>IFERROR(_xll.qlBachelierBlackFormula(IF(O90&lt;$C$4,"Put","Call"),O90,$C$4,$C$12*SQRT($C$7)),"")</f>
        <v>3.6909620540425737E-3</v>
      </c>
      <c r="S90" s="41" t="str">
        <f>IFERROR((_xll.qlBlackFormula(IF(O90&lt;$C$4,"Put","Call"),O90+$C$14,$C$4,$C$9*SQRT($C$7))-
2*_xll.qlBlackFormula(IF(O90&lt;$C$4,"Put","Call"),O90,$C$4,$C$9*SQRT($C$7))+
_xll.qlBlackFormula(IF(O90&lt;$C$4,"Put","Call"),O90-$C$14,$C$4,$C$9*SQRT($C$7)))/$C$14^2,"")</f>
        <v/>
      </c>
      <c r="T90" s="42">
        <f>IFERROR((_xll.qlBlackFormula(IF(O90&lt;$C$4,"Put","Call"),O90+$C$14,$C$4,$C$10*SQRT($C$7),,$C$11)-
2*_xll.qlBlackFormula(IF(O90&lt;$C$4,"Put","Call"),O90,$C$4,$C$10*SQRT($C$7),,$C$11)+
_xll.qlBlackFormula(IF(O90&lt;$C$4,"Put","Call"),O90-$C$14,$C$4,$C$10*SQRT($C$7),,$C$11))/$C$14^2,"")</f>
        <v>25.410895609923045</v>
      </c>
      <c r="U90" s="43">
        <f>IFERROR((_xll.qlBachelierBlackFormula(IF(O90&lt;$C$4,"Put","Call"),O90+$C$14,$C$4,$C$12*SQRT($C$7))-
2*_xll.qlBachelierBlackFormula(IF(O90&lt;$C$4,"Put","Call"),O90,$C$4,$C$12*SQRT($C$7))+
_xll.qlBachelierBlackFormula(IF(O90&lt;$C$4,"Put","Call"),O90-$C$14,$C$4,$C$12*SQRT($C$7)))/$C$14^2,"")</f>
        <v>22.834749282413249</v>
      </c>
      <c r="V90" s="61" t="str">
        <f>IFERROR(_xll.qlBachelierBlackFormulaImpliedVol(IF(O90&lt;$C$4,"Put","Call"),O90,$C$4,$C$7,P90),"")</f>
        <v/>
      </c>
      <c r="W90" s="61">
        <f>IFERROR(_xll.qlBachelierBlackFormulaImpliedVol(IF(O90&lt;$C$4,"Put","Call"),O90,$C$4,$C$7,Q90),"")</f>
        <v>6.9229792679307255E-3</v>
      </c>
      <c r="X90" s="61">
        <f>IFERROR(_xll.qlBachelierBlackFormulaImpliedVol(IF(O90&lt;$C$4,"Put","Call"),O90,$C$4,$C$7,R90),"")</f>
        <v>7.2020000000001597E-3</v>
      </c>
      <c r="Y90" s="96">
        <f>_xll.qlSmileSectionVolatility($C$40,O90+$C$31)</f>
        <v>6.9743698875459311E-3</v>
      </c>
    </row>
    <row r="91" spans="15:25">
      <c r="O91" s="37">
        <f t="shared" si="1"/>
        <v>-1.4000000000000058E-3</v>
      </c>
      <c r="P91" s="38" t="str">
        <f>IFERROR(_xll.qlBlackFormula(IF(O91&lt;$C$4,"Put","Call"),O91,$C$4,$C$9*SQRT($C$7)),"")</f>
        <v/>
      </c>
      <c r="Q91" s="39">
        <f>IFERROR(_xll.qlBlackFormula(IF(O91&lt;$C$4,"Put","Call"),O91,$C$4,$C$10*SQRT($C$7),,$C$11),"")</f>
        <v>3.4996899156658282E-3</v>
      </c>
      <c r="R91" s="40">
        <f>IFERROR(_xll.qlBachelierBlackFormula(IF(O91&lt;$C$4,"Put","Call"),O91,$C$4,$C$12*SQRT($C$7)),"")</f>
        <v>3.7254008442138553E-3</v>
      </c>
      <c r="S91" s="41" t="str">
        <f>IFERROR((_xll.qlBlackFormula(IF(O91&lt;$C$4,"Put","Call"),O91+$C$14,$C$4,$C$9*SQRT($C$7))-
2*_xll.qlBlackFormula(IF(O91&lt;$C$4,"Put","Call"),O91,$C$4,$C$9*SQRT($C$7))+
_xll.qlBlackFormula(IF(O91&lt;$C$4,"Put","Call"),O91-$C$14,$C$4,$C$9*SQRT($C$7)))/$C$14^2,"")</f>
        <v/>
      </c>
      <c r="T91" s="42">
        <f>IFERROR((_xll.qlBlackFormula(IF(O91&lt;$C$4,"Put","Call"),O91+$C$14,$C$4,$C$10*SQRT($C$7),,$C$11)-
2*_xll.qlBlackFormula(IF(O91&lt;$C$4,"Put","Call"),O91,$C$4,$C$10*SQRT($C$7),,$C$11)+
_xll.qlBlackFormula(IF(O91&lt;$C$4,"Put","Call"),O91-$C$14,$C$4,$C$10*SQRT($C$7),,$C$11))/$C$14^2,"")</f>
        <v>25.43329782889181</v>
      </c>
      <c r="U91" s="43">
        <f>IFERROR((_xll.qlBachelierBlackFormula(IF(O91&lt;$C$4,"Put","Call"),O91+$C$14,$C$4,$C$12*SQRT($C$7))-
2*_xll.qlBachelierBlackFormula(IF(O91&lt;$C$4,"Put","Call"),O91,$C$4,$C$12*SQRT($C$7))+
_xll.qlBachelierBlackFormula(IF(O91&lt;$C$4,"Put","Call"),O91-$C$14,$C$4,$C$12*SQRT($C$7)))/$C$14^2,"")</f>
        <v>22.891611783232293</v>
      </c>
      <c r="V91" s="61" t="str">
        <f>IFERROR(_xll.qlBachelierBlackFormulaImpliedVol(IF(O91&lt;$C$4,"Put","Call"),O91,$C$4,$C$7,P91),"")</f>
        <v/>
      </c>
      <c r="W91" s="61">
        <f>IFERROR(_xll.qlBachelierBlackFormulaImpliedVol(IF(O91&lt;$C$4,"Put","Call"),O91,$C$4,$C$7,Q91),"")</f>
        <v>6.9273293970468835E-3</v>
      </c>
      <c r="X91" s="61">
        <f>IFERROR(_xll.qlBachelierBlackFormulaImpliedVol(IF(O91&lt;$C$4,"Put","Call"),O91,$C$4,$C$7,R91),"")</f>
        <v>7.2020000000001519E-3</v>
      </c>
      <c r="Y91" s="96">
        <f>_xll.qlSmileSectionVolatility($C$40,O91+$C$31)</f>
        <v>6.9771441507206905E-3</v>
      </c>
    </row>
    <row r="92" spans="15:25">
      <c r="O92" s="37">
        <f t="shared" si="1"/>
        <v>-1.3000000000000058E-3</v>
      </c>
      <c r="P92" s="38" t="str">
        <f>IFERROR(_xll.qlBlackFormula(IF(O92&lt;$C$4,"Put","Call"),O92,$C$4,$C$9*SQRT($C$7)),"")</f>
        <v/>
      </c>
      <c r="Q92" s="39">
        <f>IFERROR(_xll.qlBlackFormula(IF(O92&lt;$C$4,"Put","Call"),O92,$C$4,$C$10*SQRT($C$7),,$C$11),"")</f>
        <v>3.5373535438986553E-3</v>
      </c>
      <c r="R92" s="40">
        <f>IFERROR(_xll.qlBachelierBlackFormula(IF(O92&lt;$C$4,"Put","Call"),O92,$C$4,$C$12*SQRT($C$7)),"")</f>
        <v>3.7600685498859485E-3</v>
      </c>
      <c r="S92" s="41" t="str">
        <f>IFERROR((_xll.qlBlackFormula(IF(O92&lt;$C$4,"Put","Call"),O92+$C$14,$C$4,$C$9*SQRT($C$7))-
2*_xll.qlBlackFormula(IF(O92&lt;$C$4,"Put","Call"),O92,$C$4,$C$9*SQRT($C$7))+
_xll.qlBlackFormula(IF(O92&lt;$C$4,"Put","Call"),O92-$C$14,$C$4,$C$9*SQRT($C$7)))/$C$14^2,"")</f>
        <v/>
      </c>
      <c r="T92" s="42">
        <f>IFERROR((_xll.qlBlackFormula(IF(O92&lt;$C$4,"Put","Call"),O92+$C$14,$C$4,$C$10*SQRT($C$7),,$C$11)-
2*_xll.qlBlackFormula(IF(O92&lt;$C$4,"Put","Call"),O92,$C$4,$C$10*SQRT($C$7),,$C$11)+
_xll.qlBlackFormula(IF(O92&lt;$C$4,"Put","Call"),O92-$C$14,$C$4,$C$10*SQRT($C$7),,$C$11))/$C$14^2,"")</f>
        <v>25.454541252578622</v>
      </c>
      <c r="U92" s="43">
        <f>IFERROR((_xll.qlBachelierBlackFormula(IF(O92&lt;$C$4,"Put","Call"),O92+$C$14,$C$4,$C$12*SQRT($C$7))-
2*_xll.qlBachelierBlackFormula(IF(O92&lt;$C$4,"Put","Call"),O92,$C$4,$C$12*SQRT($C$7))+
_xll.qlBachelierBlackFormula(IF(O92&lt;$C$4,"Put","Call"),O92-$C$14,$C$4,$C$12*SQRT($C$7)))/$C$14^2,"")</f>
        <v>22.947731388722747</v>
      </c>
      <c r="V92" s="61" t="str">
        <f>IFERROR(_xll.qlBachelierBlackFormulaImpliedVol(IF(O92&lt;$C$4,"Put","Call"),O92,$C$4,$C$7,P92),"")</f>
        <v/>
      </c>
      <c r="W92" s="61">
        <f>IFERROR(_xll.qlBachelierBlackFormulaImpliedVol(IF(O92&lt;$C$4,"Put","Call"),O92,$C$4,$C$7,Q92),"")</f>
        <v>6.9316776578043247E-3</v>
      </c>
      <c r="X92" s="61">
        <f>IFERROR(_xll.qlBachelierBlackFormulaImpliedVol(IF(O92&lt;$C$4,"Put","Call"),O92,$C$4,$C$7,R92),"")</f>
        <v>7.2020000000001441E-3</v>
      </c>
      <c r="Y92" s="96">
        <f>_xll.qlSmileSectionVolatility($C$40,O92+$C$31)</f>
        <v>6.9799423542404454E-3</v>
      </c>
    </row>
    <row r="93" spans="15:25">
      <c r="O93" s="37">
        <f t="shared" si="1"/>
        <v>-1.2000000000000057E-3</v>
      </c>
      <c r="P93" s="38" t="str">
        <f>IFERROR(_xll.qlBlackFormula(IF(O93&lt;$C$4,"Put","Call"),O93,$C$4,$C$9*SQRT($C$7)),"")</f>
        <v/>
      </c>
      <c r="Q93" s="39">
        <f>IFERROR(_xll.qlBlackFormula(IF(O93&lt;$C$4,"Put","Call"),O93,$C$4,$C$10*SQRT($C$7),,$C$11),"")</f>
        <v>3.5752717166000203E-3</v>
      </c>
      <c r="R93" s="40">
        <f>IFERROR(_xll.qlBachelierBlackFormula(IF(O93&lt;$C$4,"Put","Call"),O93,$C$4,$C$12*SQRT($C$7)),"")</f>
        <v>3.7949657322382084E-3</v>
      </c>
      <c r="S93" s="41" t="str">
        <f>IFERROR((_xll.qlBlackFormula(IF(O93&lt;$C$4,"Put","Call"),O93+$C$14,$C$4,$C$9*SQRT($C$7))-
2*_xll.qlBlackFormula(IF(O93&lt;$C$4,"Put","Call"),O93,$C$4,$C$9*SQRT($C$7))+
_xll.qlBlackFormula(IF(O93&lt;$C$4,"Put","Call"),O93-$C$14,$C$4,$C$9*SQRT($C$7)))/$C$14^2,"")</f>
        <v/>
      </c>
      <c r="T93" s="42">
        <f>IFERROR((_xll.qlBlackFormula(IF(O93&lt;$C$4,"Put","Call"),O93+$C$14,$C$4,$C$10*SQRT($C$7),,$C$11)-
2*_xll.qlBlackFormula(IF(O93&lt;$C$4,"Put","Call"),O93,$C$4,$C$10*SQRT($C$7),,$C$11)+
_xll.qlBlackFormula(IF(O93&lt;$C$4,"Put","Call"),O93-$C$14,$C$4,$C$10*SQRT($C$7),,$C$11))/$C$14^2,"")</f>
        <v>25.474632819877385</v>
      </c>
      <c r="U93" s="43">
        <f>IFERROR((_xll.qlBachelierBlackFormula(IF(O93&lt;$C$4,"Put","Call"),O93+$C$14,$C$4,$C$12*SQRT($C$7))-
2*_xll.qlBachelierBlackFormula(IF(O93&lt;$C$4,"Put","Call"),O93,$C$4,$C$12*SQRT($C$7))+
_xll.qlBachelierBlackFormula(IF(O93&lt;$C$4,"Put","Call"),O93-$C$14,$C$4,$C$12*SQRT($C$7)))/$C$14^2,"")</f>
        <v>23.003099425267237</v>
      </c>
      <c r="V93" s="61" t="str">
        <f>IFERROR(_xll.qlBachelierBlackFormulaImpliedVol(IF(O93&lt;$C$4,"Put","Call"),O93,$C$4,$C$7,P93),"")</f>
        <v/>
      </c>
      <c r="W93" s="61">
        <f>IFERROR(_xll.qlBachelierBlackFormulaImpliedVol(IF(O93&lt;$C$4,"Put","Call"),O93,$C$4,$C$7,Q93),"")</f>
        <v>6.9360240537721506E-3</v>
      </c>
      <c r="X93" s="61">
        <f>IFERROR(_xll.qlBachelierBlackFormulaImpliedVol(IF(O93&lt;$C$4,"Put","Call"),O93,$C$4,$C$7,R93),"")</f>
        <v>7.2020000000001345E-3</v>
      </c>
      <c r="Y93" s="96">
        <f>_xll.qlSmileSectionVolatility($C$40,O93+$C$31)</f>
        <v>6.9827645326415496E-3</v>
      </c>
    </row>
    <row r="94" spans="15:25">
      <c r="O94" s="37">
        <f t="shared" si="1"/>
        <v>-1.1000000000000057E-3</v>
      </c>
      <c r="P94" s="38" t="str">
        <f>IFERROR(_xll.qlBlackFormula(IF(O94&lt;$C$4,"Put","Call"),O94,$C$4,$C$9*SQRT($C$7)),"")</f>
        <v/>
      </c>
      <c r="Q94" s="39">
        <f>IFERROR(_xll.qlBlackFormula(IF(O94&lt;$C$4,"Put","Call"),O94,$C$4,$C$10*SQRT($C$7),,$C$11),"")</f>
        <v>3.613444634671923E-3</v>
      </c>
      <c r="R94" s="40">
        <f>IFERROR(_xll.qlBachelierBlackFormula(IF(O94&lt;$C$4,"Put","Call"),O94,$C$4,$C$12*SQRT($C$7)),"")</f>
        <v>3.8300929449558855E-3</v>
      </c>
      <c r="S94" s="41" t="str">
        <f>IFERROR((_xll.qlBlackFormula(IF(O94&lt;$C$4,"Put","Call"),O94+$C$14,$C$4,$C$9*SQRT($C$7))-
2*_xll.qlBlackFormula(IF(O94&lt;$C$4,"Put","Call"),O94,$C$4,$C$9*SQRT($C$7))+
_xll.qlBlackFormula(IF(O94&lt;$C$4,"Put","Call"),O94-$C$14,$C$4,$C$9*SQRT($C$7)))/$C$14^2,"")</f>
        <v/>
      </c>
      <c r="T94" s="42">
        <f>IFERROR((_xll.qlBlackFormula(IF(O94&lt;$C$4,"Put","Call"),O94+$C$14,$C$4,$C$10*SQRT($C$7),,$C$11)-
2*_xll.qlBlackFormula(IF(O94&lt;$C$4,"Put","Call"),O94,$C$4,$C$10*SQRT($C$7),,$C$11)+
_xll.qlBlackFormula(IF(O94&lt;$C$4,"Put","Call"),O94-$C$14,$C$4,$C$10*SQRT($C$7),,$C$11))/$C$14^2,"")</f>
        <v>25.493565591894196</v>
      </c>
      <c r="U94" s="43">
        <f>IFERROR((_xll.qlBachelierBlackFormula(IF(O94&lt;$C$4,"Put","Call"),O94+$C$14,$C$4,$C$12*SQRT($C$7))-
2*_xll.qlBachelierBlackFormula(IF(O94&lt;$C$4,"Put","Call"),O94,$C$4,$C$12*SQRT($C$7))+
_xll.qlBachelierBlackFormula(IF(O94&lt;$C$4,"Put","Call"),O94-$C$14,$C$4,$C$12*SQRT($C$7)))/$C$14^2,"")</f>
        <v>23.057715892865762</v>
      </c>
      <c r="V94" s="61" t="str">
        <f>IFERROR(_xll.qlBachelierBlackFormulaImpliedVol(IF(O94&lt;$C$4,"Put","Call"),O94,$C$4,$C$7,P94),"")</f>
        <v/>
      </c>
      <c r="W94" s="61">
        <f>IFERROR(_xll.qlBachelierBlackFormulaImpliedVol(IF(O94&lt;$C$4,"Put","Call"),O94,$C$4,$C$7,Q94),"")</f>
        <v>6.9403685885079947E-3</v>
      </c>
      <c r="X94" s="61">
        <f>IFERROR(_xll.qlBachelierBlackFormulaImpliedVol(IF(O94&lt;$C$4,"Put","Call"),O94,$C$4,$C$7,R94),"")</f>
        <v>7.202000000000125E-3</v>
      </c>
      <c r="Y94" s="96">
        <f>_xll.qlSmileSectionVolatility($C$40,O94+$C$31)</f>
        <v>6.9856107193198725E-3</v>
      </c>
    </row>
    <row r="95" spans="15:25">
      <c r="O95" s="37">
        <f t="shared" si="1"/>
        <v>-1.0000000000000057E-3</v>
      </c>
      <c r="P95" s="38" t="str">
        <f>IFERROR(_xll.qlBlackFormula(IF(O95&lt;$C$4,"Put","Call"),O95,$C$4,$C$9*SQRT($C$7)),"")</f>
        <v/>
      </c>
      <c r="Q95" s="39">
        <f>IFERROR(_xll.qlBlackFormula(IF(O95&lt;$C$4,"Put","Call"),O95,$C$4,$C$10*SQRT($C$7),,$C$11),"")</f>
        <v>3.6518724875234318E-3</v>
      </c>
      <c r="R95" s="40">
        <f>IFERROR(_xll.qlBachelierBlackFormula(IF(O95&lt;$C$4,"Put","Call"),O95,$C$4,$C$12*SQRT($C$7)),"")</f>
        <v>3.8654507341693047E-3</v>
      </c>
      <c r="S95" s="41" t="str">
        <f>IFERROR((_xll.qlBlackFormula(IF(O95&lt;$C$4,"Put","Call"),O95+$C$14,$C$4,$C$9*SQRT($C$7))-
2*_xll.qlBlackFormula(IF(O95&lt;$C$4,"Put","Call"),O95,$C$4,$C$9*SQRT($C$7))+
_xll.qlBlackFormula(IF(O95&lt;$C$4,"Put","Call"),O95-$C$14,$C$4,$C$9*SQRT($C$7)))/$C$14^2,"")</f>
        <v/>
      </c>
      <c r="T95" s="42">
        <f>IFERROR((_xll.qlBlackFormula(IF(O95&lt;$C$4,"Put","Call"),O95+$C$14,$C$4,$C$10*SQRT($C$7),,$C$11)-
2*_xll.qlBlackFormula(IF(O95&lt;$C$4,"Put","Call"),O95,$C$4,$C$10*SQRT($C$7),,$C$11)+
_xll.qlBlackFormula(IF(O95&lt;$C$4,"Put","Call"),O95-$C$14,$C$4,$C$10*SQRT($C$7),,$C$11))/$C$14^2,"")</f>
        <v>25.511370793651622</v>
      </c>
      <c r="U95" s="43">
        <f>IFERROR((_xll.qlBachelierBlackFormula(IF(O95&lt;$C$4,"Put","Call"),O95+$C$14,$C$4,$C$12*SQRT($C$7))-
2*_xll.qlBachelierBlackFormula(IF(O95&lt;$C$4,"Put","Call"),O95,$C$4,$C$12*SQRT($C$7))+
_xll.qlBachelierBlackFormula(IF(O95&lt;$C$4,"Put","Call"),O95-$C$14,$C$4,$C$12*SQRT($C$7)))/$C$14^2,"")</f>
        <v>23.111563877964425</v>
      </c>
      <c r="V95" s="61" t="str">
        <f>IFERROR(_xll.qlBachelierBlackFormulaImpliedVol(IF(O95&lt;$C$4,"Put","Call"),O95,$C$4,$C$7,P95),"")</f>
        <v/>
      </c>
      <c r="W95" s="61">
        <f>IFERROR(_xll.qlBachelierBlackFormulaImpliedVol(IF(O95&lt;$C$4,"Put","Call"),O95,$C$4,$C$7,Q95),"")</f>
        <v>6.9447112655580401E-3</v>
      </c>
      <c r="X95" s="61">
        <f>IFERROR(_xll.qlBachelierBlackFormulaImpliedVol(IF(O95&lt;$C$4,"Put","Call"),O95,$C$4,$C$7,R95),"")</f>
        <v>7.2020000000001128E-3</v>
      </c>
      <c r="Y95" s="96">
        <f>_xll.qlSmileSectionVolatility($C$40,O95+$C$31)</f>
        <v>6.9884809465285093E-3</v>
      </c>
    </row>
    <row r="96" spans="15:25">
      <c r="O96" s="37">
        <f t="shared" si="1"/>
        <v>-9.0000000000000561E-4</v>
      </c>
      <c r="P96" s="38" t="str">
        <f>IFERROR(_xll.qlBlackFormula(IF(O96&lt;$C$4,"Put","Call"),O96,$C$4,$C$9*SQRT($C$7)),"")</f>
        <v/>
      </c>
      <c r="Q96" s="39">
        <f>IFERROR(_xll.qlBlackFormula(IF(O96&lt;$C$4,"Put","Call"),O96,$C$4,$C$10*SQRT($C$7),,$C$11),"")</f>
        <v>3.6905554530888111E-3</v>
      </c>
      <c r="R96" s="40">
        <f>IFERROR(_xll.qlBachelierBlackFormula(IF(O96&lt;$C$4,"Put","Call"),O96,$C$4,$C$12*SQRT($C$7)),"")</f>
        <v>3.901039638393753E-3</v>
      </c>
      <c r="S96" s="41" t="str">
        <f>IFERROR((_xll.qlBlackFormula(IF(O96&lt;$C$4,"Put","Call"),O96+$C$14,$C$4,$C$9*SQRT($C$7))-
2*_xll.qlBlackFormula(IF(O96&lt;$C$4,"Put","Call"),O96,$C$4,$C$9*SQRT($C$7))+
_xll.qlBlackFormula(IF(O96&lt;$C$4,"Put","Call"),O96-$C$14,$C$4,$C$9*SQRT($C$7)))/$C$14^2,"")</f>
        <v/>
      </c>
      <c r="T96" s="42">
        <f>IFERROR((_xll.qlBlackFormula(IF(O96&lt;$C$4,"Put","Call"),O96+$C$14,$C$4,$C$10*SQRT($C$7),,$C$11)-
2*_xll.qlBlackFormula(IF(O96&lt;$C$4,"Put","Call"),O96,$C$4,$C$10*SQRT($C$7),,$C$11)+
_xll.qlBlackFormula(IF(O96&lt;$C$4,"Put","Call"),O96-$C$14,$C$4,$C$10*SQRT($C$7),,$C$11))/$C$14^2,"")</f>
        <v>25.528027608467951</v>
      </c>
      <c r="U96" s="43">
        <f>IFERROR((_xll.qlBachelierBlackFormula(IF(O96&lt;$C$4,"Put","Call"),O96+$C$14,$C$4,$C$12*SQRT($C$7))-
2*_xll.qlBachelierBlackFormula(IF(O96&lt;$C$4,"Put","Call"),O96,$C$4,$C$12*SQRT($C$7))+
_xll.qlBachelierBlackFormula(IF(O96&lt;$C$4,"Put","Call"),O96-$C$14,$C$4,$C$12*SQRT($C$7)))/$C$14^2,"")</f>
        <v>23.164650319457138</v>
      </c>
      <c r="V96" s="61" t="str">
        <f>IFERROR(_xll.qlBachelierBlackFormulaImpliedVol(IF(O96&lt;$C$4,"Put","Call"),O96,$C$4,$C$7,P96),"")</f>
        <v/>
      </c>
      <c r="W96" s="61">
        <f>IFERROR(_xll.qlBachelierBlackFormulaImpliedVol(IF(O96&lt;$C$4,"Put","Call"),O96,$C$4,$C$7,Q96),"")</f>
        <v>6.9490520884570913E-3</v>
      </c>
      <c r="X96" s="61">
        <f>IFERROR(_xll.qlBachelierBlackFormulaImpliedVol(IF(O96&lt;$C$4,"Put","Call"),O96,$C$4,$C$7,R96),"")</f>
        <v>7.2020000000001015E-3</v>
      </c>
      <c r="Y96" s="96">
        <f>_xll.qlSmileSectionVolatility($C$40,O96+$C$31)</f>
        <v>6.991375245375523E-3</v>
      </c>
    </row>
    <row r="97" spans="15:25">
      <c r="O97" s="37">
        <f t="shared" si="1"/>
        <v>-8.0000000000000557E-4</v>
      </c>
      <c r="P97" s="38" t="str">
        <f>IFERROR(_xll.qlBlackFormula(IF(O97&lt;$C$4,"Put","Call"),O97,$C$4,$C$9*SQRT($C$7)),"")</f>
        <v/>
      </c>
      <c r="Q97" s="39">
        <f>IFERROR(_xll.qlBlackFormula(IF(O97&lt;$C$4,"Put","Call"),O97,$C$4,$C$10*SQRT($C$7),,$C$11),"")</f>
        <v>3.7294936978470999E-3</v>
      </c>
      <c r="R97" s="40">
        <f>IFERROR(_xll.qlBachelierBlackFormula(IF(O97&lt;$C$4,"Put","Call"),O97,$C$4,$C$12*SQRT($C$7)),"")</f>
        <v>3.936860188470127E-3</v>
      </c>
      <c r="S97" s="41" t="str">
        <f>IFERROR((_xll.qlBlackFormula(IF(O97&lt;$C$4,"Put","Call"),O97+$C$14,$C$4,$C$9*SQRT($C$7))-
2*_xll.qlBlackFormula(IF(O97&lt;$C$4,"Put","Call"),O97,$C$4,$C$9*SQRT($C$7))+
_xll.qlBlackFormula(IF(O97&lt;$C$4,"Put","Call"),O97-$C$14,$C$4,$C$9*SQRT($C$7)))/$C$14^2,"")</f>
        <v/>
      </c>
      <c r="T97" s="42">
        <f>IFERROR((_xll.qlBlackFormula(IF(O97&lt;$C$4,"Put","Call"),O97+$C$14,$C$4,$C$10*SQRT($C$7),,$C$11)-
2*_xll.qlBlackFormula(IF(O97&lt;$C$4,"Put","Call"),O97,$C$4,$C$10*SQRT($C$7),,$C$11)+
_xll.qlBlackFormula(IF(O97&lt;$C$4,"Put","Call"),O97-$C$14,$C$4,$C$10*SQRT($C$7),,$C$11))/$C$14^2,"")</f>
        <v>25.543525628002328</v>
      </c>
      <c r="U97" s="43">
        <f>IFERROR((_xll.qlBachelierBlackFormula(IF(O97&lt;$C$4,"Put","Call"),O97+$C$14,$C$4,$C$12*SQRT($C$7))-
2*_xll.qlBachelierBlackFormula(IF(O97&lt;$C$4,"Put","Call"),O97,$C$4,$C$12*SQRT($C$7))+
_xll.qlBachelierBlackFormula(IF(O97&lt;$C$4,"Put","Call"),O97-$C$14,$C$4,$C$12*SQRT($C$7)))/$C$14^2,"")</f>
        <v>23.216962206917824</v>
      </c>
      <c r="V97" s="61" t="str">
        <f>IFERROR(_xll.qlBachelierBlackFormulaImpliedVol(IF(O97&lt;$C$4,"Put","Call"),O97,$C$4,$C$7,P97),"")</f>
        <v/>
      </c>
      <c r="W97" s="61">
        <f>IFERROR(_xll.qlBachelierBlackFormulaImpliedVol(IF(O97&lt;$C$4,"Put","Call"),O97,$C$4,$C$7,Q97),"")</f>
        <v>6.9533910607286501E-3</v>
      </c>
      <c r="X97" s="61">
        <f>IFERROR(_xll.qlBachelierBlackFormulaImpliedVol(IF(O97&lt;$C$4,"Put","Call"),O97,$C$4,$C$7,R97),"")</f>
        <v>7.2020000000000911E-3</v>
      </c>
      <c r="Y97" s="96">
        <f>_xll.qlSmileSectionVolatility($C$40,O97+$C$31)</f>
        <v>6.9942936458220282E-3</v>
      </c>
    </row>
    <row r="98" spans="15:25">
      <c r="O98" s="37">
        <f t="shared" si="1"/>
        <v>-7.0000000000000552E-4</v>
      </c>
      <c r="P98" s="38" t="str">
        <f>IFERROR(_xll.qlBlackFormula(IF(O98&lt;$C$4,"Put","Call"),O98,$C$4,$C$9*SQRT($C$7)),"")</f>
        <v/>
      </c>
      <c r="Q98" s="39">
        <f>IFERROR(_xll.qlBlackFormula(IF(O98&lt;$C$4,"Put","Call"),O98,$C$4,$C$10*SQRT($C$7),,$C$11),"")</f>
        <v>3.7686873768431085E-3</v>
      </c>
      <c r="R98" s="40">
        <f>IFERROR(_xll.qlBachelierBlackFormula(IF(O98&lt;$C$4,"Put","Call"),O98,$C$4,$C$12*SQRT($C$7)),"")</f>
        <v>3.9729129075063143E-3</v>
      </c>
      <c r="S98" s="41" t="str">
        <f>IFERROR((_xll.qlBlackFormula(IF(O98&lt;$C$4,"Put","Call"),O98+$C$14,$C$4,$C$9*SQRT($C$7))-
2*_xll.qlBlackFormula(IF(O98&lt;$C$4,"Put","Call"),O98,$C$4,$C$9*SQRT($C$7))+
_xll.qlBlackFormula(IF(O98&lt;$C$4,"Put","Call"),O98-$C$14,$C$4,$C$9*SQRT($C$7)))/$C$14^2,"")</f>
        <v/>
      </c>
      <c r="T98" s="42">
        <f>IFERROR((_xll.qlBlackFormula(IF(O98&lt;$C$4,"Put","Call"),O98+$C$14,$C$4,$C$10*SQRT($C$7),,$C$11)-
2*_xll.qlBlackFormula(IF(O98&lt;$C$4,"Put","Call"),O98,$C$4,$C$10*SQRT($C$7),,$C$11)+
_xll.qlBlackFormula(IF(O98&lt;$C$4,"Put","Call"),O98-$C$14,$C$4,$C$10*SQRT($C$7),,$C$11))/$C$14^2,"")</f>
        <v>25.557882199489512</v>
      </c>
      <c r="U98" s="43">
        <f>IFERROR((_xll.qlBachelierBlackFormula(IF(O98&lt;$C$4,"Put","Call"),O98+$C$14,$C$4,$C$12*SQRT($C$7))-
2*_xll.qlBachelierBlackFormula(IF(O98&lt;$C$4,"Put","Call"),O98,$C$4,$C$12*SQRT($C$7))+
_xll.qlBachelierBlackFormula(IF(O98&lt;$C$4,"Put","Call"),O98-$C$14,$C$4,$C$12*SQRT($C$7)))/$C$14^2,"")</f>
        <v>23.268494769856929</v>
      </c>
      <c r="V98" s="61" t="str">
        <f>IFERROR(_xll.qlBachelierBlackFormulaImpliedVol(IF(O98&lt;$C$4,"Put","Call"),O98,$C$4,$C$7,P98),"")</f>
        <v/>
      </c>
      <c r="W98" s="61">
        <f>IFERROR(_xll.qlBachelierBlackFormulaImpliedVol(IF(O98&lt;$C$4,"Put","Call"),O98,$C$4,$C$7,Q98),"")</f>
        <v>6.957728185884888E-3</v>
      </c>
      <c r="X98" s="61">
        <f>IFERROR(_xll.qlBachelierBlackFormulaImpliedVol(IF(O98&lt;$C$4,"Put","Call"),O98,$C$4,$C$7,R98),"")</f>
        <v>7.2020000000000755E-3</v>
      </c>
      <c r="Y98" s="96">
        <f>_xll.qlSmileSectionVolatility($C$40,O98+$C$31)</f>
        <v>6.9972361766802932E-3</v>
      </c>
    </row>
    <row r="99" spans="15:25">
      <c r="O99" s="37">
        <f t="shared" si="1"/>
        <v>-6.0000000000000548E-4</v>
      </c>
      <c r="P99" s="38" t="str">
        <f>IFERROR(_xll.qlBlackFormula(IF(O99&lt;$C$4,"Put","Call"),O99,$C$4,$C$9*SQRT($C$7)),"")</f>
        <v/>
      </c>
      <c r="Q99" s="39">
        <f>IFERROR(_xll.qlBlackFormula(IF(O99&lt;$C$4,"Put","Call"),O99,$C$4,$C$10*SQRT($C$7),,$C$11),"")</f>
        <v>3.8081366337099354E-3</v>
      </c>
      <c r="R99" s="40">
        <f>IFERROR(_xll.qlBachelierBlackFormula(IF(O99&lt;$C$4,"Put","Call"),O99,$C$4,$C$12*SQRT($C$7)),"")</f>
        <v>4.0091983108193549E-3</v>
      </c>
      <c r="S99" s="41" t="str">
        <f>IFERROR((_xll.qlBlackFormula(IF(O99&lt;$C$4,"Put","Call"),O99+$C$14,$C$4,$C$9*SQRT($C$7))-
2*_xll.qlBlackFormula(IF(O99&lt;$C$4,"Put","Call"),O99,$C$4,$C$9*SQRT($C$7))+
_xll.qlBlackFormula(IF(O99&lt;$C$4,"Put","Call"),O99-$C$14,$C$4,$C$9*SQRT($C$7)))/$C$14^2,"")</f>
        <v/>
      </c>
      <c r="T99" s="42">
        <f>IFERROR((_xll.qlBlackFormula(IF(O99&lt;$C$4,"Put","Call"),O99+$C$14,$C$4,$C$10*SQRT($C$7),,$C$11)-
2*_xll.qlBlackFormula(IF(O99&lt;$C$4,"Put","Call"),O99,$C$4,$C$10*SQRT($C$7),,$C$11)+
_xll.qlBlackFormula(IF(O99&lt;$C$4,"Put","Call"),O99-$C$14,$C$4,$C$10*SQRT($C$7),,$C$11))/$C$14^2,"")</f>
        <v>25.571114670164263</v>
      </c>
      <c r="U99" s="43">
        <f>IFERROR((_xll.qlBachelierBlackFormula(IF(O99&lt;$C$4,"Put","Call"),O99+$C$14,$C$4,$C$12*SQRT($C$7))-
2*_xll.qlBachelierBlackFormula(IF(O99&lt;$C$4,"Put","Call"),O99,$C$4,$C$12*SQRT($C$7))+
_xll.qlBachelierBlackFormula(IF(O99&lt;$C$4,"Put","Call"),O99-$C$14,$C$4,$C$12*SQRT($C$7)))/$C$14^2,"")</f>
        <v>23.31923976833794</v>
      </c>
      <c r="V99" s="61" t="str">
        <f>IFERROR(_xll.qlBachelierBlackFormulaImpliedVol(IF(O99&lt;$C$4,"Put","Call"),O99,$C$4,$C$7,P99),"")</f>
        <v/>
      </c>
      <c r="W99" s="61">
        <f>IFERROR(_xll.qlBachelierBlackFormulaImpliedVol(IF(O99&lt;$C$4,"Put","Call"),O99,$C$4,$C$7,Q99),"")</f>
        <v>6.9620634674267545E-3</v>
      </c>
      <c r="X99" s="61">
        <f>IFERROR(_xll.qlBachelierBlackFormulaImpliedVol(IF(O99&lt;$C$4,"Put","Call"),O99,$C$4,$C$7,R99),"")</f>
        <v>7.2020000000000643E-3</v>
      </c>
      <c r="Y99" s="96">
        <f>_xll.qlSmileSectionVolatility($C$40,O99+$C$31)</f>
        <v>7.0002028656120808E-3</v>
      </c>
    </row>
    <row r="100" spans="15:25">
      <c r="O100" s="37">
        <f t="shared" si="1"/>
        <v>-5.0000000000000543E-4</v>
      </c>
      <c r="P100" s="38" t="str">
        <f>IFERROR(_xll.qlBlackFormula(IF(O100&lt;$C$4,"Put","Call"),O100,$C$4,$C$9*SQRT($C$7)),"")</f>
        <v/>
      </c>
      <c r="Q100" s="39">
        <f>IFERROR(_xll.qlBlackFormula(IF(O100&lt;$C$4,"Put","Call"),O100,$C$4,$C$10*SQRT($C$7),,$C$11),"")</f>
        <v>3.8478416006928993E-3</v>
      </c>
      <c r="R100" s="40">
        <f>IFERROR(_xll.qlBachelierBlackFormula(IF(O100&lt;$C$4,"Put","Call"),O100,$C$4,$C$12*SQRT($C$7)),"")</f>
        <v>4.0457169058783536E-3</v>
      </c>
      <c r="S100" s="41" t="str">
        <f>IFERROR((_xll.qlBlackFormula(IF(O100&lt;$C$4,"Put","Call"),O100+$C$14,$C$4,$C$9*SQRT($C$7))-
2*_xll.qlBlackFormula(IF(O100&lt;$C$4,"Put","Call"),O100,$C$4,$C$9*SQRT($C$7))+
_xll.qlBlackFormula(IF(O100&lt;$C$4,"Put","Call"),O100-$C$14,$C$4,$C$9*SQRT($C$7)))/$C$14^2,"")</f>
        <v/>
      </c>
      <c r="T100" s="42">
        <f>IFERROR((_xll.qlBlackFormula(IF(O100&lt;$C$4,"Put","Call"),O100+$C$14,$C$4,$C$10*SQRT($C$7),,$C$11)-
2*_xll.qlBlackFormula(IF(O100&lt;$C$4,"Put","Call"),O100,$C$4,$C$10*SQRT($C$7),,$C$11)+
_xll.qlBlackFormula(IF(O100&lt;$C$4,"Put","Call"),O100-$C$14,$C$4,$C$10*SQRT($C$7),,$C$11))/$C$14^2,"")</f>
        <v>25.583198753897918</v>
      </c>
      <c r="U100" s="43">
        <f>IFERROR((_xll.qlBachelierBlackFormula(IF(O100&lt;$C$4,"Put","Call"),O100+$C$14,$C$4,$C$12*SQRT($C$7))-
2*_xll.qlBachelierBlackFormula(IF(O100&lt;$C$4,"Put","Call"),O100,$C$4,$C$12*SQRT($C$7))+
_xll.qlBachelierBlackFormula(IF(O100&lt;$C$4,"Put","Call"),O100-$C$14,$C$4,$C$12*SQRT($C$7)))/$C$14^2,"")</f>
        <v>23.369198069722597</v>
      </c>
      <c r="V100" s="61" t="str">
        <f>IFERROR(_xll.qlBachelierBlackFormulaImpliedVol(IF(O100&lt;$C$4,"Put","Call"),O100,$C$4,$C$7,P100),"")</f>
        <v/>
      </c>
      <c r="W100" s="61">
        <f>IFERROR(_xll.qlBachelierBlackFormulaImpliedVol(IF(O100&lt;$C$4,"Put","Call"),O100,$C$4,$C$7,Q100),"")</f>
        <v>6.9663969088440587E-3</v>
      </c>
      <c r="X100" s="61">
        <f>IFERROR(_xll.qlBachelierBlackFormulaImpliedVol(IF(O100&lt;$C$4,"Put","Call"),O100,$C$4,$C$7,R100),"")</f>
        <v>7.2020000000000512E-3</v>
      </c>
      <c r="Y100" s="96">
        <f>_xll.qlSmileSectionVolatility($C$40,O100+$C$31)</f>
        <v>7.0031937391273171E-3</v>
      </c>
    </row>
    <row r="101" spans="15:25">
      <c r="O101" s="37">
        <f t="shared" si="1"/>
        <v>-4.0000000000000544E-4</v>
      </c>
      <c r="P101" s="38" t="str">
        <f>IFERROR(_xll.qlBlackFormula(IF(O101&lt;$C$4,"Put","Call"),O101,$C$4,$C$9*SQRT($C$7)),"")</f>
        <v/>
      </c>
      <c r="Q101" s="39">
        <f>IFERROR(_xll.qlBlackFormula(IF(O101&lt;$C$4,"Put","Call"),O101,$C$4,$C$10*SQRT($C$7),,$C$11),"")</f>
        <v>3.8878023986748146E-3</v>
      </c>
      <c r="R101" s="40">
        <f>IFERROR(_xll.qlBachelierBlackFormula(IF(O101&lt;$C$4,"Put","Call"),O101,$C$4,$C$12*SQRT($C$7)),"")</f>
        <v>4.0824691922482E-3</v>
      </c>
      <c r="S101" s="41" t="str">
        <f>IFERROR((_xll.qlBlackFormula(IF(O101&lt;$C$4,"Put","Call"),O101+$C$14,$C$4,$C$9*SQRT($C$7))-
2*_xll.qlBlackFormula(IF(O101&lt;$C$4,"Put","Call"),O101,$C$4,$C$9*SQRT($C$7))+
_xll.qlBlackFormula(IF(O101&lt;$C$4,"Put","Call"),O101-$C$14,$C$4,$C$9*SQRT($C$7)))/$C$14^2,"")</f>
        <v/>
      </c>
      <c r="T101" s="42">
        <f>IFERROR((_xll.qlBlackFormula(IF(O101&lt;$C$4,"Put","Call"),O101+$C$14,$C$4,$C$10*SQRT($C$7),,$C$11)-
2*_xll.qlBlackFormula(IF(O101&lt;$C$4,"Put","Call"),O101,$C$4,$C$10*SQRT($C$7),,$C$11)+
_xll.qlBlackFormula(IF(O101&lt;$C$4,"Put","Call"),O101-$C$14,$C$4,$C$10*SQRT($C$7),,$C$11))/$C$14^2,"")</f>
        <v>25.594148328478283</v>
      </c>
      <c r="U101" s="43">
        <f>IFERROR((_xll.qlBachelierBlackFormula(IF(O101&lt;$C$4,"Put","Call"),O101+$C$14,$C$4,$C$12*SQRT($C$7))-
2*_xll.qlBachelierBlackFormula(IF(O101&lt;$C$4,"Put","Call"),O101,$C$4,$C$12*SQRT($C$7))+
_xll.qlBachelierBlackFormula(IF(O101&lt;$C$4,"Put","Call"),O101-$C$14,$C$4,$C$12*SQRT($C$7)))/$C$14^2,"")</f>
        <v>23.418360133031779</v>
      </c>
      <c r="V101" s="61" t="str">
        <f>IFERROR(_xll.qlBachelierBlackFormulaImpliedVol(IF(O101&lt;$C$4,"Put","Call"),O101,$C$4,$C$7,P101),"")</f>
        <v/>
      </c>
      <c r="W101" s="61">
        <f>IFERROR(_xll.qlBachelierBlackFormulaImpliedVol(IF(O101&lt;$C$4,"Put","Call"),O101,$C$4,$C$7,Q101),"")</f>
        <v>6.9707285136154278E-3</v>
      </c>
      <c r="X101" s="61">
        <f>IFERROR(_xll.qlBachelierBlackFormulaImpliedVol(IF(O101&lt;$C$4,"Put","Call"),O101,$C$4,$C$7,R101),"")</f>
        <v>7.2020000000000374E-3</v>
      </c>
      <c r="Y101" s="96">
        <f>_xll.qlSmileSectionVolatility($C$40,O101+$C$31)</f>
        <v>7.0062088225827683E-3</v>
      </c>
    </row>
    <row r="102" spans="15:25">
      <c r="O102" s="37">
        <f t="shared" si="1"/>
        <v>-3.0000000000000545E-4</v>
      </c>
      <c r="P102" s="38" t="str">
        <f>IFERROR(_xll.qlBlackFormula(IF(O102&lt;$C$4,"Put","Call"),O102,$C$4,$C$9*SQRT($C$7)),"")</f>
        <v/>
      </c>
      <c r="Q102" s="39">
        <f>IFERROR(_xll.qlBlackFormula(IF(O102&lt;$C$4,"Put","Call"),O102,$C$4,$C$10*SQRT($C$7),,$C$11),"")</f>
        <v>3.9280191372027679E-3</v>
      </c>
      <c r="R102" s="40">
        <f>IFERROR(_xll.qlBachelierBlackFormula(IF(O102&lt;$C$4,"Put","Call"),O102,$C$4,$C$12*SQRT($C$7)),"")</f>
        <v>4.1194556615340629E-3</v>
      </c>
      <c r="S102" s="41" t="str">
        <f>IFERROR((_xll.qlBlackFormula(IF(O102&lt;$C$4,"Put","Call"),O102+$C$14,$C$4,$C$9*SQRT($C$7))-
2*_xll.qlBlackFormula(IF(O102&lt;$C$4,"Put","Call"),O102,$C$4,$C$9*SQRT($C$7))+
_xll.qlBlackFormula(IF(O102&lt;$C$4,"Put","Call"),O102-$C$14,$C$4,$C$9*SQRT($C$7)))/$C$14^2,"")</f>
        <v/>
      </c>
      <c r="T102" s="42">
        <f>IFERROR((_xll.qlBlackFormula(IF(O102&lt;$C$4,"Put","Call"),O102+$C$14,$C$4,$C$10*SQRT($C$7),,$C$11)-
2*_xll.qlBlackFormula(IF(O102&lt;$C$4,"Put","Call"),O102,$C$4,$C$10*SQRT($C$7),,$C$11)+
_xll.qlBlackFormula(IF(O102&lt;$C$4,"Put","Call"),O102-$C$14,$C$4,$C$10*SQRT($C$7),,$C$11))/$C$14^2,"")</f>
        <v>25.603970332799264</v>
      </c>
      <c r="U102" s="43">
        <f>IFERROR((_xll.qlBachelierBlackFormula(IF(O102&lt;$C$4,"Put","Call"),O102+$C$14,$C$4,$C$12*SQRT($C$7))-
2*_xll.qlBachelierBlackFormula(IF(O102&lt;$C$4,"Put","Call"),O102,$C$4,$C$12*SQRT($C$7))+
_xll.qlBachelierBlackFormula(IF(O102&lt;$C$4,"Put","Call"),O102-$C$14,$C$4,$C$12*SQRT($C$7)))/$C$14^2,"")</f>
        <v>23.466719886733323</v>
      </c>
      <c r="V102" s="61" t="str">
        <f>IFERROR(_xll.qlBachelierBlackFormulaImpliedVol(IF(O102&lt;$C$4,"Put","Call"),O102,$C$4,$C$7,P102),"")</f>
        <v/>
      </c>
      <c r="W102" s="61">
        <f>IFERROR(_xll.qlBachelierBlackFormulaImpliedVol(IF(O102&lt;$C$4,"Put","Call"),O102,$C$4,$C$7,Q102),"")</f>
        <v>6.9750582852084264E-3</v>
      </c>
      <c r="X102" s="61">
        <f>IFERROR(_xll.qlBachelierBlackFormulaImpliedVol(IF(O102&lt;$C$4,"Put","Call"),O102,$C$4,$C$7,R102),"")</f>
        <v>7.2020000000000278E-3</v>
      </c>
      <c r="Y102" s="96">
        <f>_xll.qlSmileSectionVolatility($C$40,O102+$C$31)</f>
        <v>7.0092481401808982E-3</v>
      </c>
    </row>
    <row r="103" spans="15:25">
      <c r="O103" s="37">
        <f t="shared" si="1"/>
        <v>-2.0000000000000546E-4</v>
      </c>
      <c r="P103" s="38" t="str">
        <f>IFERROR(_xll.qlBlackFormula(IF(O103&lt;$C$4,"Put","Call"),O103,$C$4,$C$9*SQRT($C$7)),"")</f>
        <v/>
      </c>
      <c r="Q103" s="39">
        <f>IFERROR(_xll.qlBlackFormula(IF(O103&lt;$C$4,"Put","Call"),O103,$C$4,$C$10*SQRT($C$7),,$C$11),"")</f>
        <v>3.9684919145162173E-3</v>
      </c>
      <c r="R103" s="40">
        <f>IFERROR(_xll.qlBachelierBlackFormula(IF(O103&lt;$C$4,"Put","Call"),O103,$C$4,$C$12*SQRT($C$7)),"")</f>
        <v>4.1566767973266958E-3</v>
      </c>
      <c r="S103" s="41" t="str">
        <f>IFERROR((_xll.qlBlackFormula(IF(O103&lt;$C$4,"Put","Call"),O103+$C$14,$C$4,$C$9*SQRT($C$7))-
2*_xll.qlBlackFormula(IF(O103&lt;$C$4,"Put","Call"),O103,$C$4,$C$9*SQRT($C$7))+
_xll.qlBlackFormula(IF(O103&lt;$C$4,"Put","Call"),O103-$C$14,$C$4,$C$9*SQRT($C$7)))/$C$14^2,"")</f>
        <v/>
      </c>
      <c r="T103" s="42">
        <f>IFERROR((_xll.qlBlackFormula(IF(O103&lt;$C$4,"Put","Call"),O103+$C$14,$C$4,$C$10*SQRT($C$7),,$C$11)-
2*_xll.qlBlackFormula(IF(O103&lt;$C$4,"Put","Call"),O103,$C$4,$C$10*SQRT($C$7),,$C$11)+
_xll.qlBlackFormula(IF(O103&lt;$C$4,"Put","Call"),O103-$C$14,$C$4,$C$10*SQRT($C$7),,$C$11))/$C$14^2,"")</f>
        <v>25.612671705754764</v>
      </c>
      <c r="U103" s="43">
        <f>IFERROR((_xll.qlBachelierBlackFormula(IF(O103&lt;$C$4,"Put","Call"),O103+$C$14,$C$4,$C$12*SQRT($C$7))-
2*_xll.qlBachelierBlackFormula(IF(O103&lt;$C$4,"Put","Call"),O103,$C$4,$C$12*SQRT($C$7))+
_xll.qlBachelierBlackFormula(IF(O103&lt;$C$4,"Put","Call"),O103-$C$14,$C$4,$C$12*SQRT($C$7)))/$C$14^2,"")</f>
        <v>23.514271259295061</v>
      </c>
      <c r="V103" s="61" t="str">
        <f>IFERROR(_xll.qlBachelierBlackFormulaImpliedVol(IF(O103&lt;$C$4,"Put","Call"),O103,$C$4,$C$7,P103),"")</f>
        <v/>
      </c>
      <c r="W103" s="61">
        <f>IFERROR(_xll.qlBachelierBlackFormulaImpliedVol(IF(O103&lt;$C$4,"Put","Call"),O103,$C$4,$C$7,Q103),"")</f>
        <v>6.9793862270795945E-3</v>
      </c>
      <c r="X103" s="61">
        <f>IFERROR(_xll.qlBachelierBlackFormulaImpliedVol(IF(O103&lt;$C$4,"Put","Call"),O103,$C$4,$C$7,R103),"")</f>
        <v>7.2020000000000131E-3</v>
      </c>
      <c r="Y103" s="96">
        <f>_xll.qlSmileSectionVolatility($C$40,O103+$C$31)</f>
        <v>7.0123117149691527E-3</v>
      </c>
    </row>
    <row r="104" spans="15:25">
      <c r="O104" s="37">
        <f t="shared" si="1"/>
        <v>-1.0000000000000545E-4</v>
      </c>
      <c r="P104" s="38" t="str">
        <f>IFERROR(_xll.qlBlackFormula(IF(O104&lt;$C$4,"Put","Call"),O104,$C$4,$C$9*SQRT($C$7)),"")</f>
        <v/>
      </c>
      <c r="Q104" s="39">
        <f>IFERROR(_xll.qlBlackFormula(IF(O104&lt;$C$4,"Put","Call"),O104,$C$4,$C$10*SQRT($C$7),,$C$11),"")</f>
        <v>4.0092208175764865E-3</v>
      </c>
      <c r="R104" s="40">
        <f>IFERROR(_xll.qlBachelierBlackFormula(IF(O104&lt;$C$4,"Put","Call"),O104,$C$4,$C$12*SQRT($C$7)),"")</f>
        <v>4.1941330751485567E-3</v>
      </c>
      <c r="S104" s="41" t="str">
        <f>IFERROR((_xll.qlBlackFormula(IF(O104&lt;$C$4,"Put","Call"),O104+$C$14,$C$4,$C$9*SQRT($C$7))-
2*_xll.qlBlackFormula(IF(O104&lt;$C$4,"Put","Call"),O104,$C$4,$C$9*SQRT($C$7))+
_xll.qlBlackFormula(IF(O104&lt;$C$4,"Put","Call"),O104-$C$14,$C$4,$C$9*SQRT($C$7)))/$C$14^2,"")</f>
        <v/>
      </c>
      <c r="T104" s="42">
        <f>IFERROR((_xll.qlBlackFormula(IF(O104&lt;$C$4,"Put","Call"),O104+$C$14,$C$4,$C$10*SQRT($C$7),,$C$11)-
2*_xll.qlBlackFormula(IF(O104&lt;$C$4,"Put","Call"),O104,$C$4,$C$10*SQRT($C$7),,$C$11)+
_xll.qlBlackFormula(IF(O104&lt;$C$4,"Put","Call"),O104-$C$14,$C$4,$C$10*SQRT($C$7),,$C$11))/$C$14^2,"")</f>
        <v>25.620242039003926</v>
      </c>
      <c r="U104" s="43">
        <f>IFERROR((_xll.qlBachelierBlackFormula(IF(O104&lt;$C$4,"Put","Call"),O104+$C$14,$C$4,$C$12*SQRT($C$7))-
2*_xll.qlBachelierBlackFormula(IF(O104&lt;$C$4,"Put","Call"),O104,$C$4,$C$12*SQRT($C$7))+
_xll.qlBachelierBlackFormula(IF(O104&lt;$C$4,"Put","Call"),O104-$C$14,$C$4,$C$12*SQRT($C$7)))/$C$14^2,"")</f>
        <v>23.56101164863178</v>
      </c>
      <c r="V104" s="61" t="str">
        <f>IFERROR(_xll.qlBachelierBlackFormulaImpliedVol(IF(O104&lt;$C$4,"Put","Call"),O104,$C$4,$C$7,P104),"")</f>
        <v/>
      </c>
      <c r="W104" s="61">
        <f>IFERROR(_xll.qlBachelierBlackFormulaImpliedVol(IF(O104&lt;$C$4,"Put","Call"),O104,$C$4,$C$7,Q104),"")</f>
        <v>6.9837123426744882E-3</v>
      </c>
      <c r="X104" s="61">
        <f>IFERROR(_xll.qlBachelierBlackFormulaImpliedVol(IF(O104&lt;$C$4,"Put","Call"),O104,$C$4,$C$7,R104),"")</f>
        <v>7.2019999999999992E-3</v>
      </c>
      <c r="Y104" s="96">
        <f>_xll.qlSmileSectionVolatility($C$40,O104+$C$31)</f>
        <v>7.0153995688391228E-3</v>
      </c>
    </row>
    <row r="105" spans="15:25">
      <c r="O105" s="37">
        <f t="shared" si="1"/>
        <v>-5.4481159167396598E-18</v>
      </c>
      <c r="P105" s="38" t="str">
        <f>IFERROR(_xll.qlBlackFormula(IF(O105&lt;$C$4,"Put","Call"),O105,$C$4,$C$9*SQRT($C$7)),"")</f>
        <v/>
      </c>
      <c r="Q105" s="39">
        <f>IFERROR(_xll.qlBlackFormula(IF(O105&lt;$C$4,"Put","Call"),O105,$C$4,$C$10*SQRT($C$7),,$C$11),"")</f>
        <v>4.0502059220976008E-3</v>
      </c>
      <c r="R105" s="40">
        <f>IFERROR(_xll.qlBachelierBlackFormula(IF(O105&lt;$C$4,"Put","Call"),O105,$C$4,$C$12*SQRT($C$7)),"")</f>
        <v>4.2318249624007532E-3</v>
      </c>
      <c r="S105" s="41" t="str">
        <f>IFERROR((_xll.qlBlackFormula(IF(O105&lt;$C$4,"Put","Call"),O105+$C$14,$C$4,$C$9*SQRT($C$7))-
2*_xll.qlBlackFormula(IF(O105&lt;$C$4,"Put","Call"),O105,$C$4,$C$9*SQRT($C$7))+
_xll.qlBlackFormula(IF(O105&lt;$C$4,"Put","Call"),O105-$C$14,$C$4,$C$9*SQRT($C$7)))/$C$14^2,"")</f>
        <v/>
      </c>
      <c r="T105" s="42">
        <f>IFERROR((_xll.qlBlackFormula(IF(O105&lt;$C$4,"Put","Call"),O105+$C$14,$C$4,$C$10*SQRT($C$7),,$C$11)-
2*_xll.qlBlackFormula(IF(O105&lt;$C$4,"Put","Call"),O105,$C$4,$C$10*SQRT($C$7),,$C$11)+
_xll.qlBlackFormula(IF(O105&lt;$C$4,"Put","Call"),O105-$C$14,$C$4,$C$10*SQRT($C$7),,$C$11))/$C$14^2,"")</f>
        <v>25.626698679781512</v>
      </c>
      <c r="U105" s="43">
        <f>IFERROR((_xll.qlBachelierBlackFormula(IF(O105&lt;$C$4,"Put","Call"),O105+$C$14,$C$4,$C$12*SQRT($C$7))-
2*_xll.qlBachelierBlackFormula(IF(O105&lt;$C$4,"Put","Call"),O105,$C$4,$C$12*SQRT($C$7))+
_xll.qlBachelierBlackFormula(IF(O105&lt;$C$4,"Put","Call"),O105-$C$14,$C$4,$C$12*SQRT($C$7)))/$C$14^2,"")</f>
        <v>23.606933248487838</v>
      </c>
      <c r="V105" s="61" t="str">
        <f>IFERROR(_xll.qlBachelierBlackFormulaImpliedVol(IF(O105&lt;$C$4,"Put","Call"),O105,$C$4,$C$7,P105),"")</f>
        <v/>
      </c>
      <c r="W105" s="61">
        <f>IFERROR(_xll.qlBachelierBlackFormulaImpliedVol(IF(O105&lt;$C$4,"Put","Call"),O105,$C$4,$C$7,Q105),"")</f>
        <v>6.9880366354277135E-3</v>
      </c>
      <c r="X105" s="61">
        <f>IFERROR(_xll.qlBachelierBlackFormulaImpliedVol(IF(O105&lt;$C$4,"Put","Call"),O105,$C$4,$C$7,R105),"")</f>
        <v>7.2019999999999897E-3</v>
      </c>
      <c r="Y105" s="96">
        <f>_xll.qlSmileSectionVolatility($C$40,O105+$C$31)</f>
        <v>7.0185117225260701E-3</v>
      </c>
    </row>
    <row r="106" spans="15:25">
      <c r="O106" s="37">
        <f t="shared" si="1"/>
        <v>9.9999999999994557E-5</v>
      </c>
      <c r="P106" s="38" t="str">
        <f>IFERROR(_xll.qlBlackFormula(IF(O106&lt;$C$4,"Put","Call"),O106,$C$4,$C$9*SQRT($C$7)),"")</f>
        <v/>
      </c>
      <c r="Q106" s="39">
        <f>IFERROR(_xll.qlBlackFormula(IF(O106&lt;$C$4,"Put","Call"),O106,$C$4,$C$10*SQRT($C$7),,$C$11),"")</f>
        <v>4.0914472925784907E-3</v>
      </c>
      <c r="R106" s="40">
        <f>IFERROR(_xll.qlBachelierBlackFormula(IF(O106&lt;$C$4,"Put","Call"),O106,$C$4,$C$12*SQRT($C$7)),"")</f>
        <v>4.2697529183108145E-3</v>
      </c>
      <c r="S106" s="41" t="str">
        <f>IFERROR((_xll.qlBlackFormula(IF(O106&lt;$C$4,"Put","Call"),O106+$C$14,$C$4,$C$9*SQRT($C$7))-
2*_xll.qlBlackFormula(IF(O106&lt;$C$4,"Put","Call"),O106,$C$4,$C$9*SQRT($C$7))+
_xll.qlBlackFormula(IF(O106&lt;$C$4,"Put","Call"),O106-$C$14,$C$4,$C$9*SQRT($C$7)))/$C$14^2,"")</f>
        <v/>
      </c>
      <c r="T106" s="42">
        <f>IFERROR((_xll.qlBlackFormula(IF(O106&lt;$C$4,"Put","Call"),O106+$C$14,$C$4,$C$10*SQRT($C$7),,$C$11)-
2*_xll.qlBlackFormula(IF(O106&lt;$C$4,"Put","Call"),O106,$C$4,$C$10*SQRT($C$7),,$C$11)+
_xll.qlBlackFormula(IF(O106&lt;$C$4,"Put","Call"),O106-$C$14,$C$4,$C$10*SQRT($C$7),,$C$11))/$C$14^2,"")</f>
        <v>25.632024280852761</v>
      </c>
      <c r="U106" s="43">
        <f>IFERROR((_xll.qlBachelierBlackFormula(IF(O106&lt;$C$4,"Put","Call"),O106+$C$14,$C$4,$C$12*SQRT($C$7))-
2*_xll.qlBachelierBlackFormula(IF(O106&lt;$C$4,"Put","Call"),O106,$C$4,$C$12*SQRT($C$7))+
_xll.qlBachelierBlackFormula(IF(O106&lt;$C$4,"Put","Call"),O106-$C$14,$C$4,$C$12*SQRT($C$7)))/$C$14^2,"")</f>
        <v>23.652037793586711</v>
      </c>
      <c r="V106" s="61" t="str">
        <f>IFERROR(_xll.qlBachelierBlackFormulaImpliedVol(IF(O106&lt;$C$4,"Put","Call"),O106,$C$4,$C$7,P106),"")</f>
        <v/>
      </c>
      <c r="W106" s="61">
        <f>IFERROR(_xll.qlBachelierBlackFormulaImpliedVol(IF(O106&lt;$C$4,"Put","Call"),O106,$C$4,$C$7,Q106),"")</f>
        <v>6.9923591087630056E-3</v>
      </c>
      <c r="X106" s="61">
        <f>IFERROR(_xll.qlBachelierBlackFormulaImpliedVol(IF(O106&lt;$C$4,"Put","Call"),O106,$C$4,$C$7,R106),"")</f>
        <v>7.2019999999999819E-3</v>
      </c>
      <c r="Y106" s="96">
        <f>_xll.qlSmileSectionVolatility($C$40,O106+$C$31)</f>
        <v>7.0216481956086466E-3</v>
      </c>
    </row>
    <row r="107" spans="15:25">
      <c r="O107" s="37">
        <f t="shared" si="1"/>
        <v>1.9999999999999456E-4</v>
      </c>
      <c r="P107" s="38" t="str">
        <f>IFERROR(_xll.qlBlackFormula(IF(O107&lt;$C$4,"Put","Call"),O107,$C$4,$C$9*SQRT($C$7)),"")</f>
        <v/>
      </c>
      <c r="Q107" s="39">
        <f>IFERROR(_xll.qlBlackFormula(IF(O107&lt;$C$4,"Put","Call"),O107,$C$4,$C$10*SQRT($C$7),,$C$11),"")</f>
        <v>4.1329449823365103E-3</v>
      </c>
      <c r="R107" s="40">
        <f>IFERROR(_xll.qlBachelierBlackFormula(IF(O107&lt;$C$4,"Put","Call"),O107,$C$4,$C$12*SQRT($C$7)),"")</f>
        <v>4.3079173938813248E-3</v>
      </c>
      <c r="S107" s="41" t="str">
        <f>IFERROR((_xll.qlBlackFormula(IF(O107&lt;$C$4,"Put","Call"),O107+$C$14,$C$4,$C$9*SQRT($C$7))-
2*_xll.qlBlackFormula(IF(O107&lt;$C$4,"Put","Call"),O107,$C$4,$C$9*SQRT($C$7))+
_xll.qlBlackFormula(IF(O107&lt;$C$4,"Put","Call"),O107-$C$14,$C$4,$C$9*SQRT($C$7)))/$C$14^2,"")</f>
        <v/>
      </c>
      <c r="T107" s="42">
        <f>IFERROR((_xll.qlBlackFormula(IF(O107&lt;$C$4,"Put","Call"),O107+$C$14,$C$4,$C$10*SQRT($C$7),,$C$11)-
2*_xll.qlBlackFormula(IF(O107&lt;$C$4,"Put","Call"),O107,$C$4,$C$10*SQRT($C$7),,$C$11)+
_xll.qlBlackFormula(IF(O107&lt;$C$4,"Put","Call"),O107-$C$14,$C$4,$C$10*SQRT($C$7),,$C$11))/$C$14^2,"")</f>
        <v>25.636243128346337</v>
      </c>
      <c r="U107" s="43">
        <f>IFERROR((_xll.qlBachelierBlackFormula(IF(O107&lt;$C$4,"Put","Call"),O107+$C$14,$C$4,$C$12*SQRT($C$7))-
2*_xll.qlBachelierBlackFormula(IF(O107&lt;$C$4,"Put","Call"),O107,$C$4,$C$12*SQRT($C$7))+
_xll.qlBachelierBlackFormula(IF(O107&lt;$C$4,"Put","Call"),O107-$C$14,$C$4,$C$12*SQRT($C$7)))/$C$14^2,"")</f>
        <v>23.696307069331901</v>
      </c>
      <c r="V107" s="61" t="str">
        <f>IFERROR(_xll.qlBachelierBlackFormulaImpliedVol(IF(O107&lt;$C$4,"Put","Call"),O107,$C$4,$C$7,P107),"")</f>
        <v/>
      </c>
      <c r="W107" s="61">
        <f>IFERROR(_xll.qlBachelierBlackFormulaImpliedVol(IF(O107&lt;$C$4,"Put","Call"),O107,$C$4,$C$7,Q107),"")</f>
        <v>6.9966797660932717E-3</v>
      </c>
      <c r="X107" s="61">
        <f>IFERROR(_xll.qlBachelierBlackFormulaImpliedVol(IF(O107&lt;$C$4,"Put","Call"),O107,$C$4,$C$7,R107),"")</f>
        <v>7.2019999999999749E-3</v>
      </c>
      <c r="Y107" s="96">
        <f>_xll.qlSmileSectionVolatility($C$40,O107+$C$31)</f>
        <v>7.0248090065087327E-3</v>
      </c>
    </row>
    <row r="108" spans="15:25">
      <c r="O108" s="37">
        <f t="shared" si="1"/>
        <v>2.9999999999999455E-4</v>
      </c>
      <c r="P108" s="38" t="str">
        <f>IFERROR(_xll.qlBlackFormula(IF(O108&lt;$C$4,"Put","Call"),O108,$C$4,$C$9*SQRT($C$7)),"")</f>
        <v/>
      </c>
      <c r="Q108" s="39">
        <f>IFERROR(_xll.qlBlackFormula(IF(O108&lt;$C$4,"Put","Call"),O108,$C$4,$C$10*SQRT($C$7),,$C$11),"")</f>
        <v>4.1746990335422181E-3</v>
      </c>
      <c r="R108" s="40">
        <f>IFERROR(_xll.qlBachelierBlackFormula(IF(O108&lt;$C$4,"Put","Call"),O108,$C$4,$C$12*SQRT($C$7)),"")</f>
        <v>4.3463188318393752E-3</v>
      </c>
      <c r="S108" s="41" t="str">
        <f>IFERROR((_xll.qlBlackFormula(IF(O108&lt;$C$4,"Put","Call"),O108+$C$14,$C$4,$C$9*SQRT($C$7))-
2*_xll.qlBlackFormula(IF(O108&lt;$C$4,"Put","Call"),O108,$C$4,$C$9*SQRT($C$7))+
_xll.qlBlackFormula(IF(O108&lt;$C$4,"Put","Call"),O108-$C$14,$C$4,$C$9*SQRT($C$7)))/$C$14^2,"")</f>
        <v/>
      </c>
      <c r="T108" s="42">
        <f>IFERROR((_xll.qlBlackFormula(IF(O108&lt;$C$4,"Put","Call"),O108+$C$14,$C$4,$C$10*SQRT($C$7),,$C$11)-
2*_xll.qlBlackFormula(IF(O108&lt;$C$4,"Put","Call"),O108,$C$4,$C$10*SQRT($C$7),,$C$11)+
_xll.qlBlackFormula(IF(O108&lt;$C$4,"Put","Call"),O108-$C$14,$C$4,$C$10*SQRT($C$7),,$C$11))/$C$14^2,"")</f>
        <v>25.639355222262239</v>
      </c>
      <c r="U108" s="43">
        <f>IFERROR((_xll.qlBachelierBlackFormula(IF(O108&lt;$C$4,"Put","Call"),O108+$C$14,$C$4,$C$12*SQRT($C$7))-
2*_xll.qlBachelierBlackFormula(IF(O108&lt;$C$4,"Put","Call"),O108,$C$4,$C$12*SQRT($C$7))+
_xll.qlBachelierBlackFormula(IF(O108&lt;$C$4,"Put","Call"),O108-$C$14,$C$4,$C$12*SQRT($C$7)))/$C$14^2,"")</f>
        <v>23.739748014617312</v>
      </c>
      <c r="V108" s="61" t="str">
        <f>IFERROR(_xll.qlBachelierBlackFormulaImpliedVol(IF(O108&lt;$C$4,"Put","Call"),O108,$C$4,$C$7,P108),"")</f>
        <v/>
      </c>
      <c r="W108" s="61">
        <f>IFERROR(_xll.qlBachelierBlackFormulaImpliedVol(IF(O108&lt;$C$4,"Put","Call"),O108,$C$4,$C$7,Q108),"")</f>
        <v>7.0009986108205977E-3</v>
      </c>
      <c r="X108" s="61">
        <f>IFERROR(_xll.qlBachelierBlackFormulaImpliedVol(IF(O108&lt;$C$4,"Put","Call"),O108,$C$4,$C$7,R108),"")</f>
        <v>7.201999999999968E-3</v>
      </c>
      <c r="Y108" s="96">
        <f>_xll.qlSmileSectionVolatility($C$40,O108+$C$31)</f>
        <v>7.0279941724916035E-3</v>
      </c>
    </row>
    <row r="109" spans="15:25">
      <c r="O109" s="37">
        <f t="shared" si="1"/>
        <v>3.9999999999999454E-4</v>
      </c>
      <c r="P109" s="38" t="str">
        <f>IFERROR(_xll.qlBlackFormula(IF(O109&lt;$C$4,"Put","Call"),O109,$C$4,$C$9*SQRT($C$7)),"")</f>
        <v/>
      </c>
      <c r="Q109" s="39">
        <f>IFERROR(_xll.qlBlackFormula(IF(O109&lt;$C$4,"Put","Call"),O109,$C$4,$C$10*SQRT($C$7),,$C$11),"")</f>
        <v>4.2167094772555674E-3</v>
      </c>
      <c r="R109" s="40">
        <f>IFERROR(_xll.qlBachelierBlackFormula(IF(O109&lt;$C$4,"Put","Call"),O109,$C$4,$C$12*SQRT($C$7)),"")</f>
        <v>4.3849576665869238E-3</v>
      </c>
      <c r="S109" s="41" t="str">
        <f>IFERROR((_xll.qlBlackFormula(IF(O109&lt;$C$4,"Put","Call"),O109+$C$14,$C$4,$C$9*SQRT($C$7))-
2*_xll.qlBlackFormula(IF(O109&lt;$C$4,"Put","Call"),O109,$C$4,$C$9*SQRT($C$7))+
_xll.qlBlackFormula(IF(O109&lt;$C$4,"Put","Call"),O109-$C$14,$C$4,$C$9*SQRT($C$7)))/$C$14^2,"")</f>
        <v/>
      </c>
      <c r="T109" s="42">
        <f>IFERROR((_xll.qlBlackFormula(IF(O109&lt;$C$4,"Put","Call"),O109+$C$14,$C$4,$C$10*SQRT($C$7),,$C$11)-
2*_xll.qlBlackFormula(IF(O109&lt;$C$4,"Put","Call"),O109,$C$4,$C$10*SQRT($C$7),,$C$11)+
_xll.qlBlackFormula(IF(O109&lt;$C$4,"Put","Call"),O109-$C$14,$C$4,$C$10*SQRT($C$7),,$C$11))/$C$14^2,"")</f>
        <v>25.64134668481266</v>
      </c>
      <c r="U109" s="43">
        <f>IFERROR((_xll.qlBachelierBlackFormula(IF(O109&lt;$C$4,"Put","Call"),O109+$C$14,$C$4,$C$12*SQRT($C$7))-
2*_xll.qlBachelierBlackFormula(IF(O109&lt;$C$4,"Put","Call"),O109,$C$4,$C$12*SQRT($C$7))+
_xll.qlBachelierBlackFormula(IF(O109&lt;$C$4,"Put","Call"),O109-$C$14,$C$4,$C$12*SQRT($C$7)))/$C$14^2,"")</f>
        <v>23.782351088463827</v>
      </c>
      <c r="V109" s="61" t="str">
        <f>IFERROR(_xll.qlBachelierBlackFormulaImpliedVol(IF(O109&lt;$C$4,"Put","Call"),O109,$C$4,$C$7,P109),"")</f>
        <v/>
      </c>
      <c r="W109" s="61">
        <f>IFERROR(_xll.qlBachelierBlackFormulaImpliedVol(IF(O109&lt;$C$4,"Put","Call"),O109,$C$4,$C$7,Q109),"")</f>
        <v>7.005315646336361E-3</v>
      </c>
      <c r="X109" s="61">
        <f>IFERROR(_xll.qlBachelierBlackFormulaImpliedVol(IF(O109&lt;$C$4,"Put","Call"),O109,$C$4,$C$7,R109),"")</f>
        <v>7.2019999999999593E-3</v>
      </c>
      <c r="Y109" s="96">
        <f>_xll.qlSmileSectionVolatility($C$40,O109+$C$31)</f>
        <v>7.0312037096660271E-3</v>
      </c>
    </row>
    <row r="110" spans="15:25">
      <c r="O110" s="37">
        <f t="shared" si="1"/>
        <v>4.9999999999999459E-4</v>
      </c>
      <c r="P110" s="38" t="str">
        <f>IFERROR(_xll.qlBlackFormula(IF(O110&lt;$C$4,"Put","Call"),O110,$C$4,$C$9*SQRT($C$7)),"")</f>
        <v/>
      </c>
      <c r="Q110" s="39">
        <f>IFERROR(_xll.qlBlackFormula(IF(O110&lt;$C$4,"Put","Call"),O110,$C$4,$C$10*SQRT($C$7),,$C$11),"")</f>
        <v>4.2589763334632338E-3</v>
      </c>
      <c r="R110" s="40">
        <f>IFERROR(_xll.qlBachelierBlackFormula(IF(O110&lt;$C$4,"Put","Call"),O110,$C$4,$C$12*SQRT($C$7)),"")</f>
        <v>4.423834324151988E-3</v>
      </c>
      <c r="S110" s="41" t="str">
        <f>IFERROR((_xll.qlBlackFormula(IF(O110&lt;$C$4,"Put","Call"),O110+$C$14,$C$4,$C$9*SQRT($C$7))-
2*_xll.qlBlackFormula(IF(O110&lt;$C$4,"Put","Call"),O110,$C$4,$C$9*SQRT($C$7))+
_xll.qlBlackFormula(IF(O110&lt;$C$4,"Put","Call"),O110-$C$14,$C$4,$C$9*SQRT($C$7)))/$C$14^2,"")</f>
        <v/>
      </c>
      <c r="T110" s="42">
        <f>IFERROR((_xll.qlBlackFormula(IF(O110&lt;$C$4,"Put","Call"),O110+$C$14,$C$4,$C$10*SQRT($C$7),,$C$11)-
2*_xll.qlBlackFormula(IF(O110&lt;$C$4,"Put","Call"),O110,$C$4,$C$10*SQRT($C$7),,$C$11)+
_xll.qlBlackFormula(IF(O110&lt;$C$4,"Put","Call"),O110-$C$14,$C$4,$C$10*SQRT($C$7),,$C$11))/$C$14^2,"")</f>
        <v>25.642220985444553</v>
      </c>
      <c r="U110" s="43">
        <f>IFERROR((_xll.qlBachelierBlackFormula(IF(O110&lt;$C$4,"Put","Call"),O110+$C$14,$C$4,$C$12*SQRT($C$7))-
2*_xll.qlBachelierBlackFormula(IF(O110&lt;$C$4,"Put","Call"),O110,$C$4,$C$12*SQRT($C$7))+
_xll.qlBachelierBlackFormula(IF(O110&lt;$C$4,"Put","Call"),O110-$C$14,$C$4,$C$12*SQRT($C$7)))/$C$14^2,"")</f>
        <v>23.824112821424492</v>
      </c>
      <c r="V110" s="61" t="str">
        <f>IFERROR(_xll.qlBachelierBlackFormulaImpliedVol(IF(O110&lt;$C$4,"Put","Call"),O110,$C$4,$C$7,P110),"")</f>
        <v/>
      </c>
      <c r="W110" s="61">
        <f>IFERROR(_xll.qlBachelierBlackFormulaImpliedVol(IF(O110&lt;$C$4,"Put","Call"),O110,$C$4,$C$7,Q110),"")</f>
        <v>7.0096308760212288E-3</v>
      </c>
      <c r="X110" s="61">
        <f>IFERROR(_xll.qlBachelierBlackFormulaImpliedVol(IF(O110&lt;$C$4,"Put","Call"),O110,$C$4,$C$7,R110),"")</f>
        <v>7.2019999999999584E-3</v>
      </c>
      <c r="Y110" s="96">
        <f>_xll.qlSmileSectionVolatility($C$40,O110+$C$31)</f>
        <v>7.0344376329848956E-3</v>
      </c>
    </row>
    <row r="111" spans="15:25">
      <c r="O111" s="37">
        <f t="shared" si="1"/>
        <v>5.9999999999999463E-4</v>
      </c>
      <c r="P111" s="38" t="str">
        <f>IFERROR(_xll.qlBlackFormula(IF(O111&lt;$C$4,"Put","Call"),O111,$C$4,$C$9*SQRT($C$7)),"")</f>
        <v/>
      </c>
      <c r="Q111" s="39">
        <f>IFERROR(_xll.qlBlackFormula(IF(O111&lt;$C$4,"Put","Call"),O111,$C$4,$C$10*SQRT($C$7),,$C$11),"")</f>
        <v>4.3014996111173029E-3</v>
      </c>
      <c r="R111" s="40">
        <f>IFERROR(_xll.qlBachelierBlackFormula(IF(O111&lt;$C$4,"Put","Call"),O111,$C$4,$C$12*SQRT($C$7)),"")</f>
        <v>4.4629492221407397E-3</v>
      </c>
      <c r="S111" s="41" t="str">
        <f>IFERROR((_xll.qlBlackFormula(IF(O111&lt;$C$4,"Put","Call"),O111+$C$14,$C$4,$C$9*SQRT($C$7))-
2*_xll.qlBlackFormula(IF(O111&lt;$C$4,"Put","Call"),O111,$C$4,$C$9*SQRT($C$7))+
_xll.qlBlackFormula(IF(O111&lt;$C$4,"Put","Call"),O111-$C$14,$C$4,$C$9*SQRT($C$7)))/$C$14^2,"")</f>
        <v/>
      </c>
      <c r="T111" s="42">
        <f>IFERROR((_xll.qlBlackFormula(IF(O111&lt;$C$4,"Put","Call"),O111+$C$14,$C$4,$C$10*SQRT($C$7),,$C$11)-
2*_xll.qlBlackFormula(IF(O111&lt;$C$4,"Put","Call"),O111,$C$4,$C$10*SQRT($C$7),,$C$11)+
_xll.qlBlackFormula(IF(O111&lt;$C$4,"Put","Call"),O111-$C$14,$C$4,$C$10*SQRT($C$7),,$C$11))/$C$14^2,"")</f>
        <v>25.642037104756099</v>
      </c>
      <c r="U111" s="43">
        <f>IFERROR((_xll.qlBachelierBlackFormula(IF(O111&lt;$C$4,"Put","Call"),O111+$C$14,$C$4,$C$12*SQRT($C$7))-
2*_xll.qlBachelierBlackFormula(IF(O111&lt;$C$4,"Put","Call"),O111,$C$4,$C$12*SQRT($C$7))+
_xll.qlBachelierBlackFormula(IF(O111&lt;$C$4,"Put","Call"),O111-$C$14,$C$4,$C$12*SQRT($C$7)))/$C$14^2,"")</f>
        <v>23.865027141967143</v>
      </c>
      <c r="V111" s="61" t="str">
        <f>IFERROR(_xll.qlBachelierBlackFormulaImpliedVol(IF(O111&lt;$C$4,"Put","Call"),O111,$C$4,$C$7,P111),"")</f>
        <v/>
      </c>
      <c r="W111" s="61">
        <f>IFERROR(_xll.qlBachelierBlackFormulaImpliedVol(IF(O111&lt;$C$4,"Put","Call"),O111,$C$4,$C$7,Q111),"")</f>
        <v>7.0139443032452018E-3</v>
      </c>
      <c r="X111" s="61">
        <f>IFERROR(_xll.qlBachelierBlackFormulaImpliedVol(IF(O111&lt;$C$4,"Put","Call"),O111,$C$4,$C$7,R111),"")</f>
        <v>7.2019999999999541E-3</v>
      </c>
      <c r="Y111" s="96">
        <f>_xll.qlSmileSectionVolatility($C$40,O111+$C$31)</f>
        <v>7.0376959562456652E-3</v>
      </c>
    </row>
    <row r="112" spans="15:25">
      <c r="O112" s="37">
        <f t="shared" si="1"/>
        <v>6.9999999999999468E-4</v>
      </c>
      <c r="P112" s="38" t="str">
        <f>IFERROR(_xll.qlBlackFormula(IF(O112&lt;$C$4,"Put","Call"),O112,$C$4,$C$9*SQRT($C$7)),"")</f>
        <v/>
      </c>
      <c r="Q112" s="39">
        <f>IFERROR(_xll.qlBlackFormula(IF(O112&lt;$C$4,"Put","Call"),O112,$C$4,$C$10*SQRT($C$7),,$C$11),"")</f>
        <v>4.3442793081752071E-3</v>
      </c>
      <c r="R112" s="40">
        <f>IFERROR(_xll.qlBachelierBlackFormula(IF(O112&lt;$C$4,"Put","Call"),O112,$C$4,$C$12*SQRT($C$7)),"")</f>
        <v>4.5023027696904855E-3</v>
      </c>
      <c r="S112" s="41" t="str">
        <f>IFERROR((_xll.qlBlackFormula(IF(O112&lt;$C$4,"Put","Call"),O112+$C$14,$C$4,$C$9*SQRT($C$7))-
2*_xll.qlBlackFormula(IF(O112&lt;$C$4,"Put","Call"),O112,$C$4,$C$9*SQRT($C$7))+
_xll.qlBlackFormula(IF(O112&lt;$C$4,"Put","Call"),O112-$C$14,$C$4,$C$9*SQRT($C$7)))/$C$14^2,"")</f>
        <v/>
      </c>
      <c r="T112" s="42">
        <f>IFERROR((_xll.qlBlackFormula(IF(O112&lt;$C$4,"Put","Call"),O112+$C$14,$C$4,$C$10*SQRT($C$7),,$C$11)-
2*_xll.qlBlackFormula(IF(O112&lt;$C$4,"Put","Call"),O112,$C$4,$C$10*SQRT($C$7),,$C$11)+
_xll.qlBlackFormula(IF(O112&lt;$C$4,"Put","Call"),O112-$C$14,$C$4,$C$10*SQRT($C$7),,$C$11))/$C$14^2,"")</f>
        <v>25.640729123255213</v>
      </c>
      <c r="U112" s="43">
        <f>IFERROR((_xll.qlBachelierBlackFormula(IF(O112&lt;$C$4,"Put","Call"),O112+$C$14,$C$4,$C$12*SQRT($C$7))-
2*_xll.qlBachelierBlackFormula(IF(O112&lt;$C$4,"Put","Call"),O112,$C$4,$C$12*SQRT($C$7))+
_xll.qlBachelierBlackFormula(IF(O112&lt;$C$4,"Put","Call"),O112-$C$14,$C$4,$C$12*SQRT($C$7)))/$C$14^2,"")</f>
        <v>23.90508971328309</v>
      </c>
      <c r="V112" s="61" t="str">
        <f>IFERROR(_xll.qlBachelierBlackFormulaImpliedVol(IF(O112&lt;$C$4,"Put","Call"),O112,$C$4,$C$7,P112),"")</f>
        <v/>
      </c>
      <c r="W112" s="61">
        <f>IFERROR(_xll.qlBachelierBlackFormulaImpliedVol(IF(O112&lt;$C$4,"Put","Call"),O112,$C$4,$C$7,Q112),"")</f>
        <v>7.0182559313677279E-3</v>
      </c>
      <c r="X112" s="61">
        <f>IFERROR(_xll.qlBachelierBlackFormulaImpliedVol(IF(O112&lt;$C$4,"Put","Call"),O112,$C$4,$C$7,R112),"")</f>
        <v>7.2019999999999524E-3</v>
      </c>
      <c r="Y112" s="96">
        <f>_xll.qlSmileSectionVolatility($C$40,O112+$C$31)</f>
        <v>7.0409786920913216E-3</v>
      </c>
    </row>
    <row r="113" spans="15:25">
      <c r="O113" s="37">
        <f t="shared" si="1"/>
        <v>7.9999999999999473E-4</v>
      </c>
      <c r="P113" s="38" t="str">
        <f>IFERROR(_xll.qlBlackFormula(IF(O113&lt;$C$4,"Put","Call"),O113,$C$4,$C$9*SQRT($C$7)),"")</f>
        <v/>
      </c>
      <c r="Q113" s="39">
        <f>IFERROR(_xll.qlBlackFormula(IF(O113&lt;$C$4,"Put","Call"),O113,$C$4,$C$10*SQRT($C$7),,$C$11),"")</f>
        <v>4.3873154116408075E-3</v>
      </c>
      <c r="R113" s="40">
        <f>IFERROR(_xll.qlBachelierBlackFormula(IF(O113&lt;$C$4,"Put","Call"),O113,$C$4,$C$12*SQRT($C$7)),"")</f>
        <v>4.5418953674235428E-3</v>
      </c>
      <c r="S113" s="41" t="str">
        <f>IFERROR((_xll.qlBlackFormula(IF(O113&lt;$C$4,"Put","Call"),O113+$C$14,$C$4,$C$9*SQRT($C$7))-
2*_xll.qlBlackFormula(IF(O113&lt;$C$4,"Put","Call"),O113,$C$4,$C$9*SQRT($C$7))+
_xll.qlBlackFormula(IF(O113&lt;$C$4,"Put","Call"),O113-$C$14,$C$4,$C$9*SQRT($C$7)))/$C$14^2,"")</f>
        <v/>
      </c>
      <c r="T113" s="42">
        <f>IFERROR((_xll.qlBlackFormula(IF(O113&lt;$C$4,"Put","Call"),O113+$C$14,$C$4,$C$10*SQRT($C$7),,$C$11)-
2*_xll.qlBlackFormula(IF(O113&lt;$C$4,"Put","Call"),O113,$C$4,$C$10*SQRT($C$7),,$C$11)+
_xll.qlBlackFormula(IF(O113&lt;$C$4,"Put","Call"),O113-$C$14,$C$4,$C$10*SQRT($C$7),,$C$11))/$C$14^2,"")</f>
        <v>25.638342143752268</v>
      </c>
      <c r="U113" s="43">
        <f>IFERROR((_xll.qlBachelierBlackFormula(IF(O113&lt;$C$4,"Put","Call"),O113+$C$14,$C$4,$C$12*SQRT($C$7))-
2*_xll.qlBachelierBlackFormula(IF(O113&lt;$C$4,"Put","Call"),O113,$C$4,$C$12*SQRT($C$7))+
_xll.qlBachelierBlackFormula(IF(O113&lt;$C$4,"Put","Call"),O113-$C$14,$C$4,$C$12*SQRT($C$7)))/$C$14^2,"")</f>
        <v>23.944296198563642</v>
      </c>
      <c r="V113" s="61" t="str">
        <f>IFERROR(_xll.qlBachelierBlackFormulaImpliedVol(IF(O113&lt;$C$4,"Put","Call"),O113,$C$4,$C$7,P113),"")</f>
        <v/>
      </c>
      <c r="W113" s="61">
        <f>IFERROR(_xll.qlBachelierBlackFormulaImpliedVol(IF(O113&lt;$C$4,"Put","Call"),O113,$C$4,$C$7,Q113),"")</f>
        <v>7.0225657637376631E-3</v>
      </c>
      <c r="X113" s="61">
        <f>IFERROR(_xll.qlBachelierBlackFormulaImpliedVol(IF(O113&lt;$C$4,"Put","Call"),O113,$C$4,$C$7,R113),"")</f>
        <v>7.2019999999999498E-3</v>
      </c>
      <c r="Y113" s="96">
        <f>_xll.qlSmileSectionVolatility($C$40,O113+$C$31)</f>
        <v>7.0442858520114258E-3</v>
      </c>
    </row>
    <row r="114" spans="15:25">
      <c r="O114" s="37">
        <f t="shared" si="1"/>
        <v>8.9999999999999477E-4</v>
      </c>
      <c r="P114" s="38" t="str">
        <f>IFERROR(_xll.qlBlackFormula(IF(O114&lt;$C$4,"Put","Call"),O114,$C$4,$C$9*SQRT($C$7)),"")</f>
        <v/>
      </c>
      <c r="Q114" s="39">
        <f>IFERROR(_xll.qlBlackFormula(IF(O114&lt;$C$4,"Put","Call"),O114,$C$4,$C$10*SQRT($C$7),,$C$11),"")</f>
        <v>4.4306078976067906E-3</v>
      </c>
      <c r="R114" s="40">
        <f>IFERROR(_xll.qlBachelierBlackFormula(IF(O114&lt;$C$4,"Put","Call"),O114,$C$4,$C$12*SQRT($C$7)),"")</f>
        <v>4.5817274074020278E-3</v>
      </c>
      <c r="S114" s="41" t="str">
        <f>IFERROR((_xll.qlBlackFormula(IF(O114&lt;$C$4,"Put","Call"),O114+$C$14,$C$4,$C$9*SQRT($C$7))-
2*_xll.qlBlackFormula(IF(O114&lt;$C$4,"Put","Call"),O114,$C$4,$C$9*SQRT($C$7))+
_xll.qlBlackFormula(IF(O114&lt;$C$4,"Put","Call"),O114-$C$14,$C$4,$C$9*SQRT($C$7)))/$C$14^2,"")</f>
        <v/>
      </c>
      <c r="T114" s="42">
        <f>IFERROR((_xll.qlBlackFormula(IF(O114&lt;$C$4,"Put","Call"),O114+$C$14,$C$4,$C$10*SQRT($C$7),,$C$11)-
2*_xll.qlBlackFormula(IF(O114&lt;$C$4,"Put","Call"),O114,$C$4,$C$10*SQRT($C$7),,$C$11)+
_xll.qlBlackFormula(IF(O114&lt;$C$4,"Put","Call"),O114-$C$14,$C$4,$C$10*SQRT($C$7),,$C$11))/$C$14^2,"")</f>
        <v>25.634848410671651</v>
      </c>
      <c r="U114" s="43">
        <f>IFERROR((_xll.qlBachelierBlackFormula(IF(O114&lt;$C$4,"Put","Call"),O114+$C$14,$C$4,$C$12*SQRT($C$7))-
2*_xll.qlBachelierBlackFormula(IF(O114&lt;$C$4,"Put","Call"),O114,$C$4,$C$12*SQRT($C$7))+
_xll.qlBachelierBlackFormula(IF(O114&lt;$C$4,"Put","Call"),O114-$C$14,$C$4,$C$12*SQRT($C$7)))/$C$14^2,"")</f>
        <v>23.982641393638371</v>
      </c>
      <c r="V114" s="61" t="str">
        <f>IFERROR(_xll.qlBachelierBlackFormulaImpliedVol(IF(O114&lt;$C$4,"Put","Call"),O114,$C$4,$C$7,P114),"")</f>
        <v/>
      </c>
      <c r="W114" s="61">
        <f>IFERROR(_xll.qlBachelierBlackFormulaImpliedVol(IF(O114&lt;$C$4,"Put","Call"),O114,$C$4,$C$7,Q114),"")</f>
        <v>7.0268738036933856E-3</v>
      </c>
      <c r="X114" s="61">
        <f>IFERROR(_xll.qlBachelierBlackFormulaImpliedVol(IF(O114&lt;$C$4,"Put","Call"),O114,$C$4,$C$7,R114),"")</f>
        <v>7.201999999999948E-3</v>
      </c>
      <c r="Y114" s="96">
        <f>_xll.qlSmileSectionVolatility($C$40,O114+$C$31)</f>
        <v>7.0476174463432366E-3</v>
      </c>
    </row>
    <row r="115" spans="15:25">
      <c r="O115" s="37">
        <f t="shared" si="1"/>
        <v>9.9999999999999482E-4</v>
      </c>
      <c r="P115" s="38" t="str">
        <f>IFERROR(_xll.qlBlackFormula(IF(O115&lt;$C$4,"Put","Call"),O115,$C$4,$C$9*SQRT($C$7)),"")</f>
        <v/>
      </c>
      <c r="Q115" s="39">
        <f>IFERROR(_xll.qlBlackFormula(IF(O115&lt;$C$4,"Put","Call"),O115,$C$4,$C$10*SQRT($C$7),,$C$11),"")</f>
        <v>4.4741567312981574E-3</v>
      </c>
      <c r="R115" s="40">
        <f>IFERROR(_xll.qlBachelierBlackFormula(IF(O115&lt;$C$4,"Put","Call"),O115,$C$4,$C$12*SQRT($C$7)),"")</f>
        <v>4.6217992730835525E-3</v>
      </c>
      <c r="S115" s="41" t="str">
        <f>IFERROR((_xll.qlBlackFormula(IF(O115&lt;$C$4,"Put","Call"),O115+$C$14,$C$4,$C$9*SQRT($C$7))-
2*_xll.qlBlackFormula(IF(O115&lt;$C$4,"Put","Call"),O115,$C$4,$C$9*SQRT($C$7))+
_xll.qlBlackFormula(IF(O115&lt;$C$4,"Put","Call"),O115-$C$14,$C$4,$C$9*SQRT($C$7)))/$C$14^2,"")</f>
        <v/>
      </c>
      <c r="T115" s="42">
        <f>IFERROR((_xll.qlBlackFormula(IF(O115&lt;$C$4,"Put","Call"),O115+$C$14,$C$4,$C$10*SQRT($C$7),,$C$11)-
2*_xll.qlBlackFormula(IF(O115&lt;$C$4,"Put","Call"),O115,$C$4,$C$10*SQRT($C$7),,$C$11)+
_xll.qlBlackFormula(IF(O115&lt;$C$4,"Put","Call"),O115-$C$14,$C$4,$C$10*SQRT($C$7),,$C$11))/$C$14^2,"")</f>
        <v>25.63029996571764</v>
      </c>
      <c r="U115" s="43">
        <f>IFERROR((_xll.qlBachelierBlackFormula(IF(O115&lt;$C$4,"Put","Call"),O115+$C$14,$C$4,$C$12*SQRT($C$7))-
2*_xll.qlBachelierBlackFormula(IF(O115&lt;$C$4,"Put","Call"),O115,$C$4,$C$12*SQRT($C$7))+
_xll.qlBachelierBlackFormula(IF(O115&lt;$C$4,"Put","Call"),O115-$C$14,$C$4,$C$12*SQRT($C$7)))/$C$14^2,"")</f>
        <v>24.020120961698588</v>
      </c>
      <c r="V115" s="61" t="str">
        <f>IFERROR(_xll.qlBachelierBlackFormulaImpliedVol(IF(O115&lt;$C$4,"Put","Call"),O115,$C$4,$C$7,P115),"")</f>
        <v/>
      </c>
      <c r="W115" s="61">
        <f>IFERROR(_xll.qlBachelierBlackFormulaImpliedVol(IF(O115&lt;$C$4,"Put","Call"),O115,$C$4,$C$7,Q115),"")</f>
        <v>7.031180054562769E-3</v>
      </c>
      <c r="X115" s="61">
        <f>IFERROR(_xll.qlBachelierBlackFormulaImpliedVol(IF(O115&lt;$C$4,"Put","Call"),O115,$C$4,$C$7,R115),"")</f>
        <v>7.201999999999948E-3</v>
      </c>
      <c r="Y115" s="96">
        <f>_xll.qlSmileSectionVolatility($C$40,O115+$C$31)</f>
        <v>7.0509734842730855E-3</v>
      </c>
    </row>
    <row r="116" spans="15:25">
      <c r="O116" s="37">
        <f t="shared" si="1"/>
        <v>1.0999999999999949E-3</v>
      </c>
      <c r="P116" s="38" t="str">
        <f>IFERROR(_xll.qlBlackFormula(IF(O116&lt;$C$4,"Put","Call"),O116,$C$4,$C$9*SQRT($C$7)),"")</f>
        <v/>
      </c>
      <c r="Q116" s="39">
        <f>IFERROR(_xll.qlBlackFormula(IF(O116&lt;$C$4,"Put","Call"),O116,$C$4,$C$10*SQRT($C$7),,$C$11),"")</f>
        <v>4.5179618671170145E-3</v>
      </c>
      <c r="R116" s="40">
        <f>IFERROR(_xll.qlBachelierBlackFormula(IF(O116&lt;$C$4,"Put","Call"),O116,$C$4,$C$12*SQRT($C$7)),"")</f>
        <v>4.6621113392778541E-3</v>
      </c>
      <c r="S116" s="41" t="str">
        <f>IFERROR((_xll.qlBlackFormula(IF(O116&lt;$C$4,"Put","Call"),O116+$C$14,$C$4,$C$9*SQRT($C$7))-
2*_xll.qlBlackFormula(IF(O116&lt;$C$4,"Put","Call"),O116,$C$4,$C$9*SQRT($C$7))+
_xll.qlBlackFormula(IF(O116&lt;$C$4,"Put","Call"),O116-$C$14,$C$4,$C$9*SQRT($C$7)))/$C$14^2,"")</f>
        <v/>
      </c>
      <c r="T116" s="42">
        <f>IFERROR((_xll.qlBlackFormula(IF(O116&lt;$C$4,"Put","Call"),O116+$C$14,$C$4,$C$10*SQRT($C$7),,$C$11)-
2*_xll.qlBlackFormula(IF(O116&lt;$C$4,"Put","Call"),O116,$C$4,$C$10*SQRT($C$7),,$C$11)+
_xll.qlBlackFormula(IF(O116&lt;$C$4,"Put","Call"),O116-$C$14,$C$4,$C$10*SQRT($C$7),,$C$11))/$C$14^2,"")</f>
        <v>25.624682931102427</v>
      </c>
      <c r="U116" s="43">
        <f>IFERROR((_xll.qlBachelierBlackFormula(IF(O116&lt;$C$4,"Put","Call"),O116+$C$14,$C$4,$C$12*SQRT($C$7))-
2*_xll.qlBachelierBlackFormula(IF(O116&lt;$C$4,"Put","Call"),O116,$C$4,$C$12*SQRT($C$7))+
_xll.qlBachelierBlackFormula(IF(O116&lt;$C$4,"Put","Call"),O116-$C$14,$C$4,$C$12*SQRT($C$7)))/$C$14^2,"")</f>
        <v>24.05673577010603</v>
      </c>
      <c r="V116" s="61" t="str">
        <f>IFERROR(_xll.qlBachelierBlackFormulaImpliedVol(IF(O116&lt;$C$4,"Put","Call"),O116,$C$4,$C$7,P116),"")</f>
        <v/>
      </c>
      <c r="W116" s="61">
        <f>IFERROR(_xll.qlBachelierBlackFormulaImpliedVol(IF(O116&lt;$C$4,"Put","Call"),O116,$C$4,$C$7,Q116),"")</f>
        <v>7.035484519663307E-3</v>
      </c>
      <c r="X116" s="61">
        <f>IFERROR(_xll.qlBachelierBlackFormulaImpliedVol(IF(O116&lt;$C$4,"Put","Call"),O116,$C$4,$C$7,R116),"")</f>
        <v>7.2019999999999506E-3</v>
      </c>
      <c r="Y116" s="96">
        <f>_xll.qlSmileSectionVolatility($C$40,O116+$C$31)</f>
        <v>7.0543539738381587E-3</v>
      </c>
    </row>
    <row r="117" spans="15:25">
      <c r="O117" s="37">
        <f t="shared" si="1"/>
        <v>1.1999999999999949E-3</v>
      </c>
      <c r="P117" s="38" t="str">
        <f>IFERROR(_xll.qlBlackFormula(IF(O117&lt;$C$4,"Put","Call"),O117,$C$4,$C$9*SQRT($C$7)),"")</f>
        <v/>
      </c>
      <c r="Q117" s="39">
        <f>IFERROR(_xll.qlBlackFormula(IF(O117&lt;$C$4,"Put","Call"),O117,$C$4,$C$10*SQRT($C$7),,$C$11),"")</f>
        <v>4.5620232486884571E-3</v>
      </c>
      <c r="R117" s="40">
        <f>IFERROR(_xll.qlBachelierBlackFormula(IF(O117&lt;$C$4,"Put","Call"),O117,$C$4,$C$12*SQRT($C$7)),"")</f>
        <v>4.7026639721043564E-3</v>
      </c>
      <c r="S117" s="41" t="str">
        <f>IFERROR((_xll.qlBlackFormula(IF(O117&lt;$C$4,"Put","Call"),O117+$C$14,$C$4,$C$9*SQRT($C$7))-
2*_xll.qlBlackFormula(IF(O117&lt;$C$4,"Put","Call"),O117,$C$4,$C$9*SQRT($C$7))+
_xll.qlBlackFormula(IF(O117&lt;$C$4,"Put","Call"),O117-$C$14,$C$4,$C$9*SQRT($C$7)))/$C$14^2,"")</f>
        <v/>
      </c>
      <c r="T117" s="42">
        <f>IFERROR((_xll.qlBlackFormula(IF(O117&lt;$C$4,"Put","Call"),O117+$C$14,$C$4,$C$10*SQRT($C$7),,$C$11)-
2*_xll.qlBlackFormula(IF(O117&lt;$C$4,"Put","Call"),O117,$C$4,$C$10*SQRT($C$7),,$C$11)+
_xll.qlBlackFormula(IF(O117&lt;$C$4,"Put","Call"),O117-$C$14,$C$4,$C$10*SQRT($C$7),,$C$11))/$C$14^2,"")</f>
        <v>25.617938326227829</v>
      </c>
      <c r="U117" s="43">
        <f>IFERROR((_xll.qlBachelierBlackFormula(IF(O117&lt;$C$4,"Put","Call"),O117+$C$14,$C$4,$C$12*SQRT($C$7))-
2*_xll.qlBachelierBlackFormula(IF(O117&lt;$C$4,"Put","Call"),O117,$C$4,$C$12*SQRT($C$7))+
_xll.qlBachelierBlackFormula(IF(O117&lt;$C$4,"Put","Call"),O117-$C$14,$C$4,$C$12*SQRT($C$7)))/$C$14^2,"")</f>
        <v>24.092474543158104</v>
      </c>
      <c r="V117" s="61" t="str">
        <f>IFERROR(_xll.qlBachelierBlackFormulaImpliedVol(IF(O117&lt;$C$4,"Put","Call"),O117,$C$4,$C$7,P117),"")</f>
        <v/>
      </c>
      <c r="W117" s="61">
        <f>IFERROR(_xll.qlBachelierBlackFormulaImpliedVol(IF(O117&lt;$C$4,"Put","Call"),O117,$C$4,$C$7,Q117),"")</f>
        <v>7.039787202302159E-3</v>
      </c>
      <c r="X117" s="61">
        <f>IFERROR(_xll.qlBachelierBlackFormulaImpliedVol(IF(O117&lt;$C$4,"Put","Call"),O117,$C$4,$C$7,R117),"")</f>
        <v>7.201999999999955E-3</v>
      </c>
      <c r="Y117" s="96">
        <f>_xll.qlSmileSectionVolatility($C$40,O117+$C$31)</f>
        <v>7.0577589219280607E-3</v>
      </c>
    </row>
    <row r="118" spans="15:25">
      <c r="O118" s="37">
        <f t="shared" si="1"/>
        <v>1.299999999999995E-3</v>
      </c>
      <c r="P118" s="38" t="str">
        <f>IFERROR(_xll.qlBlackFormula(IF(O118&lt;$C$4,"Put","Call"),O118,$C$4,$C$9*SQRT($C$7)),"")</f>
        <v/>
      </c>
      <c r="Q118" s="39">
        <f>IFERROR(_xll.qlBlackFormula(IF(O118&lt;$C$4,"Put","Call"),O118,$C$4,$C$10*SQRT($C$7),,$C$11),"")</f>
        <v>4.606340808907497E-3</v>
      </c>
      <c r="R118" s="40">
        <f>IFERROR(_xll.qlBachelierBlackFormula(IF(O118&lt;$C$4,"Put","Call"),O118,$C$4,$C$12*SQRT($C$7)),"")</f>
        <v>4.7434575289506606E-3</v>
      </c>
      <c r="S118" s="41" t="str">
        <f>IFERROR((_xll.qlBlackFormula(IF(O118&lt;$C$4,"Put","Call"),O118+$C$14,$C$4,$C$9*SQRT($C$7))-
2*_xll.qlBlackFormula(IF(O118&lt;$C$4,"Put","Call"),O118,$C$4,$C$9*SQRT($C$7))+
_xll.qlBlackFormula(IF(O118&lt;$C$4,"Put","Call"),O118-$C$14,$C$4,$C$9*SQRT($C$7)))/$C$14^2,"")</f>
        <v/>
      </c>
      <c r="T118" s="42">
        <f>IFERROR((_xll.qlBlackFormula(IF(O118&lt;$C$4,"Put","Call"),O118+$C$14,$C$4,$C$10*SQRT($C$7),,$C$11)-
2*_xll.qlBlackFormula(IF(O118&lt;$C$4,"Put","Call"),O118,$C$4,$C$10*SQRT($C$7),,$C$11)+
_xll.qlBlackFormula(IF(O118&lt;$C$4,"Put","Call"),O118-$C$14,$C$4,$C$10*SQRT($C$7),,$C$11))/$C$14^2,"")</f>
        <v>25.610180642843261</v>
      </c>
      <c r="U118" s="43">
        <f>IFERROR((_xll.qlBachelierBlackFormula(IF(O118&lt;$C$4,"Put","Call"),O118+$C$14,$C$4,$C$12*SQRT($C$7))-
2*_xll.qlBachelierBlackFormula(IF(O118&lt;$C$4,"Put","Call"),O118,$C$4,$C$12*SQRT($C$7))+
_xll.qlBachelierBlackFormula(IF(O118&lt;$C$4,"Put","Call"),O118-$C$14,$C$4,$C$12*SQRT($C$7)))/$C$14^2,"")</f>
        <v>24.12733728085481</v>
      </c>
      <c r="V118" s="61" t="str">
        <f>IFERROR(_xll.qlBachelierBlackFormulaImpliedVol(IF(O118&lt;$C$4,"Put","Call"),O118,$C$4,$C$7,P118),"")</f>
        <v/>
      </c>
      <c r="W118" s="61">
        <f>IFERROR(_xll.qlBachelierBlackFormulaImpliedVol(IF(O118&lt;$C$4,"Put","Call"),O118,$C$4,$C$7,Q118),"")</f>
        <v>7.0440881057760524E-3</v>
      </c>
      <c r="X118" s="61">
        <f>IFERROR(_xll.qlBachelierBlackFormulaImpliedVol(IF(O118&lt;$C$4,"Put","Call"),O118,$C$4,$C$7,R118),"")</f>
        <v>7.2019999999999576E-3</v>
      </c>
      <c r="Y118" s="96">
        <f>_xll.qlSmileSectionVolatility($C$40,O118+$C$31)</f>
        <v>7.0611883342868147E-3</v>
      </c>
    </row>
    <row r="119" spans="15:25">
      <c r="O119" s="37">
        <f t="shared" si="1"/>
        <v>1.399999999999995E-3</v>
      </c>
      <c r="P119" s="38" t="str">
        <f>IFERROR(_xll.qlBlackFormula(IF(O119&lt;$C$4,"Put","Call"),O119,$C$4,$C$9*SQRT($C$7)),"")</f>
        <v/>
      </c>
      <c r="Q119" s="39">
        <f>IFERROR(_xll.qlBlackFormula(IF(O119&lt;$C$4,"Put","Call"),O119,$C$4,$C$10*SQRT($C$7),,$C$11),"")</f>
        <v>4.6509144699874161E-3</v>
      </c>
      <c r="R119" s="40">
        <f>IFERROR(_xll.qlBachelierBlackFormula(IF(O119&lt;$C$4,"Put","Call"),O119,$C$4,$C$12*SQRT($C$7)),"")</f>
        <v>4.7844923584320024E-3</v>
      </c>
      <c r="S119" s="41" t="str">
        <f>IFERROR((_xll.qlBlackFormula(IF(O119&lt;$C$4,"Put","Call"),O119+$C$14,$C$4,$C$9*SQRT($C$7))-
2*_xll.qlBlackFormula(IF(O119&lt;$C$4,"Put","Call"),O119,$C$4,$C$9*SQRT($C$7))+
_xll.qlBlackFormula(IF(O119&lt;$C$4,"Put","Call"),O119-$C$14,$C$4,$C$9*SQRT($C$7)))/$C$14^2,"")</f>
        <v/>
      </c>
      <c r="T119" s="42">
        <f>IFERROR((_xll.qlBlackFormula(IF(O119&lt;$C$4,"Put","Call"),O119+$C$14,$C$4,$C$10*SQRT($C$7),,$C$11)-
2*_xll.qlBlackFormula(IF(O119&lt;$C$4,"Put","Call"),O119,$C$4,$C$10*SQRT($C$7),,$C$11)+
_xll.qlBlackFormula(IF(O119&lt;$C$4,"Put","Call"),O119-$C$14,$C$4,$C$10*SQRT($C$7),,$C$11))/$C$14^2,"")</f>
        <v>25.601326614221875</v>
      </c>
      <c r="U119" s="43">
        <f>IFERROR((_xll.qlBachelierBlackFormula(IF(O119&lt;$C$4,"Put","Call"),O119+$C$14,$C$4,$C$12*SQRT($C$7))-
2*_xll.qlBachelierBlackFormula(IF(O119&lt;$C$4,"Put","Call"),O119,$C$4,$C$12*SQRT($C$7))+
_xll.qlBachelierBlackFormula(IF(O119&lt;$C$4,"Put","Call"),O119-$C$14,$C$4,$C$12*SQRT($C$7)))/$C$14^2,"")</f>
        <v>24.161317911663982</v>
      </c>
      <c r="V119" s="61" t="str">
        <f>IFERROR(_xll.qlBachelierBlackFormulaImpliedVol(IF(O119&lt;$C$4,"Put","Call"),O119,$C$4,$C$7,P119),"")</f>
        <v/>
      </c>
      <c r="W119" s="61">
        <f>IFERROR(_xll.qlBachelierBlackFormulaImpliedVol(IF(O119&lt;$C$4,"Put","Call"),O119,$C$4,$C$7,Q119),"")</f>
        <v>7.0483872333715588E-3</v>
      </c>
      <c r="X119" s="61">
        <f>IFERROR(_xll.qlBachelierBlackFormulaImpliedVol(IF(O119&lt;$C$4,"Put","Call"),O119,$C$4,$C$7,R119),"")</f>
        <v>7.2019999999999602E-3</v>
      </c>
      <c r="Y119" s="96">
        <f>_xll.qlSmileSectionVolatility($C$40,O119+$C$31)</f>
        <v>7.0646422155151477E-3</v>
      </c>
    </row>
    <row r="120" spans="15:25">
      <c r="O120" s="37">
        <f t="shared" si="1"/>
        <v>1.499999999999995E-3</v>
      </c>
      <c r="P120" s="38" t="str">
        <f>IFERROR(_xll.qlBlackFormula(IF(O120&lt;$C$4,"Put","Call"),O120,$C$4,$C$9*SQRT($C$7)),"")</f>
        <v/>
      </c>
      <c r="Q120" s="39">
        <f>IFERROR(_xll.qlBlackFormula(IF(O120&lt;$C$4,"Put","Call"),O120,$C$4,$C$10*SQRT($C$7),,$C$11),"")</f>
        <v>4.6957441435088593E-3</v>
      </c>
      <c r="R120" s="40">
        <f>IFERROR(_xll.qlBachelierBlackFormula(IF(O120&lt;$C$4,"Put","Call"),O120,$C$4,$C$12*SQRT($C$7)),"")</f>
        <v>4.8257688003516472E-3</v>
      </c>
      <c r="S120" s="41" t="str">
        <f>IFERROR((_xll.qlBlackFormula(IF(O120&lt;$C$4,"Put","Call"),O120+$C$14,$C$4,$C$9*SQRT($C$7))-
2*_xll.qlBlackFormula(IF(O120&lt;$C$4,"Put","Call"),O120,$C$4,$C$9*SQRT($C$7))+
_xll.qlBlackFormula(IF(O120&lt;$C$4,"Put","Call"),O120-$C$14,$C$4,$C$9*SQRT($C$7)))/$C$14^2,"")</f>
        <v/>
      </c>
      <c r="T120" s="42">
        <f>IFERROR((_xll.qlBlackFormula(IF(O120&lt;$C$4,"Put","Call"),O120+$C$14,$C$4,$C$10*SQRT($C$7),,$C$11)-
2*_xll.qlBlackFormula(IF(O120&lt;$C$4,"Put","Call"),O120,$C$4,$C$10*SQRT($C$7),,$C$11)+
_xll.qlBlackFormula(IF(O120&lt;$C$4,"Put","Call"),O120-$C$14,$C$4,$C$10*SQRT($C$7),,$C$11))/$C$14^2,"")</f>
        <v>25.591424812621</v>
      </c>
      <c r="U120" s="43">
        <f>IFERROR((_xll.qlBachelierBlackFormula(IF(O120&lt;$C$4,"Put","Call"),O120+$C$14,$C$4,$C$12*SQRT($C$7))-
2*_xll.qlBachelierBlackFormula(IF(O120&lt;$C$4,"Put","Call"),O120,$C$4,$C$12*SQRT($C$7))+
_xll.qlBachelierBlackFormula(IF(O120&lt;$C$4,"Put","Call"),O120-$C$14,$C$4,$C$12*SQRT($C$7)))/$C$14^2,"")</f>
        <v>24.194414700862144</v>
      </c>
      <c r="V120" s="61" t="str">
        <f>IFERROR(_xll.qlBachelierBlackFormulaImpliedVol(IF(O120&lt;$C$4,"Put","Call"),O120,$C$4,$C$7,P120),"")</f>
        <v/>
      </c>
      <c r="W120" s="61">
        <f>IFERROR(_xll.qlBachelierBlackFormulaImpliedVol(IF(O120&lt;$C$4,"Put","Call"),O120,$C$4,$C$7,Q120),"")</f>
        <v>7.0526845883649297E-3</v>
      </c>
      <c r="X120" s="61">
        <f>IFERROR(_xll.qlBachelierBlackFormulaImpliedVol(IF(O120&lt;$C$4,"Put","Call"),O120,$C$4,$C$7,R120),"")</f>
        <v>7.2019999999999645E-3</v>
      </c>
      <c r="Y120" s="96">
        <f>_xll.qlSmileSectionVolatility($C$40,O120+$C$31)</f>
        <v>7.0681205690727627E-3</v>
      </c>
    </row>
    <row r="121" spans="15:25">
      <c r="O121" s="37">
        <f t="shared" si="1"/>
        <v>1.5999999999999951E-3</v>
      </c>
      <c r="P121" s="38" t="str">
        <f>IFERROR(_xll.qlBlackFormula(IF(O121&lt;$C$4,"Put","Call"),O121,$C$4,$C$9*SQRT($C$7)),"")</f>
        <v/>
      </c>
      <c r="Q121" s="39">
        <f>IFERROR(_xll.qlBlackFormula(IF(O121&lt;$C$4,"Put","Call"),O121,$C$4,$C$10*SQRT($C$7),,$C$11),"")</f>
        <v>4.7408297304703181E-3</v>
      </c>
      <c r="R121" s="40">
        <f>IFERROR(_xll.qlBachelierBlackFormula(IF(O121&lt;$C$4,"Put","Call"),O121,$C$4,$C$12*SQRT($C$7)),"")</f>
        <v>4.8672871856622595E-3</v>
      </c>
      <c r="S121" s="41" t="str">
        <f>IFERROR((_xll.qlBlackFormula(IF(O121&lt;$C$4,"Put","Call"),O121+$C$14,$C$4,$C$9*SQRT($C$7))-
2*_xll.qlBlackFormula(IF(O121&lt;$C$4,"Put","Call"),O121,$C$4,$C$9*SQRT($C$7))+
_xll.qlBlackFormula(IF(O121&lt;$C$4,"Put","Call"),O121-$C$14,$C$4,$C$9*SQRT($C$7)))/$C$14^2,"")</f>
        <v/>
      </c>
      <c r="T121" s="42">
        <f>IFERROR((_xll.qlBlackFormula(IF(O121&lt;$C$4,"Put","Call"),O121+$C$14,$C$4,$C$10*SQRT($C$7),,$C$11)-
2*_xll.qlBlackFormula(IF(O121&lt;$C$4,"Put","Call"),O121,$C$4,$C$10*SQRT($C$7),,$C$11)+
_xll.qlBlackFormula(IF(O121&lt;$C$4,"Put","Call"),O121-$C$14,$C$4,$C$10*SQRT($C$7),,$C$11))/$C$14^2,"")</f>
        <v>25.580475238040634</v>
      </c>
      <c r="U121" s="43">
        <f>IFERROR((_xll.qlBachelierBlackFormula(IF(O121&lt;$C$4,"Put","Call"),O121+$C$14,$C$4,$C$12*SQRT($C$7))-
2*_xll.qlBachelierBlackFormula(IF(O121&lt;$C$4,"Put","Call"),O121,$C$4,$C$12*SQRT($C$7))+
_xll.qlBachelierBlackFormula(IF(O121&lt;$C$4,"Put","Call"),O121-$C$14,$C$4,$C$12*SQRT($C$7)))/$C$14^2,"")</f>
        <v>24.226620709555391</v>
      </c>
      <c r="V121" s="61" t="str">
        <f>IFERROR(_xll.qlBachelierBlackFormulaImpliedVol(IF(O121&lt;$C$4,"Put","Call"),O121,$C$4,$C$7,P121),"")</f>
        <v/>
      </c>
      <c r="W121" s="61">
        <f>IFERROR(_xll.qlBachelierBlackFormulaImpliedVol(IF(O121&lt;$C$4,"Put","Call"),O121,$C$4,$C$7,Q121),"")</f>
        <v>7.0569801740222593E-3</v>
      </c>
      <c r="X121" s="61">
        <f>IFERROR(_xll.qlBachelierBlackFormulaImpliedVol(IF(O121&lt;$C$4,"Put","Call"),O121,$C$4,$C$7,R121),"")</f>
        <v>7.2019999999999706E-3</v>
      </c>
      <c r="Y121" s="96">
        <f>_xll.qlSmileSectionVolatility($C$40,O121+$C$31)</f>
        <v>7.0716233972808757E-3</v>
      </c>
    </row>
    <row r="122" spans="15:25">
      <c r="O122" s="37">
        <f t="shared" si="1"/>
        <v>1.6999999999999951E-3</v>
      </c>
      <c r="P122" s="38" t="str">
        <f>IFERROR(_xll.qlBlackFormula(IF(O122&lt;$C$4,"Put","Call"),O122,$C$4,$C$9*SQRT($C$7)),"")</f>
        <v/>
      </c>
      <c r="Q122" s="39">
        <f>IFERROR(_xll.qlBlackFormula(IF(O122&lt;$C$4,"Put","Call"),O122,$C$4,$C$10*SQRT($C$7),,$C$11),"")</f>
        <v>4.7861711213395552E-3</v>
      </c>
      <c r="R122" s="40">
        <f>IFERROR(_xll.qlBachelierBlackFormula(IF(O122&lt;$C$4,"Put","Call"),O122,$C$4,$C$12*SQRT($C$7)),"")</f>
        <v>4.9090478364282432E-3</v>
      </c>
      <c r="S122" s="41" t="str">
        <f>IFERROR((_xll.qlBlackFormula(IF(O122&lt;$C$4,"Put","Call"),O122+$C$14,$C$4,$C$9*SQRT($C$7))-
2*_xll.qlBlackFormula(IF(O122&lt;$C$4,"Put","Call"),O122,$C$4,$C$9*SQRT($C$7))+
_xll.qlBlackFormula(IF(O122&lt;$C$4,"Put","Call"),O122-$C$14,$C$4,$C$9*SQRT($C$7)))/$C$14^2,"")</f>
        <v/>
      </c>
      <c r="T122" s="42">
        <f>IFERROR((_xll.qlBlackFormula(IF(O122&lt;$C$4,"Put","Call"),O122+$C$14,$C$4,$C$10*SQRT($C$7),,$C$11)-
2*_xll.qlBlackFormula(IF(O122&lt;$C$4,"Put","Call"),O122,$C$4,$C$10*SQRT($C$7),,$C$11)+
_xll.qlBlackFormula(IF(O122&lt;$C$4,"Put","Call"),O122-$C$14,$C$4,$C$10*SQRT($C$7),,$C$11))/$C$14^2,"")</f>
        <v>25.568491768268586</v>
      </c>
      <c r="U122" s="43">
        <f>IFERROR((_xll.qlBachelierBlackFormula(IF(O122&lt;$C$4,"Put","Call"),O122+$C$14,$C$4,$C$12*SQRT($C$7))-
2*_xll.qlBachelierBlackFormula(IF(O122&lt;$C$4,"Put","Call"),O122,$C$4,$C$12*SQRT($C$7))+
_xll.qlBachelierBlackFormula(IF(O122&lt;$C$4,"Put","Call"),O122-$C$14,$C$4,$C$12*SQRT($C$7)))/$C$14^2,"")</f>
        <v>24.25793333565851</v>
      </c>
      <c r="V122" s="61" t="str">
        <f>IFERROR(_xll.qlBachelierBlackFormulaImpliedVol(IF(O122&lt;$C$4,"Put","Call"),O122,$C$4,$C$7,P122),"")</f>
        <v/>
      </c>
      <c r="W122" s="61">
        <f>IFERROR(_xll.qlBachelierBlackFormulaImpliedVol(IF(O122&lt;$C$4,"Put","Call"),O122,$C$4,$C$7,Q122),"")</f>
        <v>7.0612739935995011E-3</v>
      </c>
      <c r="X122" s="61">
        <f>IFERROR(_xll.qlBachelierBlackFormulaImpliedVol(IF(O122&lt;$C$4,"Put","Call"),O122,$C$4,$C$7,R122),"")</f>
        <v>7.201999999999974E-3</v>
      </c>
      <c r="Y122" s="96">
        <f>_xll.qlSmileSectionVolatility($C$40,O122+$C$31)</f>
        <v>7.0751507013247783E-3</v>
      </c>
    </row>
    <row r="123" spans="15:25">
      <c r="O123" s="37">
        <f t="shared" si="1"/>
        <v>1.7999999999999952E-3</v>
      </c>
      <c r="P123" s="38" t="str">
        <f>IFERROR(_xll.qlBlackFormula(IF(O123&lt;$C$4,"Put","Call"),O123,$C$4,$C$9*SQRT($C$7)),"")</f>
        <v/>
      </c>
      <c r="Q123" s="39">
        <f>IFERROR(_xll.qlBlackFormula(IF(O123&lt;$C$4,"Put","Call"),O123,$C$4,$C$10*SQRT($C$7),,$C$11),"")</f>
        <v>4.8317681961061038E-3</v>
      </c>
      <c r="R123" s="40">
        <f>IFERROR(_xll.qlBachelierBlackFormula(IF(O123&lt;$C$4,"Put","Call"),O123,$C$4,$C$12*SQRT($C$7)),"")</f>
        <v>4.951051065789051E-3</v>
      </c>
      <c r="S123" s="41" t="str">
        <f>IFERROR((_xll.qlBlackFormula(IF(O123&lt;$C$4,"Put","Call"),O123+$C$14,$C$4,$C$9*SQRT($C$7))-
2*_xll.qlBlackFormula(IF(O123&lt;$C$4,"Put","Call"),O123,$C$4,$C$9*SQRT($C$7))+
_xll.qlBlackFormula(IF(O123&lt;$C$4,"Put","Call"),O123-$C$14,$C$4,$C$9*SQRT($C$7)))/$C$14^2,"")</f>
        <v/>
      </c>
      <c r="T123" s="42">
        <f>IFERROR((_xll.qlBlackFormula(IF(O123&lt;$C$4,"Put","Call"),O123+$C$14,$C$4,$C$10*SQRT($C$7),,$C$11)-
2*_xll.qlBlackFormula(IF(O123&lt;$C$4,"Put","Call"),O123,$C$4,$C$10*SQRT($C$7),,$C$11)+
_xll.qlBlackFormula(IF(O123&lt;$C$4,"Put","Call"),O123-$C$14,$C$4,$C$10*SQRT($C$7),,$C$11))/$C$14^2,"")</f>
        <v>25.555425831047529</v>
      </c>
      <c r="U123" s="43">
        <f>IFERROR((_xll.qlBachelierBlackFormula(IF(O123&lt;$C$4,"Put","Call"),O123+$C$14,$C$4,$C$12*SQRT($C$7))-
2*_xll.qlBachelierBlackFormula(IF(O123&lt;$C$4,"Put","Call"),O123,$C$4,$C$12*SQRT($C$7))+
_xll.qlBachelierBlackFormula(IF(O123&lt;$C$4,"Put","Call"),O123-$C$14,$C$4,$C$12*SQRT($C$7)))/$C$14^2,"")</f>
        <v>24.288355181256716</v>
      </c>
      <c r="V123" s="61" t="str">
        <f>IFERROR(_xll.qlBachelierBlackFormulaImpliedVol(IF(O123&lt;$C$4,"Put","Call"),O123,$C$4,$C$7,P123),"")</f>
        <v/>
      </c>
      <c r="W123" s="61">
        <f>IFERROR(_xll.qlBachelierBlackFormulaImpliedVol(IF(O123&lt;$C$4,"Put","Call"),O123,$C$4,$C$7,Q123),"")</f>
        <v>7.0655660503425172E-3</v>
      </c>
      <c r="X123" s="61">
        <f>IFERROR(_xll.qlBachelierBlackFormulaImpliedVol(IF(O123&lt;$C$4,"Put","Call"),O123,$C$4,$C$7,R123),"")</f>
        <v>7.2019999999999793E-3</v>
      </c>
      <c r="Y123" s="96">
        <f>_xll.qlSmileSectionVolatility($C$40,O123+$C$31)</f>
        <v>7.07870248125701E-3</v>
      </c>
    </row>
    <row r="124" spans="15:25">
      <c r="O124" s="37">
        <f t="shared" si="1"/>
        <v>1.8999999999999952E-3</v>
      </c>
      <c r="P124" s="38" t="str">
        <f>IFERROR(_xll.qlBlackFormula(IF(O124&lt;$C$4,"Put","Call"),O124,$C$4,$C$9*SQRT($C$7)),"")</f>
        <v/>
      </c>
      <c r="Q124" s="39">
        <f>IFERROR(_xll.qlBlackFormula(IF(O124&lt;$C$4,"Put","Call"),O124,$C$4,$C$10*SQRT($C$7),,$C$11),"")</f>
        <v>4.8776208243348079E-3</v>
      </c>
      <c r="R124" s="40">
        <f>IFERROR(_xll.qlBachelierBlackFormula(IF(O124&lt;$C$4,"Put","Call"),O124,$C$4,$C$12*SQRT($C$7)),"")</f>
        <v>4.993297177923497E-3</v>
      </c>
      <c r="S124" s="41" t="str">
        <f>IFERROR((_xll.qlBlackFormula(IF(O124&lt;$C$4,"Put","Call"),O124+$C$14,$C$4,$C$9*SQRT($C$7))-
2*_xll.qlBlackFormula(IF(O124&lt;$C$4,"Put","Call"),O124,$C$4,$C$9*SQRT($C$7))+
_xll.qlBlackFormula(IF(O124&lt;$C$4,"Put","Call"),O124-$C$14,$C$4,$C$9*SQRT($C$7)))/$C$14^2,"")</f>
        <v/>
      </c>
      <c r="T124" s="42">
        <f>IFERROR((_xll.qlBlackFormula(IF(O124&lt;$C$4,"Put","Call"),O124+$C$14,$C$4,$C$10*SQRT($C$7),,$C$11)-
2*_xll.qlBlackFormula(IF(O124&lt;$C$4,"Put","Call"),O124,$C$4,$C$10*SQRT($C$7),,$C$11)+
_xll.qlBlackFormula(IF(O124&lt;$C$4,"Put","Call"),O124-$C$14,$C$4,$C$10*SQRT($C$7),,$C$11))/$C$14^2,"")</f>
        <v>25.541339876422597</v>
      </c>
      <c r="U124" s="43">
        <f>IFERROR((_xll.qlBachelierBlackFormula(IF(O124&lt;$C$4,"Put","Call"),O124+$C$14,$C$4,$C$12*SQRT($C$7))-
2*_xll.qlBachelierBlackFormula(IF(O124&lt;$C$4,"Put","Call"),O124,$C$4,$C$12*SQRT($C$7))+
_xll.qlBachelierBlackFormula(IF(O124&lt;$C$4,"Put","Call"),O124-$C$14,$C$4,$C$12*SQRT($C$7)))/$C$14^2,"")</f>
        <v>24.317869766476985</v>
      </c>
      <c r="V124" s="61" t="str">
        <f>IFERROR(_xll.qlBachelierBlackFormulaImpliedVol(IF(O124&lt;$C$4,"Put","Call"),O124,$C$4,$C$7,P124),"")</f>
        <v/>
      </c>
      <c r="W124" s="61">
        <f>IFERROR(_xll.qlBachelierBlackFormulaImpliedVol(IF(O124&lt;$C$4,"Put","Call"),O124,$C$4,$C$7,Q124),"")</f>
        <v>7.0698563474870732E-3</v>
      </c>
      <c r="X124" s="61">
        <f>IFERROR(_xll.qlBachelierBlackFormulaImpliedVol(IF(O124&lt;$C$4,"Put","Call"),O124,$C$4,$C$7,R124),"")</f>
        <v>7.2019999999999862E-3</v>
      </c>
      <c r="Y124" s="96">
        <f>_xll.qlSmileSectionVolatility($C$40,O124+$C$31)</f>
        <v>7.082278736000233E-3</v>
      </c>
    </row>
    <row r="125" spans="15:25">
      <c r="O125" s="37">
        <f t="shared" si="1"/>
        <v>1.9999999999999953E-3</v>
      </c>
      <c r="P125" s="38" t="str">
        <f>IFERROR(_xll.qlBlackFormula(IF(O125&lt;$C$4,"Put","Call"),O125,$C$4,$C$9*SQRT($C$7)),"")</f>
        <v/>
      </c>
      <c r="Q125" s="39">
        <f>IFERROR(_xll.qlBlackFormula(IF(O125&lt;$C$4,"Put","Call"),O125,$C$4,$C$10*SQRT($C$7),,$C$11),"")</f>
        <v>4.9237288652204253E-3</v>
      </c>
      <c r="R125" s="40">
        <f>IFERROR(_xll.qlBachelierBlackFormula(IF(O125&lt;$C$4,"Put","Call"),O125,$C$4,$C$12*SQRT($C$7)),"")</f>
        <v>5.0357864680150299E-3</v>
      </c>
      <c r="S125" s="41" t="str">
        <f>IFERROR((_xll.qlBlackFormula(IF(O125&lt;$C$4,"Put","Call"),O125+$C$14,$C$4,$C$9*SQRT($C$7))-
2*_xll.qlBlackFormula(IF(O125&lt;$C$4,"Put","Call"),O125,$C$4,$C$9*SQRT($C$7))+
_xll.qlBlackFormula(IF(O125&lt;$C$4,"Put","Call"),O125-$C$14,$C$4,$C$9*SQRT($C$7)))/$C$14^2,"")</f>
        <v/>
      </c>
      <c r="T125" s="42">
        <f>IFERROR((_xll.qlBlackFormula(IF(O125&lt;$C$4,"Put","Call"),O125+$C$14,$C$4,$C$10*SQRT($C$7),,$C$11)-
2*_xll.qlBlackFormula(IF(O125&lt;$C$4,"Put","Call"),O125,$C$4,$C$10*SQRT($C$7),,$C$11)+
_xll.qlBlackFormula(IF(O125&lt;$C$4,"Put","Call"),O125-$C$14,$C$4,$C$10*SQRT($C$7),,$C$11))/$C$14^2,"")</f>
        <v>25.526233904393791</v>
      </c>
      <c r="U125" s="43">
        <f>IFERROR((_xll.qlBachelierBlackFormula(IF(O125&lt;$C$4,"Put","Call"),O125+$C$14,$C$4,$C$12*SQRT($C$7))-
2*_xll.qlBachelierBlackFormula(IF(O125&lt;$C$4,"Put","Call"),O125,$C$4,$C$12*SQRT($C$7))+
_xll.qlBachelierBlackFormula(IF(O125&lt;$C$4,"Put","Call"),O125-$C$14,$C$4,$C$12*SQRT($C$7)))/$C$14^2,"")</f>
        <v>24.346488367021912</v>
      </c>
      <c r="V125" s="61" t="str">
        <f>IFERROR(_xll.qlBachelierBlackFormulaImpliedVol(IF(O125&lt;$C$4,"Put","Call"),O125,$C$4,$C$7,P125),"")</f>
        <v/>
      </c>
      <c r="W125" s="61">
        <f>IFERROR(_xll.qlBachelierBlackFormulaImpliedVol(IF(O125&lt;$C$4,"Put","Call"),O125,$C$4,$C$7,Q125),"")</f>
        <v>7.0741448882589491E-3</v>
      </c>
      <c r="X125" s="61">
        <f>IFERROR(_xll.qlBachelierBlackFormulaImpliedVol(IF(O125&lt;$C$4,"Put","Call"),O125,$C$4,$C$7,R125),"")</f>
        <v>7.2019999999999897E-3</v>
      </c>
      <c r="Y125" s="96">
        <f>_xll.qlSmileSectionVolatility($C$40,O125+$C$31)</f>
        <v>7.0858794633506406E-3</v>
      </c>
    </row>
    <row r="126" spans="15:25">
      <c r="O126" s="37">
        <f t="shared" si="1"/>
        <v>2.0999999999999951E-3</v>
      </c>
      <c r="P126" s="38" t="str">
        <f>IFERROR(_xll.qlBlackFormula(IF(O126&lt;$C$4,"Put","Call"),O126,$C$4,$C$9*SQRT($C$7)),"")</f>
        <v/>
      </c>
      <c r="Q126" s="39">
        <f>IFERROR(_xll.qlBlackFormula(IF(O126&lt;$C$4,"Put","Call"),O126,$C$4,$C$10*SQRT($C$7),,$C$11),"")</f>
        <v>4.9700921676432211E-3</v>
      </c>
      <c r="R126" s="40">
        <f>IFERROR(_xll.qlBachelierBlackFormula(IF(O126&lt;$C$4,"Put","Call"),O126,$C$4,$C$12*SQRT($C$7)),"")</f>
        <v>5.0785192222180435E-3</v>
      </c>
      <c r="S126" s="41" t="str">
        <f>IFERROR((_xll.qlBlackFormula(IF(O126&lt;$C$4,"Put","Call"),O126+$C$14,$C$4,$C$9*SQRT($C$7))-
2*_xll.qlBlackFormula(IF(O126&lt;$C$4,"Put","Call"),O126,$C$4,$C$9*SQRT($C$7))+
_xll.qlBlackFormula(IF(O126&lt;$C$4,"Put","Call"),O126-$C$14,$C$4,$C$9*SQRT($C$7)))/$C$14^2,"")</f>
        <v/>
      </c>
      <c r="T126" s="42">
        <f>IFERROR((_xll.qlBlackFormula(IF(O126&lt;$C$4,"Put","Call"),O126+$C$14,$C$4,$C$10*SQRT($C$7),,$C$11)-
2*_xll.qlBlackFormula(IF(O126&lt;$C$4,"Put","Call"),O126,$C$4,$C$10*SQRT($C$7),,$C$11)+
_xll.qlBlackFormula(IF(O126&lt;$C$4,"Put","Call"),O126-$C$14,$C$4,$C$10*SQRT($C$7),,$C$11))/$C$14^2,"")</f>
        <v>25.510094037173303</v>
      </c>
      <c r="U126" s="43">
        <f>IFERROR((_xll.qlBachelierBlackFormula(IF(O126&lt;$C$4,"Put","Call"),O126+$C$14,$C$4,$C$12*SQRT($C$7))-
2*_xll.qlBachelierBlackFormula(IF(O126&lt;$C$4,"Put","Call"),O126,$C$4,$C$12*SQRT($C$7))+
_xll.qlBachelierBlackFormula(IF(O126&lt;$C$4,"Put","Call"),O126-$C$14,$C$4,$C$12*SQRT($C$7)))/$C$14^2,"")</f>
        <v>24.374197972465428</v>
      </c>
      <c r="V126" s="61" t="str">
        <f>IFERROR(_xll.qlBachelierBlackFormulaImpliedVol(IF(O126&lt;$C$4,"Put","Call"),O126,$C$4,$C$7,P126),"")</f>
        <v/>
      </c>
      <c r="W126" s="61">
        <f>IFERROR(_xll.qlBachelierBlackFormulaImpliedVol(IF(O126&lt;$C$4,"Put","Call"),O126,$C$4,$C$7,Q126),"")</f>
        <v>7.0784316758739675E-3</v>
      </c>
      <c r="X126" s="61">
        <f>IFERROR(_xll.qlBachelierBlackFormulaImpliedVol(IF(O126&lt;$C$4,"Put","Call"),O126,$C$4,$C$7,R126),"")</f>
        <v>7.201999999999994E-3</v>
      </c>
      <c r="Y126" s="96">
        <f>_xll.qlSmileSectionVolatility($C$40,O126+$C$31)</f>
        <v>7.0895046599812059E-3</v>
      </c>
    </row>
    <row r="127" spans="15:25">
      <c r="O127" s="37">
        <f t="shared" si="1"/>
        <v>2.1999999999999949E-3</v>
      </c>
      <c r="P127" s="38" t="str">
        <f>IFERROR(_xll.qlBlackFormula(IF(O127&lt;$C$4,"Put","Call"),O127,$C$4,$C$9*SQRT($C$7)),"")</f>
        <v/>
      </c>
      <c r="Q127" s="39">
        <f>IFERROR(_xll.qlBlackFormula(IF(O127&lt;$C$4,"Put","Call"),O127,$C$4,$C$10*SQRT($C$7),,$C$11),"")</f>
        <v>5.0167105702255063E-3</v>
      </c>
      <c r="R127" s="40">
        <f>IFERROR(_xll.qlBachelierBlackFormula(IF(O127&lt;$C$4,"Put","Call"),O127,$C$4,$C$12*SQRT($C$7)),"")</f>
        <v>5.12149571762516E-3</v>
      </c>
      <c r="S127" s="41" t="str">
        <f>IFERROR((_xll.qlBlackFormula(IF(O127&lt;$C$4,"Put","Call"),O127+$C$14,$C$4,$C$9*SQRT($C$7))-
2*_xll.qlBlackFormula(IF(O127&lt;$C$4,"Put","Call"),O127,$C$4,$C$9*SQRT($C$7))+
_xll.qlBlackFormula(IF(O127&lt;$C$4,"Put","Call"),O127-$C$14,$C$4,$C$9*SQRT($C$7)))/$C$14^2,"")</f>
        <v/>
      </c>
      <c r="T127" s="42">
        <f>IFERROR((_xll.qlBlackFormula(IF(O127&lt;$C$4,"Put","Call"),O127+$C$14,$C$4,$C$10*SQRT($C$7),,$C$11)-
2*_xll.qlBlackFormula(IF(O127&lt;$C$4,"Put","Call"),O127,$C$4,$C$10*SQRT($C$7),,$C$11)+
_xll.qlBlackFormula(IF(O127&lt;$C$4,"Put","Call"),O127-$C$14,$C$4,$C$10*SQRT($C$7),,$C$11))/$C$14^2,"")</f>
        <v>25.492941091442844</v>
      </c>
      <c r="U127" s="43">
        <f>IFERROR((_xll.qlBachelierBlackFormula(IF(O127&lt;$C$4,"Put","Call"),O127+$C$14,$C$4,$C$12*SQRT($C$7))-
2*_xll.qlBachelierBlackFormula(IF(O127&lt;$C$4,"Put","Call"),O127,$C$4,$C$12*SQRT($C$7))+
_xll.qlBachelierBlackFormula(IF(O127&lt;$C$4,"Put","Call"),O127-$C$14,$C$4,$C$12*SQRT($C$7)))/$C$14^2,"")</f>
        <v>24.400997715445794</v>
      </c>
      <c r="V127" s="61" t="str">
        <f>IFERROR(_xll.qlBachelierBlackFormulaImpliedVol(IF(O127&lt;$C$4,"Put","Call"),O127,$C$4,$C$7,P127),"")</f>
        <v/>
      </c>
      <c r="W127" s="61">
        <f>IFERROR(_xll.qlBachelierBlackFormulaImpliedVol(IF(O127&lt;$C$4,"Put","Call"),O127,$C$4,$C$7,Q127),"")</f>
        <v>7.0827167135379988E-3</v>
      </c>
      <c r="X127" s="61">
        <f>IFERROR(_xll.qlBachelierBlackFormulaImpliedVol(IF(O127&lt;$C$4,"Put","Call"),O127,$C$4,$C$7,R127),"")</f>
        <v>7.2020000000000018E-3</v>
      </c>
      <c r="Y127" s="96">
        <f>_xll.qlSmileSectionVolatility($C$40,O127+$C$31)</f>
        <v>7.0931543214453998E-3</v>
      </c>
    </row>
    <row r="128" spans="15:25">
      <c r="O128" s="37">
        <f t="shared" si="1"/>
        <v>2.2999999999999948E-3</v>
      </c>
      <c r="P128" s="38" t="str">
        <f>IFERROR(_xll.qlBlackFormula(IF(O128&lt;$C$4,"Put","Call"),O128,$C$4,$C$9*SQRT($C$7)),"")</f>
        <v/>
      </c>
      <c r="Q128" s="39">
        <f>IFERROR(_xll.qlBlackFormula(IF(O128&lt;$C$4,"Put","Call"),O128,$C$4,$C$10*SQRT($C$7),,$C$11),"")</f>
        <v>5.0635839013892237E-3</v>
      </c>
      <c r="R128" s="40">
        <f>IFERROR(_xll.qlBachelierBlackFormula(IF(O128&lt;$C$4,"Put","Call"),O128,$C$4,$C$12*SQRT($C$7)),"")</f>
        <v>5.1647162222355388E-3</v>
      </c>
      <c r="S128" s="41" t="str">
        <f>IFERROR((_xll.qlBlackFormula(IF(O128&lt;$C$4,"Put","Call"),O128+$C$14,$C$4,$C$9*SQRT($C$7))-
2*_xll.qlBlackFormula(IF(O128&lt;$C$4,"Put","Call"),O128,$C$4,$C$9*SQRT($C$7))+
_xll.qlBlackFormula(IF(O128&lt;$C$4,"Put","Call"),O128-$C$14,$C$4,$C$9*SQRT($C$7)))/$C$14^2,"")</f>
        <v/>
      </c>
      <c r="T128" s="42">
        <f>IFERROR((_xll.qlBlackFormula(IF(O128&lt;$C$4,"Put","Call"),O128+$C$14,$C$4,$C$10*SQRT($C$7),,$C$11)-
2*_xll.qlBlackFormula(IF(O128&lt;$C$4,"Put","Call"),O128,$C$4,$C$10*SQRT($C$7),,$C$11)+
_xll.qlBlackFormula(IF(O128&lt;$C$4,"Put","Call"),O128-$C$14,$C$4,$C$10*SQRT($C$7),,$C$11))/$C$14^2,"")</f>
        <v>25.474761189414608</v>
      </c>
      <c r="U128" s="43">
        <f>IFERROR((_xll.qlBachelierBlackFormula(IF(O128&lt;$C$4,"Put","Call"),O128+$C$14,$C$4,$C$12*SQRT($C$7))-
2*_xll.qlBachelierBlackFormula(IF(O128&lt;$C$4,"Put","Call"),O128,$C$4,$C$12*SQRT($C$7))+
_xll.qlBachelierBlackFormula(IF(O128&lt;$C$4,"Put","Call"),O128-$C$14,$C$4,$C$12*SQRT($C$7)))/$C$14^2,"")</f>
        <v>24.426883259154319</v>
      </c>
      <c r="V128" s="61" t="str">
        <f>IFERROR(_xll.qlBachelierBlackFormulaImpliedVol(IF(O128&lt;$C$4,"Put","Call"),O128,$C$4,$C$7,P128),"")</f>
        <v/>
      </c>
      <c r="W128" s="61">
        <f>IFERROR(_xll.qlBachelierBlackFormulaImpliedVol(IF(O128&lt;$C$4,"Put","Call"),O128,$C$4,$C$7,Q128),"")</f>
        <v>7.0870000044470517E-3</v>
      </c>
      <c r="X128" s="61">
        <f>IFERROR(_xll.qlBachelierBlackFormulaImpliedVol(IF(O128&lt;$C$4,"Put","Call"),O128,$C$4,$C$7,R128),"")</f>
        <v>7.2020000000000061E-3</v>
      </c>
      <c r="Y128" s="96">
        <f>_xll.qlSmileSectionVolatility($C$40,O128+$C$31)</f>
        <v>7.0968284421811705E-3</v>
      </c>
    </row>
    <row r="129" spans="15:25">
      <c r="O129" s="37">
        <f t="shared" si="1"/>
        <v>2.3999999999999946E-3</v>
      </c>
      <c r="P129" s="38" t="str">
        <f>IFERROR(_xll.qlBlackFormula(IF(O129&lt;$C$4,"Put","Call"),O129,$C$4,$C$9*SQRT($C$7)),"")</f>
        <v/>
      </c>
      <c r="Q129" s="39">
        <f>IFERROR(_xll.qlBlackFormula(IF(O129&lt;$C$4,"Put","Call"),O129,$C$4,$C$10*SQRT($C$7),,$C$11),"")</f>
        <v>5.1107119794144146E-3</v>
      </c>
      <c r="R129" s="40">
        <f>IFERROR(_xll.qlBachelierBlackFormula(IF(O129&lt;$C$4,"Put","Call"),O129,$C$4,$C$12*SQRT($C$7)),"")</f>
        <v>5.2081809949241975E-3</v>
      </c>
      <c r="S129" s="41" t="str">
        <f>IFERROR((_xll.qlBlackFormula(IF(O129&lt;$C$4,"Put","Call"),O129+$C$14,$C$4,$C$9*SQRT($C$7))-
2*_xll.qlBlackFormula(IF(O129&lt;$C$4,"Put","Call"),O129,$C$4,$C$9*SQRT($C$7))+
_xll.qlBlackFormula(IF(O129&lt;$C$4,"Put","Call"),O129-$C$14,$C$4,$C$9*SQRT($C$7)))/$C$14^2,"")</f>
        <v/>
      </c>
      <c r="T129" s="42">
        <f>IFERROR((_xll.qlBlackFormula(IF(O129&lt;$C$4,"Put","Call"),O129+$C$14,$C$4,$C$10*SQRT($C$7),,$C$11)-
2*_xll.qlBlackFormula(IF(O129&lt;$C$4,"Put","Call"),O129,$C$4,$C$10*SQRT($C$7),,$C$11)+
_xll.qlBlackFormula(IF(O129&lt;$C$4,"Put","Call"),O129-$C$14,$C$4,$C$10*SQRT($C$7),,$C$11))/$C$14^2,"")</f>
        <v>25.455582086664208</v>
      </c>
      <c r="U129" s="43">
        <f>IFERROR((_xll.qlBachelierBlackFormula(IF(O129&lt;$C$4,"Put","Call"),O129+$C$14,$C$4,$C$12*SQRT($C$7))-
2*_xll.qlBachelierBlackFormula(IF(O129&lt;$C$4,"Put","Call"),O129,$C$4,$C$12*SQRT($C$7))+
_xll.qlBachelierBlackFormula(IF(O129&lt;$C$4,"Put","Call"),O129-$C$14,$C$4,$C$12*SQRT($C$7)))/$C$14^2,"")</f>
        <v>24.451856338314482</v>
      </c>
      <c r="V129" s="61" t="str">
        <f>IFERROR(_xll.qlBachelierBlackFormulaImpliedVol(IF(O129&lt;$C$4,"Put","Call"),O129,$C$4,$C$7,P129),"")</f>
        <v/>
      </c>
      <c r="W129" s="61">
        <f>IFERROR(_xll.qlBachelierBlackFormulaImpliedVol(IF(O129&lt;$C$4,"Put","Call"),O129,$C$4,$C$7,Q129),"")</f>
        <v>7.0912815517872752E-3</v>
      </c>
      <c r="X129" s="61">
        <f>IFERROR(_xll.qlBachelierBlackFormulaImpliedVol(IF(O129&lt;$C$4,"Put","Call"),O129,$C$4,$C$7,R129),"")</f>
        <v>7.2020000000000122E-3</v>
      </c>
      <c r="Y129" s="96">
        <f>_xll.qlSmileSectionVolatility($C$40,O129+$C$31)</f>
        <v>7.1005270155146422E-3</v>
      </c>
    </row>
    <row r="130" spans="15:25">
      <c r="O130" s="37">
        <f t="shared" si="1"/>
        <v>2.4999999999999944E-3</v>
      </c>
      <c r="P130" s="38" t="str">
        <f>IFERROR(_xll.qlBlackFormula(IF(O130&lt;$C$4,"Put","Call"),O130,$C$4,$C$9*SQRT($C$7)),"")</f>
        <v/>
      </c>
      <c r="Q130" s="39">
        <f>IFERROR(_xll.qlBlackFormula(IF(O130&lt;$C$4,"Put","Call"),O130,$C$4,$C$10*SQRT($C$7),,$C$11),"")</f>
        <v>5.1580946124986857E-3</v>
      </c>
      <c r="R130" s="40">
        <f>IFERROR(_xll.qlBachelierBlackFormula(IF(O130&lt;$C$4,"Put","Call"),O130,$C$4,$C$12*SQRT($C$7)),"")</f>
        <v>5.2518902854123669E-3</v>
      </c>
      <c r="S130" s="41" t="str">
        <f>IFERROR((_xll.qlBlackFormula(IF(O130&lt;$C$4,"Put","Call"),O130+$C$14,$C$4,$C$9*SQRT($C$7))-
2*_xll.qlBlackFormula(IF(O130&lt;$C$4,"Put","Call"),O130,$C$4,$C$9*SQRT($C$7))+
_xll.qlBlackFormula(IF(O130&lt;$C$4,"Put","Call"),O130-$C$14,$C$4,$C$9*SQRT($C$7)))/$C$14^2,"")</f>
        <v/>
      </c>
      <c r="T130" s="42">
        <f>IFERROR((_xll.qlBlackFormula(IF(O130&lt;$C$4,"Put","Call"),O130+$C$14,$C$4,$C$10*SQRT($C$7),,$C$11)-
2*_xll.qlBlackFormula(IF(O130&lt;$C$4,"Put","Call"),O130,$C$4,$C$10*SQRT($C$7),,$C$11)+
_xll.qlBlackFormula(IF(O130&lt;$C$4,"Put","Call"),O130-$C$14,$C$4,$C$10*SQRT($C$7),,$C$11))/$C$14^2,"")</f>
        <v>25.435403783191646</v>
      </c>
      <c r="U130" s="43">
        <f>IFERROR((_xll.qlBachelierBlackFormula(IF(O130&lt;$C$4,"Put","Call"),O130+$C$14,$C$4,$C$12*SQRT($C$7))-
2*_xll.qlBachelierBlackFormula(IF(O130&lt;$C$4,"Put","Call"),O130,$C$4,$C$12*SQRT($C$7))+
_xll.qlBachelierBlackFormula(IF(O130&lt;$C$4,"Put","Call"),O130-$C$14,$C$4,$C$12*SQRT($C$7)))/$C$14^2,"")</f>
        <v>24.475909146670638</v>
      </c>
      <c r="V130" s="61" t="str">
        <f>IFERROR(_xll.qlBachelierBlackFormulaImpliedVol(IF(O130&lt;$C$4,"Put","Call"),O130,$C$4,$C$7,P130),"")</f>
        <v/>
      </c>
      <c r="W130" s="61">
        <f>IFERROR(_xll.qlBachelierBlackFormulaImpliedVol(IF(O130&lt;$C$4,"Put","Call"),O130,$C$4,$C$7,Q130),"")</f>
        <v>7.0955613587350124E-3</v>
      </c>
      <c r="X130" s="61">
        <f>IFERROR(_xll.qlBachelierBlackFormulaImpliedVol(IF(O130&lt;$C$4,"Put","Call"),O130,$C$4,$C$7,R130),"")</f>
        <v>7.2020000000000131E-3</v>
      </c>
      <c r="Y130" s="96">
        <f>_xll.qlSmileSectionVolatility($C$40,O130+$C$31)</f>
        <v>7.1042500336644995E-3</v>
      </c>
    </row>
    <row r="131" spans="15:25">
      <c r="O131" s="37">
        <f t="shared" si="1"/>
        <v>2.5999999999999942E-3</v>
      </c>
      <c r="P131" s="38" t="str">
        <f>IFERROR(_xll.qlBlackFormula(IF(O131&lt;$C$4,"Put","Call"),O131,$C$4,$C$9*SQRT($C$7)),"")</f>
        <v/>
      </c>
      <c r="Q131" s="39">
        <f>IFERROR(_xll.qlBlackFormula(IF(O131&lt;$C$4,"Put","Call"),O131,$C$4,$C$10*SQRT($C$7),,$C$11),"")</f>
        <v>5.205731598817577E-3</v>
      </c>
      <c r="R131" s="40">
        <f>IFERROR(_xll.qlBachelierBlackFormula(IF(O131&lt;$C$4,"Put","Call"),O131,$C$4,$C$12*SQRT($C$7)),"")</f>
        <v>5.2958443342388511E-3</v>
      </c>
      <c r="S131" s="41" t="str">
        <f>IFERROR((_xll.qlBlackFormula(IF(O131&lt;$C$4,"Put","Call"),O131+$C$14,$C$4,$C$9*SQRT($C$7))-
2*_xll.qlBlackFormula(IF(O131&lt;$C$4,"Put","Call"),O131,$C$4,$C$9*SQRT($C$7))+
_xll.qlBlackFormula(IF(O131&lt;$C$4,"Put","Call"),O131-$C$14,$C$4,$C$9*SQRT($C$7)))/$C$14^2,"")</f>
        <v/>
      </c>
      <c r="T131" s="42">
        <f>IFERROR((_xll.qlBlackFormula(IF(O131&lt;$C$4,"Put","Call"),O131+$C$14,$C$4,$C$10*SQRT($C$7),,$C$11)-
2*_xll.qlBlackFormula(IF(O131&lt;$C$4,"Put","Call"),O131,$C$4,$C$10*SQRT($C$7),,$C$11)+
_xll.qlBlackFormula(IF(O131&lt;$C$4,"Put","Call"),O131-$C$14,$C$4,$C$10*SQRT($C$7),,$C$11))/$C$14^2,"")</f>
        <v>25.414226278996921</v>
      </c>
      <c r="U131" s="43">
        <f>IFERROR((_xll.qlBachelierBlackFormula(IF(O131&lt;$C$4,"Put","Call"),O131+$C$14,$C$4,$C$12*SQRT($C$7))-
2*_xll.qlBachelierBlackFormula(IF(O131&lt;$C$4,"Put","Call"),O131,$C$4,$C$12*SQRT($C$7))+
_xll.qlBachelierBlackFormula(IF(O131&lt;$C$4,"Put","Call"),O131-$C$14,$C$4,$C$12*SQRT($C$7)))/$C$14^2,"")</f>
        <v>24.499045153669741</v>
      </c>
      <c r="V131" s="61" t="str">
        <f>IFERROR(_xll.qlBachelierBlackFormulaImpliedVol(IF(O131&lt;$C$4,"Put","Call"),O131,$C$4,$C$7,P131),"")</f>
        <v/>
      </c>
      <c r="W131" s="61">
        <f>IFERROR(_xll.qlBachelierBlackFormulaImpliedVol(IF(O131&lt;$C$4,"Put","Call"),O131,$C$4,$C$7,Q131),"")</f>
        <v>7.0998394284568786E-3</v>
      </c>
      <c r="X131" s="61">
        <f>IFERROR(_xll.qlBachelierBlackFormulaImpliedVol(IF(O131&lt;$C$4,"Put","Call"),O131,$C$4,$C$7,R131),"")</f>
        <v>7.2020000000000174E-3</v>
      </c>
      <c r="Y131" s="96">
        <f>_xll.qlSmileSectionVolatility($C$40,O131+$C$31)</f>
        <v>7.1079974877458901E-3</v>
      </c>
    </row>
    <row r="132" spans="15:25">
      <c r="O132" s="37">
        <f t="shared" si="1"/>
        <v>2.6999999999999941E-3</v>
      </c>
      <c r="P132" s="38" t="str">
        <f>IFERROR(_xll.qlBlackFormula(IF(O132&lt;$C$4,"Put","Call"),O132,$C$4,$C$9*SQRT($C$7)),"")</f>
        <v/>
      </c>
      <c r="Q132" s="39">
        <f>IFERROR(_xll.qlBlackFormula(IF(O132&lt;$C$4,"Put","Call"),O132,$C$4,$C$10*SQRT($C$7),,$C$11),"")</f>
        <v>5.2536227265857979E-3</v>
      </c>
      <c r="R132" s="40">
        <f>IFERROR(_xll.qlBachelierBlackFormula(IF(O132&lt;$C$4,"Put","Call"),O132,$C$4,$C$12*SQRT($C$7)),"")</f>
        <v>5.3400433727324561E-3</v>
      </c>
      <c r="S132" s="41" t="str">
        <f>IFERROR((_xll.qlBlackFormula(IF(O132&lt;$C$4,"Put","Call"),O132+$C$14,$C$4,$C$9*SQRT($C$7))-
2*_xll.qlBlackFormula(IF(O132&lt;$C$4,"Put","Call"),O132,$C$4,$C$9*SQRT($C$7))+
_xll.qlBlackFormula(IF(O132&lt;$C$4,"Put","Call"),O132-$C$14,$C$4,$C$9*SQRT($C$7)))/$C$14^2,"")</f>
        <v/>
      </c>
      <c r="T132" s="42">
        <f>IFERROR((_xll.qlBlackFormula(IF(O132&lt;$C$4,"Put","Call"),O132+$C$14,$C$4,$C$10*SQRT($C$7),,$C$11)-
2*_xll.qlBlackFormula(IF(O132&lt;$C$4,"Put","Call"),O132,$C$4,$C$10*SQRT($C$7),,$C$11)+
_xll.qlBlackFormula(IF(O132&lt;$C$4,"Put","Call"),O132-$C$14,$C$4,$C$10*SQRT($C$7),,$C$11))/$C$14^2,"")</f>
        <v>25.392063451867841</v>
      </c>
      <c r="U132" s="43">
        <f>IFERROR((_xll.qlBachelierBlackFormula(IF(O132&lt;$C$4,"Put","Call"),O132+$C$14,$C$4,$C$12*SQRT($C$7))-
2*_xll.qlBachelierBlackFormula(IF(O132&lt;$C$4,"Put","Call"),O132,$C$4,$C$12*SQRT($C$7))+
_xll.qlBachelierBlackFormula(IF(O132&lt;$C$4,"Put","Call"),O132-$C$14,$C$4,$C$12*SQRT($C$7)))/$C$14^2,"")</f>
        <v>24.521253083609196</v>
      </c>
      <c r="V132" s="61" t="str">
        <f>IFERROR(_xll.qlBachelierBlackFormulaImpliedVol(IF(O132&lt;$C$4,"Put","Call"),O132,$C$4,$C$7,P132),"")</f>
        <v/>
      </c>
      <c r="W132" s="61">
        <f>IFERROR(_xll.qlBachelierBlackFormulaImpliedVol(IF(O132&lt;$C$4,"Put","Call"),O132,$C$4,$C$7,Q132),"")</f>
        <v>7.1041157641097679E-3</v>
      </c>
      <c r="X132" s="61">
        <f>IFERROR(_xll.qlBachelierBlackFormulaImpliedVol(IF(O132&lt;$C$4,"Put","Call"),O132,$C$4,$C$7,R132),"")</f>
        <v>7.2020000000000174E-3</v>
      </c>
      <c r="Y132" s="96">
        <f>_xll.qlSmileSectionVolatility($C$40,O132+$C$31)</f>
        <v>7.1117693677757556E-3</v>
      </c>
    </row>
    <row r="133" spans="15:25">
      <c r="O133" s="37">
        <f t="shared" si="1"/>
        <v>2.7999999999999939E-3</v>
      </c>
      <c r="P133" s="38" t="str">
        <f>IFERROR(_xll.qlBlackFormula(IF(O133&lt;$C$4,"Put","Call"),O133,$C$4,$C$9*SQRT($C$7)),"")</f>
        <v/>
      </c>
      <c r="Q133" s="39">
        <f>IFERROR(_xll.qlBlackFormula(IF(O133&lt;$C$4,"Put","Call"),O133,$C$4,$C$10*SQRT($C$7),,$C$11),"")</f>
        <v>5.3017677741193855E-3</v>
      </c>
      <c r="R133" s="40">
        <f>IFERROR(_xll.qlBachelierBlackFormula(IF(O133&lt;$C$4,"Put","Call"),O133,$C$4,$C$12*SQRT($C$7)),"")</f>
        <v>5.3844876229854127E-3</v>
      </c>
      <c r="S133" s="41" t="str">
        <f>IFERROR((_xll.qlBlackFormula(IF(O133&lt;$C$4,"Put","Call"),O133+$C$14,$C$4,$C$9*SQRT($C$7))-
2*_xll.qlBlackFormula(IF(O133&lt;$C$4,"Put","Call"),O133,$C$4,$C$9*SQRT($C$7))+
_xll.qlBlackFormula(IF(O133&lt;$C$4,"Put","Call"),O133-$C$14,$C$4,$C$9*SQRT($C$7)))/$C$14^2,"")</f>
        <v/>
      </c>
      <c r="T133" s="42">
        <f>IFERROR((_xll.qlBlackFormula(IF(O133&lt;$C$4,"Put","Call"),O133+$C$14,$C$4,$C$10*SQRT($C$7),,$C$11)-
2*_xll.qlBlackFormula(IF(O133&lt;$C$4,"Put","Call"),O133,$C$4,$C$10*SQRT($C$7),,$C$11)+
_xll.qlBlackFormula(IF(O133&lt;$C$4,"Put","Call"),O133-$C$14,$C$4,$C$10*SQRT($C$7),,$C$11))/$C$14^2,"")</f>
        <v>25.368901424016599</v>
      </c>
      <c r="U133" s="43">
        <f>IFERROR((_xll.qlBachelierBlackFormula(IF(O133&lt;$C$4,"Put","Call"),O133+$C$14,$C$4,$C$12*SQRT($C$7))-
2*_xll.qlBachelierBlackFormula(IF(O133&lt;$C$4,"Put","Call"),O133,$C$4,$C$12*SQRT($C$7))+
_xll.qlBachelierBlackFormula(IF(O133&lt;$C$4,"Put","Call"),O133-$C$14,$C$4,$C$12*SQRT($C$7)))/$C$14^2,"")</f>
        <v>24.542536405935955</v>
      </c>
      <c r="V133" s="61" t="str">
        <f>IFERROR(_xll.qlBachelierBlackFormulaImpliedVol(IF(O133&lt;$C$4,"Put","Call"),O133,$C$4,$C$7,P133),"")</f>
        <v/>
      </c>
      <c r="W133" s="61">
        <f>IFERROR(_xll.qlBachelierBlackFormulaImpliedVol(IF(O133&lt;$C$4,"Put","Call"),O133,$C$4,$C$7,Q133),"")</f>
        <v>7.1083903688408936E-3</v>
      </c>
      <c r="X133" s="61">
        <f>IFERROR(_xll.qlBachelierBlackFormulaImpliedVol(IF(O133&lt;$C$4,"Put","Call"),O133,$C$4,$C$7,R133),"")</f>
        <v>7.2020000000000218E-3</v>
      </c>
      <c r="Y133" s="96">
        <f>_xll.qlSmileSectionVolatility($C$40,O133+$C$31)</f>
        <v>7.1155656626764041E-3</v>
      </c>
    </row>
    <row r="134" spans="15:25">
      <c r="O134" s="37">
        <f t="shared" si="1"/>
        <v>2.8999999999999937E-3</v>
      </c>
      <c r="P134" s="38" t="str">
        <f>IFERROR(_xll.qlBlackFormula(IF(O134&lt;$C$4,"Put","Call"),O134,$C$4,$C$9*SQRT($C$7)),"")</f>
        <v/>
      </c>
      <c r="Q134" s="39">
        <f>IFERROR(_xll.qlBlackFormula(IF(O134&lt;$C$4,"Put","Call"),O134,$C$4,$C$10*SQRT($C$7),,$C$11),"")</f>
        <v>5.3501665098987031E-3</v>
      </c>
      <c r="R134" s="40">
        <f>IFERROR(_xll.qlBachelierBlackFormula(IF(O134&lt;$C$4,"Put","Call"),O134,$C$4,$C$12*SQRT($C$7)),"")</f>
        <v>5.4291772978278911E-3</v>
      </c>
      <c r="S134" s="41" t="str">
        <f>IFERROR((_xll.qlBlackFormula(IF(O134&lt;$C$4,"Put","Call"),O134+$C$14,$C$4,$C$9*SQRT($C$7))-
2*_xll.qlBlackFormula(IF(O134&lt;$C$4,"Put","Call"),O134,$C$4,$C$9*SQRT($C$7))+
_xll.qlBlackFormula(IF(O134&lt;$C$4,"Put","Call"),O134-$C$14,$C$4,$C$9*SQRT($C$7)))/$C$14^2,"")</f>
        <v/>
      </c>
      <c r="T134" s="42">
        <f>IFERROR((_xll.qlBlackFormula(IF(O134&lt;$C$4,"Put","Call"),O134+$C$14,$C$4,$C$10*SQRT($C$7),,$C$11)-
2*_xll.qlBlackFormula(IF(O134&lt;$C$4,"Put","Call"),O134,$C$4,$C$10*SQRT($C$7),,$C$11)+
_xll.qlBlackFormula(IF(O134&lt;$C$4,"Put","Call"),O134-$C$14,$C$4,$C$10*SQRT($C$7),,$C$11))/$C$14^2,"")</f>
        <v>25.344781828806617</v>
      </c>
      <c r="U134" s="43">
        <f>IFERROR((_xll.qlBachelierBlackFormula(IF(O134&lt;$C$4,"Put","Call"),O134+$C$14,$C$4,$C$12*SQRT($C$7))-
2*_xll.qlBachelierBlackFormula(IF(O134&lt;$C$4,"Put","Call"),O134,$C$4,$C$12*SQRT($C$7))+
_xll.qlBachelierBlackFormula(IF(O134&lt;$C$4,"Put","Call"),O134-$C$14,$C$4,$C$12*SQRT($C$7)))/$C$14^2,"")</f>
        <v>24.562890783841329</v>
      </c>
      <c r="V134" s="61" t="str">
        <f>IFERROR(_xll.qlBachelierBlackFormulaImpliedVol(IF(O134&lt;$C$4,"Put","Call"),O134,$C$4,$C$7,P134),"")</f>
        <v/>
      </c>
      <c r="W134" s="61">
        <f>IFERROR(_xll.qlBachelierBlackFormulaImpliedVol(IF(O134&lt;$C$4,"Put","Call"),O134,$C$4,$C$7,Q134),"")</f>
        <v>7.1126632457878336E-3</v>
      </c>
      <c r="X134" s="61">
        <f>IFERROR(_xll.qlBachelierBlackFormulaImpliedVol(IF(O134&lt;$C$4,"Put","Call"),O134,$C$4,$C$7,R134),"")</f>
        <v>7.2020000000000252E-3</v>
      </c>
      <c r="Y134" s="96">
        <f>_xll.qlSmileSectionVolatility($C$40,O134+$C$31)</f>
        <v>7.1193863602814446E-3</v>
      </c>
    </row>
    <row r="135" spans="15:25">
      <c r="O135" s="37">
        <f t="shared" ref="O135:O198" si="2">O134+0.01%</f>
        <v>2.9999999999999936E-3</v>
      </c>
      <c r="P135" s="38" t="str">
        <f>IFERROR(_xll.qlBlackFormula(IF(O135&lt;$C$4,"Put","Call"),O135,$C$4,$C$9*SQRT($C$7)),"")</f>
        <v/>
      </c>
      <c r="Q135" s="39">
        <f>IFERROR(_xll.qlBlackFormula(IF(O135&lt;$C$4,"Put","Call"),O135,$C$4,$C$10*SQRT($C$7),,$C$11),"")</f>
        <v>5.3988186926323053E-3</v>
      </c>
      <c r="R135" s="40">
        <f>IFERROR(_xll.qlBachelierBlackFormula(IF(O135&lt;$C$4,"Put","Call"),O135,$C$4,$C$12*SQRT($C$7)),"")</f>
        <v>5.4741126008035273E-3</v>
      </c>
      <c r="S135" s="41" t="str">
        <f>IFERROR((_xll.qlBlackFormula(IF(O135&lt;$C$4,"Put","Call"),O135+$C$14,$C$4,$C$9*SQRT($C$7))-
2*_xll.qlBlackFormula(IF(O135&lt;$C$4,"Put","Call"),O135,$C$4,$C$9*SQRT($C$7))+
_xll.qlBlackFormula(IF(O135&lt;$C$4,"Put","Call"),O135-$C$14,$C$4,$C$9*SQRT($C$7)))/$C$14^2,"")</f>
        <v/>
      </c>
      <c r="T135" s="42">
        <f>IFERROR((_xll.qlBlackFormula(IF(O135&lt;$C$4,"Put","Call"),O135+$C$14,$C$4,$C$10*SQRT($C$7),,$C$11)-
2*_xll.qlBlackFormula(IF(O135&lt;$C$4,"Put","Call"),O135,$C$4,$C$10*SQRT($C$7),,$C$11)+
_xll.qlBlackFormula(IF(O135&lt;$C$4,"Put","Call"),O135-$C$14,$C$4,$C$10*SQRT($C$7),,$C$11))/$C$14^2,"")</f>
        <v>25.319669971768377</v>
      </c>
      <c r="U135" s="43">
        <f>IFERROR((_xll.qlBachelierBlackFormula(IF(O135&lt;$C$4,"Put","Call"),O135+$C$14,$C$4,$C$12*SQRT($C$7))-
2*_xll.qlBachelierBlackFormula(IF(O135&lt;$C$4,"Put","Call"),O135,$C$4,$C$12*SQRT($C$7))+
_xll.qlBachelierBlackFormula(IF(O135&lt;$C$4,"Put","Call"),O135-$C$14,$C$4,$C$12*SQRT($C$7)))/$C$14^2,"")</f>
        <v>24.582315349963579</v>
      </c>
      <c r="V135" s="61" t="str">
        <f>IFERROR(_xll.qlBachelierBlackFormulaImpliedVol(IF(O135&lt;$C$4,"Put","Call"),O135,$C$4,$C$7,P135),"")</f>
        <v/>
      </c>
      <c r="W135" s="61">
        <f>IFERROR(_xll.qlBachelierBlackFormulaImpliedVol(IF(O135&lt;$C$4,"Put","Call"),O135,$C$4,$C$7,Q135),"")</f>
        <v>7.1169343980785711E-3</v>
      </c>
      <c r="X135" s="61">
        <f>IFERROR(_xll.qlBachelierBlackFormulaImpliedVol(IF(O135&lt;$C$4,"Put","Call"),O135,$C$4,$C$7,R135),"")</f>
        <v>7.2020000000000235E-3</v>
      </c>
      <c r="Y135" s="96">
        <f>_xll.qlSmileSectionVolatility($C$40,O135+$C$31)</f>
        <v>7.1232314473399141E-3</v>
      </c>
    </row>
    <row r="136" spans="15:25">
      <c r="O136" s="37">
        <f t="shared" si="2"/>
        <v>3.0999999999999934E-3</v>
      </c>
      <c r="P136" s="38" t="str">
        <f>IFERROR(_xll.qlBlackFormula(IF(O136&lt;$C$4,"Put","Call"),O136,$C$4,$C$9*SQRT($C$7)),"")</f>
        <v/>
      </c>
      <c r="Q136" s="39">
        <f>IFERROR(_xll.qlBlackFormula(IF(O136&lt;$C$4,"Put","Call"),O136,$C$4,$C$10*SQRT($C$7),,$C$11),"")</f>
        <v>5.447724071321651E-3</v>
      </c>
      <c r="R136" s="40">
        <f>IFERROR(_xll.qlBachelierBlackFormula(IF(O136&lt;$C$4,"Put","Call"),O136,$C$4,$C$12*SQRT($C$7)),"")</f>
        <v>5.5192937261460294E-3</v>
      </c>
      <c r="S136" s="41" t="str">
        <f>IFERROR((_xll.qlBlackFormula(IF(O136&lt;$C$4,"Put","Call"),O136+$C$14,$C$4,$C$9*SQRT($C$7))-
2*_xll.qlBlackFormula(IF(O136&lt;$C$4,"Put","Call"),O136,$C$4,$C$9*SQRT($C$7))+
_xll.qlBlackFormula(IF(O136&lt;$C$4,"Put","Call"),O136-$C$14,$C$4,$C$9*SQRT($C$7)))/$C$14^2,"")</f>
        <v/>
      </c>
      <c r="T136" s="42">
        <f>IFERROR((_xll.qlBlackFormula(IF(O136&lt;$C$4,"Put","Call"),O136+$C$14,$C$4,$C$10*SQRT($C$7),,$C$11)-
2*_xll.qlBlackFormula(IF(O136&lt;$C$4,"Put","Call"),O136,$C$4,$C$10*SQRT($C$7),,$C$11)+
_xll.qlBlackFormula(IF(O136&lt;$C$4,"Put","Call"),O136-$C$14,$C$4,$C$10*SQRT($C$7),,$C$11))/$C$14^2,"")</f>
        <v>25.293607486265302</v>
      </c>
      <c r="U136" s="43">
        <f>IFERROR((_xll.qlBachelierBlackFormula(IF(O136&lt;$C$4,"Put","Call"),O136+$C$14,$C$4,$C$12*SQRT($C$7))-
2*_xll.qlBachelierBlackFormula(IF(O136&lt;$C$4,"Put","Call"),O136,$C$4,$C$12*SQRT($C$7))+
_xll.qlBachelierBlackFormula(IF(O136&lt;$C$4,"Put","Call"),O136-$C$14,$C$4,$C$12*SQRT($C$7)))/$C$14^2,"")</f>
        <v>24.600803165408802</v>
      </c>
      <c r="V136" s="61" t="str">
        <f>IFERROR(_xll.qlBachelierBlackFormulaImpliedVol(IF(O136&lt;$C$4,"Put","Call"),O136,$C$4,$C$7,P136),"")</f>
        <v/>
      </c>
      <c r="W136" s="61">
        <f>IFERROR(_xll.qlBachelierBlackFormulaImpliedVol(IF(O136&lt;$C$4,"Put","Call"),O136,$C$4,$C$7,Q136),"")</f>
        <v>7.1212038288315698E-3</v>
      </c>
      <c r="X136" s="61">
        <f>IFERROR(_xll.qlBachelierBlackFormulaImpliedVol(IF(O136&lt;$C$4,"Put","Call"),O136,$C$4,$C$7,R136),"")</f>
        <v>7.2020000000000244E-3</v>
      </c>
      <c r="Y136" s="96">
        <f>_xll.qlSmileSectionVolatility($C$40,O136+$C$31)</f>
        <v>7.1271009095219421E-3</v>
      </c>
    </row>
    <row r="137" spans="15:25">
      <c r="O137" s="37">
        <f t="shared" si="2"/>
        <v>3.1999999999999932E-3</v>
      </c>
      <c r="P137" s="38" t="str">
        <f>IFERROR(_xll.qlBlackFormula(IF(O137&lt;$C$4,"Put","Call"),O137,$C$4,$C$9*SQRT($C$7)),"")</f>
        <v/>
      </c>
      <c r="Q137" s="39">
        <f>IFERROR(_xll.qlBlackFormula(IF(O137&lt;$C$4,"Put","Call"),O137,$C$4,$C$10*SQRT($C$7),,$C$11),"")</f>
        <v>5.4968823853265639E-3</v>
      </c>
      <c r="R137" s="40">
        <f>IFERROR(_xll.qlBachelierBlackFormula(IF(O137&lt;$C$4,"Put","Call"),O137,$C$4,$C$12*SQRT($C$7)),"")</f>
        <v>5.5647208587568204E-3</v>
      </c>
      <c r="S137" s="41" t="str">
        <f>IFERROR((_xll.qlBlackFormula(IF(O137&lt;$C$4,"Put","Call"),O137+$C$14,$C$4,$C$9*SQRT($C$7))-
2*_xll.qlBlackFormula(IF(O137&lt;$C$4,"Put","Call"),O137,$C$4,$C$9*SQRT($C$7))+
_xll.qlBlackFormula(IF(O137&lt;$C$4,"Put","Call"),O137-$C$14,$C$4,$C$9*SQRT($C$7)))/$C$14^2,"")</f>
        <v/>
      </c>
      <c r="T137" s="42">
        <f>IFERROR((_xll.qlBlackFormula(IF(O137&lt;$C$4,"Put","Call"),O137+$C$14,$C$4,$C$10*SQRT($C$7),,$C$11)-
2*_xll.qlBlackFormula(IF(O137&lt;$C$4,"Put","Call"),O137,$C$4,$C$10*SQRT($C$7),,$C$11)+
_xll.qlBlackFormula(IF(O137&lt;$C$4,"Put","Call"),O137-$C$14,$C$4,$C$10*SQRT($C$7),,$C$11))/$C$14^2,"")</f>
        <v>25.266608250085199</v>
      </c>
      <c r="U137" s="43">
        <f>IFERROR((_xll.qlBachelierBlackFormula(IF(O137&lt;$C$4,"Put","Call"),O137+$C$14,$C$4,$C$12*SQRT($C$7))-
2*_xll.qlBachelierBlackFormula(IF(O137&lt;$C$4,"Put","Call"),O137,$C$4,$C$12*SQRT($C$7))+
_xll.qlBachelierBlackFormula(IF(O137&lt;$C$4,"Put","Call"),O137-$C$14,$C$4,$C$12*SQRT($C$7)))/$C$14^2,"")</f>
        <v>24.618358566985687</v>
      </c>
      <c r="V137" s="61" t="str">
        <f>IFERROR(_xll.qlBachelierBlackFormulaImpliedVol(IF(O137&lt;$C$4,"Put","Call"),O137,$C$4,$C$7,P137),"")</f>
        <v/>
      </c>
      <c r="W137" s="61">
        <f>IFERROR(_xll.qlBachelierBlackFormulaImpliedVol(IF(O137&lt;$C$4,"Put","Call"),O137,$C$4,$C$7,Q137),"")</f>
        <v>7.1254715411557491E-3</v>
      </c>
      <c r="X137" s="61">
        <f>IFERROR(_xll.qlBachelierBlackFormulaImpliedVol(IF(O137&lt;$C$4,"Put","Call"),O137,$C$4,$C$7,R137),"")</f>
        <v>7.2020000000000226E-3</v>
      </c>
      <c r="Y137" s="96">
        <f>_xll.qlSmileSectionVolatility($C$40,O137+$C$31)</f>
        <v>7.1309947314240297E-3</v>
      </c>
    </row>
    <row r="138" spans="15:25">
      <c r="O138" s="37">
        <f t="shared" si="2"/>
        <v>3.299999999999993E-3</v>
      </c>
      <c r="P138" s="38" t="str">
        <f>IFERROR(_xll.qlBlackFormula(IF(O138&lt;$C$4,"Put","Call"),O138,$C$4,$C$9*SQRT($C$7)),"")</f>
        <v/>
      </c>
      <c r="Q138" s="39">
        <f>IFERROR(_xll.qlBlackFormula(IF(O138&lt;$C$4,"Put","Call"),O138,$C$4,$C$10*SQRT($C$7),,$C$11),"")</f>
        <v>5.546293364431569E-3</v>
      </c>
      <c r="R138" s="40">
        <f>IFERROR(_xll.qlBachelierBlackFormula(IF(O138&lt;$C$4,"Put","Call"),O138,$C$4,$C$12*SQRT($C$7)),"")</f>
        <v>5.6103941741837624E-3</v>
      </c>
      <c r="S138" s="41" t="str">
        <f>IFERROR((_xll.qlBlackFormula(IF(O138&lt;$C$4,"Put","Call"),O138+$C$14,$C$4,$C$9*SQRT($C$7))-
2*_xll.qlBlackFormula(IF(O138&lt;$C$4,"Put","Call"),O138,$C$4,$C$9*SQRT($C$7))+
_xll.qlBlackFormula(IF(O138&lt;$C$4,"Put","Call"),O138-$C$14,$C$4,$C$9*SQRT($C$7)))/$C$14^2,"")</f>
        <v/>
      </c>
      <c r="T138" s="42">
        <f>IFERROR((_xll.qlBlackFormula(IF(O138&lt;$C$4,"Put","Call"),O138+$C$14,$C$4,$C$10*SQRT($C$7),,$C$11)-
2*_xll.qlBlackFormula(IF(O138&lt;$C$4,"Put","Call"),O138,$C$4,$C$10*SQRT($C$7),,$C$11)+
_xll.qlBlackFormula(IF(O138&lt;$C$4,"Put","Call"),O138-$C$14,$C$4,$C$10*SQRT($C$7),,$C$11))/$C$14^2,"")</f>
        <v>25.238616752076837</v>
      </c>
      <c r="U138" s="43">
        <f>IFERROR((_xll.qlBachelierBlackFormula(IF(O138&lt;$C$4,"Put","Call"),O138+$C$14,$C$4,$C$12*SQRT($C$7))-
2*_xll.qlBachelierBlackFormula(IF(O138&lt;$C$4,"Put","Call"),O138,$C$4,$C$12*SQRT($C$7))+
_xll.qlBachelierBlackFormula(IF(O138&lt;$C$4,"Put","Call"),O138-$C$14,$C$4,$C$12*SQRT($C$7)))/$C$14^2,"")</f>
        <v>24.634978952609021</v>
      </c>
      <c r="V138" s="61" t="str">
        <f>IFERROR(_xll.qlBachelierBlackFormulaImpliedVol(IF(O138&lt;$C$4,"Put","Call"),O138,$C$4,$C$7,P138),"")</f>
        <v/>
      </c>
      <c r="W138" s="61">
        <f>IFERROR(_xll.qlBachelierBlackFormulaImpliedVol(IF(O138&lt;$C$4,"Put","Call"),O138,$C$4,$C$7,Q138),"")</f>
        <v>7.1297375381506036E-3</v>
      </c>
      <c r="X138" s="61">
        <f>IFERROR(_xll.qlBachelierBlackFormulaImpliedVol(IF(O138&lt;$C$4,"Put","Call"),O138,$C$4,$C$7,R138),"")</f>
        <v>7.2020000000000244E-3</v>
      </c>
      <c r="Y138" s="96">
        <f>_xll.qlSmileSectionVolatility($C$40,O138+$C$31)</f>
        <v>7.1349128965741866E-3</v>
      </c>
    </row>
    <row r="139" spans="15:25">
      <c r="O139" s="37">
        <f t="shared" si="2"/>
        <v>3.3999999999999929E-3</v>
      </c>
      <c r="P139" s="38" t="str">
        <f>IFERROR(_xll.qlBlackFormula(IF(O139&lt;$C$4,"Put","Call"),O139,$C$4,$C$9*SQRT($C$7)),"")</f>
        <v/>
      </c>
      <c r="Q139" s="39">
        <f>IFERROR(_xll.qlBlackFormula(IF(O139&lt;$C$4,"Put","Call"),O139,$C$4,$C$10*SQRT($C$7),,$C$11),"")</f>
        <v>5.5959567289129084E-3</v>
      </c>
      <c r="R139" s="40">
        <f>IFERROR(_xll.qlBachelierBlackFormula(IF(O139&lt;$C$4,"Put","Call"),O139,$C$4,$C$12*SQRT($C$7)),"")</f>
        <v>5.65631383860094E-3</v>
      </c>
      <c r="S139" s="41" t="str">
        <f>IFERROR((_xll.qlBlackFormula(IF(O139&lt;$C$4,"Put","Call"),O139+$C$14,$C$4,$C$9*SQRT($C$7))-
2*_xll.qlBlackFormula(IF(O139&lt;$C$4,"Put","Call"),O139,$C$4,$C$9*SQRT($C$7))+
_xll.qlBlackFormula(IF(O139&lt;$C$4,"Put","Call"),O139-$C$14,$C$4,$C$9*SQRT($C$7)))/$C$14^2,"")</f>
        <v/>
      </c>
      <c r="T139" s="42">
        <f>IFERROR((_xll.qlBlackFormula(IF(O139&lt;$C$4,"Put","Call"),O139+$C$14,$C$4,$C$10*SQRT($C$7),,$C$11)-
2*_xll.qlBlackFormula(IF(O139&lt;$C$4,"Put","Call"),O139,$C$4,$C$10*SQRT($C$7),,$C$11)+
_xll.qlBlackFormula(IF(O139&lt;$C$4,"Put","Call"),O139-$C$14,$C$4,$C$10*SQRT($C$7),,$C$11))/$C$14^2,"")</f>
        <v>25.209709320073159</v>
      </c>
      <c r="U139" s="43">
        <f>IFERROR((_xll.qlBachelierBlackFormula(IF(O139&lt;$C$4,"Put","Call"),O139+$C$14,$C$4,$C$12*SQRT($C$7))-
2*_xll.qlBachelierBlackFormula(IF(O139&lt;$C$4,"Put","Call"),O139,$C$4,$C$12*SQRT($C$7))+
_xll.qlBachelierBlackFormula(IF(O139&lt;$C$4,"Put","Call"),O139-$C$14,$C$4,$C$12*SQRT($C$7)))/$C$14^2,"")</f>
        <v>24.650655648661424</v>
      </c>
      <c r="V139" s="61" t="str">
        <f>IFERROR(_xll.qlBachelierBlackFormulaImpliedVol(IF(O139&lt;$C$4,"Put","Call"),O139,$C$4,$C$7,P139),"")</f>
        <v/>
      </c>
      <c r="W139" s="61">
        <f>IFERROR(_xll.qlBachelierBlackFormulaImpliedVol(IF(O139&lt;$C$4,"Put","Call"),O139,$C$4,$C$7,Q139),"")</f>
        <v>7.1340018229061495E-3</v>
      </c>
      <c r="X139" s="61">
        <f>IFERROR(_xll.qlBachelierBlackFormulaImpliedVol(IF(O139&lt;$C$4,"Put","Call"),O139,$C$4,$C$7,R139),"")</f>
        <v>7.2020000000000226E-3</v>
      </c>
      <c r="Y139" s="96">
        <f>_xll.qlSmileSectionVolatility($C$40,O139+$C$31)</f>
        <v>7.1388553874382563E-3</v>
      </c>
    </row>
    <row r="140" spans="15:25">
      <c r="O140" s="37">
        <f t="shared" si="2"/>
        <v>3.4999999999999927E-3</v>
      </c>
      <c r="P140" s="38" t="str">
        <f>IFERROR(_xll.qlBlackFormula(IF(O140&lt;$C$4,"Put","Call"),O140,$C$4,$C$9*SQRT($C$7)),"")</f>
        <v/>
      </c>
      <c r="Q140" s="39">
        <f>IFERROR(_xll.qlBlackFormula(IF(O140&lt;$C$4,"Put","Call"),O140,$C$4,$C$10*SQRT($C$7),,$C$11),"")</f>
        <v>5.6458721896064448E-3</v>
      </c>
      <c r="R140" s="40">
        <f>IFERROR(_xll.qlBachelierBlackFormula(IF(O140&lt;$C$4,"Put","Call"),O140,$C$4,$C$12*SQRT($C$7)),"")</f>
        <v>5.7024800087895058E-3</v>
      </c>
      <c r="S140" s="41" t="str">
        <f>IFERROR((_xll.qlBlackFormula(IF(O140&lt;$C$4,"Put","Call"),O140+$C$14,$C$4,$C$9*SQRT($C$7))-
2*_xll.qlBlackFormula(IF(O140&lt;$C$4,"Put","Call"),O140,$C$4,$C$9*SQRT($C$7))+
_xll.qlBlackFormula(IF(O140&lt;$C$4,"Put","Call"),O140-$C$14,$C$4,$C$9*SQRT($C$7)))/$C$14^2,"")</f>
        <v/>
      </c>
      <c r="T140" s="42">
        <f>IFERROR((_xll.qlBlackFormula(IF(O140&lt;$C$4,"Put","Call"),O140+$C$14,$C$4,$C$10*SQRT($C$7),,$C$11)-
2*_xll.qlBlackFormula(IF(O140&lt;$C$4,"Put","Call"),O140,$C$4,$C$10*SQRT($C$7),,$C$11)+
_xll.qlBlackFormula(IF(O140&lt;$C$4,"Put","Call"),O140-$C$14,$C$4,$C$10*SQRT($C$7),,$C$11))/$C$14^2,"")</f>
        <v>25.179851259604646</v>
      </c>
      <c r="U140" s="43">
        <f>IFERROR((_xll.qlBachelierBlackFormula(IF(O140&lt;$C$4,"Put","Call"),O140+$C$14,$C$4,$C$12*SQRT($C$7))-
2*_xll.qlBachelierBlackFormula(IF(O140&lt;$C$4,"Put","Call"),O140,$C$4,$C$12*SQRT($C$7))+
_xll.qlBachelierBlackFormula(IF(O140&lt;$C$4,"Put","Call"),O140-$C$14,$C$4,$C$12*SQRT($C$7)))/$C$14^2,"")</f>
        <v>24.665394726675061</v>
      </c>
      <c r="V140" s="61" t="str">
        <f>IFERROR(_xll.qlBachelierBlackFormulaImpliedVol(IF(O140&lt;$C$4,"Put","Call"),O140,$C$4,$C$7,P140),"")</f>
        <v/>
      </c>
      <c r="W140" s="61">
        <f>IFERROR(_xll.qlBachelierBlackFormulaImpliedVol(IF(O140&lt;$C$4,"Put","Call"),O140,$C$4,$C$7,Q140),"")</f>
        <v>7.138264398503057E-3</v>
      </c>
      <c r="X140" s="61">
        <f>IFERROR(_xll.qlBachelierBlackFormulaImpliedVol(IF(O140&lt;$C$4,"Put","Call"),O140,$C$4,$C$7,R140),"")</f>
        <v>7.2020000000000209E-3</v>
      </c>
      <c r="Y140" s="96">
        <f>_xll.qlSmileSectionVolatility($C$40,O140+$C$31)</f>
        <v>7.1428221854248925E-3</v>
      </c>
    </row>
    <row r="141" spans="15:25">
      <c r="O141" s="37">
        <f t="shared" si="2"/>
        <v>3.5999999999999925E-3</v>
      </c>
      <c r="P141" s="38" t="str">
        <f>IFERROR(_xll.qlBlackFormula(IF(O141&lt;$C$4,"Put","Call"),O141,$C$4,$C$9*SQRT($C$7)),"")</f>
        <v/>
      </c>
      <c r="Q141" s="39">
        <f>IFERROR(_xll.qlBlackFormula(IF(O141&lt;$C$4,"Put","Call"),O141,$C$4,$C$10*SQRT($C$7),,$C$11),"")</f>
        <v>5.696039447976177E-3</v>
      </c>
      <c r="R141" s="40">
        <f>IFERROR(_xll.qlBachelierBlackFormula(IF(O141&lt;$C$4,"Put","Call"),O141,$C$4,$C$12*SQRT($C$7)),"")</f>
        <v>5.74889283211962E-3</v>
      </c>
      <c r="S141" s="41" t="str">
        <f>IFERROR((_xll.qlBlackFormula(IF(O141&lt;$C$4,"Put","Call"),O141+$C$14,$C$4,$C$9*SQRT($C$7))-
2*_xll.qlBlackFormula(IF(O141&lt;$C$4,"Put","Call"),O141,$C$4,$C$9*SQRT($C$7))+
_xll.qlBlackFormula(IF(O141&lt;$C$4,"Put","Call"),O141-$C$14,$C$4,$C$9*SQRT($C$7)))/$C$14^2,"")</f>
        <v/>
      </c>
      <c r="T141" s="42">
        <f>IFERROR((_xll.qlBlackFormula(IF(O141&lt;$C$4,"Put","Call"),O141+$C$14,$C$4,$C$10*SQRT($C$7),,$C$11)-
2*_xll.qlBlackFormula(IF(O141&lt;$C$4,"Put","Call"),O141,$C$4,$C$10*SQRT($C$7),,$C$11)+
_xll.qlBlackFormula(IF(O141&lt;$C$4,"Put","Call"),O141-$C$14,$C$4,$C$10*SQRT($C$7),,$C$11))/$C$14^2,"")</f>
        <v>25.149077265140818</v>
      </c>
      <c r="U141" s="43">
        <f>IFERROR((_xll.qlBachelierBlackFormula(IF(O141&lt;$C$4,"Put","Call"),O141+$C$14,$C$4,$C$12*SQRT($C$7))-
2*_xll.qlBachelierBlackFormula(IF(O141&lt;$C$4,"Put","Call"),O141,$C$4,$C$12*SQRT($C$7))+
_xll.qlBachelierBlackFormula(IF(O141&lt;$C$4,"Put","Call"),O141-$C$14,$C$4,$C$12*SQRT($C$7)))/$C$14^2,"")</f>
        <v>24.679186645670814</v>
      </c>
      <c r="V141" s="61" t="str">
        <f>IFERROR(_xll.qlBachelierBlackFormulaImpliedVol(IF(O141&lt;$C$4,"Put","Call"),O141,$C$4,$C$7,P141),"")</f>
        <v/>
      </c>
      <c r="W141" s="61">
        <f>IFERROR(_xll.qlBachelierBlackFormulaImpliedVol(IF(O141&lt;$C$4,"Put","Call"),O141,$C$4,$C$7,Q141),"")</f>
        <v>7.142525268012628E-3</v>
      </c>
      <c r="X141" s="61">
        <f>IFERROR(_xll.qlBachelierBlackFormulaImpliedVol(IF(O141&lt;$C$4,"Put","Call"),O141,$C$4,$C$7,R141),"")</f>
        <v>7.2020000000000209E-3</v>
      </c>
      <c r="Y141" s="96">
        <f>_xll.qlSmileSectionVolatility($C$40,O141+$C$31)</f>
        <v>7.1468132708923304E-3</v>
      </c>
    </row>
    <row r="142" spans="15:25">
      <c r="O142" s="37">
        <f t="shared" si="2"/>
        <v>3.6999999999999924E-3</v>
      </c>
      <c r="P142" s="38" t="str">
        <f>IFERROR(_xll.qlBlackFormula(IF(O142&lt;$C$4,"Put","Call"),O142,$C$4,$C$9*SQRT($C$7)),"")</f>
        <v/>
      </c>
      <c r="Q142" s="39">
        <f>IFERROR(_xll.qlBlackFormula(IF(O142&lt;$C$4,"Put","Call"),O142,$C$4,$C$10*SQRT($C$7),,$C$11),"")</f>
        <v>5.7464581961835653E-3</v>
      </c>
      <c r="R142" s="40">
        <f>IFERROR(_xll.qlBachelierBlackFormula(IF(O142&lt;$C$4,"Put","Call"),O142,$C$4,$C$12*SQRT($C$7)),"")</f>
        <v>5.7955524465334455E-3</v>
      </c>
      <c r="S142" s="41" t="str">
        <f>IFERROR((_xll.qlBlackFormula(IF(O142&lt;$C$4,"Put","Call"),O142+$C$14,$C$4,$C$9*SQRT($C$7))-
2*_xll.qlBlackFormula(IF(O142&lt;$C$4,"Put","Call"),O142,$C$4,$C$9*SQRT($C$7))+
_xll.qlBlackFormula(IF(O142&lt;$C$4,"Put","Call"),O142-$C$14,$C$4,$C$9*SQRT($C$7)))/$C$14^2,"")</f>
        <v/>
      </c>
      <c r="T142" s="42">
        <f>IFERROR((_xll.qlBlackFormula(IF(O142&lt;$C$4,"Put","Call"),O142+$C$14,$C$4,$C$10*SQRT($C$7),,$C$11)-
2*_xll.qlBlackFormula(IF(O142&lt;$C$4,"Put","Call"),O142,$C$4,$C$10*SQRT($C$7),,$C$11)+
_xll.qlBlackFormula(IF(O142&lt;$C$4,"Put","Call"),O142-$C$14,$C$4,$C$10*SQRT($C$7),,$C$11))/$C$14^2,"")</f>
        <v>25.117352642212154</v>
      </c>
      <c r="U142" s="43">
        <f>IFERROR((_xll.qlBachelierBlackFormula(IF(O142&lt;$C$4,"Put","Call"),O142+$C$14,$C$4,$C$12*SQRT($C$7))-
2*_xll.qlBachelierBlackFormula(IF(O142&lt;$C$4,"Put","Call"),O142,$C$4,$C$12*SQRT($C$7))+
_xll.qlBachelierBlackFormula(IF(O142&lt;$C$4,"Put","Call"),O142-$C$14,$C$4,$C$12*SQRT($C$7)))/$C$14^2,"")</f>
        <v>24.69203747718085</v>
      </c>
      <c r="V142" s="61" t="str">
        <f>IFERROR(_xll.qlBachelierBlackFormulaImpliedVol(IF(O142&lt;$C$4,"Put","Call"),O142,$C$4,$C$7,P142),"")</f>
        <v/>
      </c>
      <c r="W142" s="61">
        <f>IFERROR(_xll.qlBachelierBlackFormulaImpliedVol(IF(O142&lt;$C$4,"Put","Call"),O142,$C$4,$C$7,Q142),"")</f>
        <v>7.1467844344968723E-3</v>
      </c>
      <c r="X142" s="61">
        <f>IFERROR(_xll.qlBachelierBlackFormulaImpliedVol(IF(O142&lt;$C$4,"Put","Call"),O142,$C$4,$C$7,R142),"")</f>
        <v>7.2020000000000157E-3</v>
      </c>
      <c r="Y142" s="96">
        <f>_xll.qlSmileSectionVolatility($C$40,O142+$C$31)</f>
        <v>7.1508286231540324E-3</v>
      </c>
    </row>
    <row r="143" spans="15:25">
      <c r="O143" s="37">
        <f t="shared" si="2"/>
        <v>3.7999999999999922E-3</v>
      </c>
      <c r="P143" s="38" t="str">
        <f>IFERROR(_xll.qlBlackFormula(IF(O143&lt;$C$4,"Put","Call"),O143,$C$4,$C$9*SQRT($C$7)),"")</f>
        <v/>
      </c>
      <c r="Q143" s="39">
        <f>IFERROR(_xll.qlBlackFormula(IF(O143&lt;$C$4,"Put","Call"),O143,$C$4,$C$10*SQRT($C$7),,$C$11),"")</f>
        <v>5.7971281171575115E-3</v>
      </c>
      <c r="R143" s="40">
        <f>IFERROR(_xll.qlBachelierBlackFormula(IF(O143&lt;$C$4,"Put","Call"),O143,$C$4,$C$12*SQRT($C$7)),"")</f>
        <v>5.8424589805292394E-3</v>
      </c>
      <c r="S143" s="41" t="str">
        <f>IFERROR((_xll.qlBlackFormula(IF(O143&lt;$C$4,"Put","Call"),O143+$C$14,$C$4,$C$9*SQRT($C$7))-
2*_xll.qlBlackFormula(IF(O143&lt;$C$4,"Put","Call"),O143,$C$4,$C$9*SQRT($C$7))+
_xll.qlBlackFormula(IF(O143&lt;$C$4,"Put","Call"),O143-$C$14,$C$4,$C$9*SQRT($C$7)))/$C$14^2,"")</f>
        <v/>
      </c>
      <c r="T143" s="42">
        <f>IFERROR((_xll.qlBlackFormula(IF(O143&lt;$C$4,"Put","Call"),O143+$C$14,$C$4,$C$10*SQRT($C$7),,$C$11)-
2*_xll.qlBlackFormula(IF(O143&lt;$C$4,"Put","Call"),O143,$C$4,$C$10*SQRT($C$7),,$C$11)+
_xll.qlBlackFormula(IF(O143&lt;$C$4,"Put","Call"),O143-$C$14,$C$4,$C$10*SQRT($C$7),,$C$11))/$C$14^2,"")</f>
        <v>25.084725963075982</v>
      </c>
      <c r="U143" s="43">
        <f>IFERROR((_xll.qlBachelierBlackFormula(IF(O143&lt;$C$4,"Put","Call"),O143+$C$14,$C$4,$C$12*SQRT($C$7))-
2*_xll.qlBachelierBlackFormula(IF(O143&lt;$C$4,"Put","Call"),O143,$C$4,$C$12*SQRT($C$7))+
_xll.qlBachelierBlackFormula(IF(O143&lt;$C$4,"Put","Call"),O143-$C$14,$C$4,$C$12*SQRT($C$7)))/$C$14^2,"")</f>
        <v>24.703944619119955</v>
      </c>
      <c r="V143" s="61" t="str">
        <f>IFERROR(_xll.qlBachelierBlackFormulaImpliedVol(IF(O143&lt;$C$4,"Put","Call"),O143,$C$4,$C$7,P143),"")</f>
        <v/>
      </c>
      <c r="W143" s="61">
        <f>IFERROR(_xll.qlBachelierBlackFormulaImpliedVol(IF(O143&lt;$C$4,"Put","Call"),O143,$C$4,$C$7,Q143),"")</f>
        <v>7.1510419010085147E-3</v>
      </c>
      <c r="X143" s="61">
        <f>IFERROR(_xll.qlBachelierBlackFormulaImpliedVol(IF(O143&lt;$C$4,"Put","Call"),O143,$C$4,$C$7,R143),"")</f>
        <v>7.2020000000000096E-3</v>
      </c>
      <c r="Y143" s="96">
        <f>_xll.qlSmileSectionVolatility($C$40,O143+$C$31)</f>
        <v>7.1548682204849124E-3</v>
      </c>
    </row>
    <row r="144" spans="15:25">
      <c r="O144" s="37">
        <f t="shared" si="2"/>
        <v>3.899999999999992E-3</v>
      </c>
      <c r="P144" s="38" t="str">
        <f>IFERROR(_xll.qlBlackFormula(IF(O144&lt;$C$4,"Put","Call"),O144,$C$4,$C$9*SQRT($C$7)),"")</f>
        <v/>
      </c>
      <c r="Q144" s="39">
        <f>IFERROR(_xll.qlBlackFormula(IF(O144&lt;$C$4,"Put","Call"),O144,$C$4,$C$10*SQRT($C$7),,$C$11),"")</f>
        <v>5.848048884665058E-3</v>
      </c>
      <c r="R144" s="40">
        <f>IFERROR(_xll.qlBachelierBlackFormula(IF(O144&lt;$C$4,"Put","Call"),O144,$C$4,$C$12*SQRT($C$7)),"")</f>
        <v>5.889612553146531E-3</v>
      </c>
      <c r="S144" s="41" t="str">
        <f>IFERROR((_xll.qlBlackFormula(IF(O144&lt;$C$4,"Put","Call"),O144+$C$14,$C$4,$C$9*SQRT($C$7))-
2*_xll.qlBlackFormula(IF(O144&lt;$C$4,"Put","Call"),O144,$C$4,$C$9*SQRT($C$7))+
_xll.qlBlackFormula(IF(O144&lt;$C$4,"Put","Call"),O144-$C$14,$C$4,$C$9*SQRT($C$7)))/$C$14^2,"")</f>
        <v/>
      </c>
      <c r="T144" s="42">
        <f>IFERROR((_xll.qlBlackFormula(IF(O144&lt;$C$4,"Put","Call"),O144+$C$14,$C$4,$C$10*SQRT($C$7),,$C$11)-
2*_xll.qlBlackFormula(IF(O144&lt;$C$4,"Put","Call"),O144,$C$4,$C$10*SQRT($C$7),,$C$11)+
_xll.qlBlackFormula(IF(O144&lt;$C$4,"Put","Call"),O144-$C$14,$C$4,$C$10*SQRT($C$7),,$C$11))/$C$14^2,"")</f>
        <v>25.051204166626206</v>
      </c>
      <c r="U144" s="43">
        <f>IFERROR((_xll.qlBachelierBlackFormula(IF(O144&lt;$C$4,"Put","Call"),O144+$C$14,$C$4,$C$12*SQRT($C$7))-
2*_xll.qlBachelierBlackFormula(IF(O144&lt;$C$4,"Put","Call"),O144,$C$4,$C$12*SQRT($C$7))+
_xll.qlBachelierBlackFormula(IF(O144&lt;$C$4,"Put","Call"),O144-$C$14,$C$4,$C$12*SQRT($C$7)))/$C$14^2,"")</f>
        <v>24.714896795785535</v>
      </c>
      <c r="V144" s="61" t="str">
        <f>IFERROR(_xll.qlBachelierBlackFormulaImpliedVol(IF(O144&lt;$C$4,"Put","Call"),O144,$C$4,$C$7,P144),"")</f>
        <v/>
      </c>
      <c r="W144" s="61">
        <f>IFERROR(_xll.qlBachelierBlackFormulaImpliedVol(IF(O144&lt;$C$4,"Put","Call"),O144,$C$4,$C$7,Q144),"")</f>
        <v>7.1552976705910494E-3</v>
      </c>
      <c r="X144" s="61">
        <f>IFERROR(_xll.qlBachelierBlackFormulaImpliedVol(IF(O144&lt;$C$4,"Put","Call"),O144,$C$4,$C$7,R144),"")</f>
        <v>7.2020000000000087E-3</v>
      </c>
      <c r="Y144" s="96">
        <f>_xll.qlSmileSectionVolatility($C$40,O144+$C$31)</f>
        <v>7.1589320401280543E-3</v>
      </c>
    </row>
    <row r="145" spans="15:25">
      <c r="O145" s="37">
        <f t="shared" si="2"/>
        <v>3.9999999999999923E-3</v>
      </c>
      <c r="P145" s="38" t="str">
        <f>IFERROR(_xll.qlBlackFormula(IF(O145&lt;$C$4,"Put","Call"),O145,$C$4,$C$9*SQRT($C$7)),"")</f>
        <v/>
      </c>
      <c r="Q145" s="39">
        <f>IFERROR(_xll.qlBlackFormula(IF(O145&lt;$C$4,"Put","Call"),O145,$C$4,$C$10*SQRT($C$7),,$C$11),"")</f>
        <v>5.8992201633827832E-3</v>
      </c>
      <c r="R145" s="40">
        <f>IFERROR(_xll.qlBachelierBlackFormula(IF(O145&lt;$C$4,"Put","Call"),O145,$C$4,$C$12*SQRT($C$7)),"")</f>
        <v>5.9370132739523622E-3</v>
      </c>
      <c r="S145" s="41" t="str">
        <f>IFERROR((_xll.qlBlackFormula(IF(O145&lt;$C$4,"Put","Call"),O145+$C$14,$C$4,$C$9*SQRT($C$7))-
2*_xll.qlBlackFormula(IF(O145&lt;$C$4,"Put","Call"),O145,$C$4,$C$9*SQRT($C$7))+
_xll.qlBlackFormula(IF(O145&lt;$C$4,"Put","Call"),O145-$C$14,$C$4,$C$9*SQRT($C$7)))/$C$14^2,"")</f>
        <v/>
      </c>
      <c r="T145" s="42">
        <f>IFERROR((_xll.qlBlackFormula(IF(O145&lt;$C$4,"Put","Call"),O145+$C$14,$C$4,$C$10*SQRT($C$7),,$C$11)-
2*_xll.qlBlackFormula(IF(O145&lt;$C$4,"Put","Call"),O145,$C$4,$C$10*SQRT($C$7),,$C$11)+
_xll.qlBlackFormula(IF(O145&lt;$C$4,"Put","Call"),O145-$C$14,$C$4,$C$10*SQRT($C$7),,$C$11))/$C$14^2,"")</f>
        <v>25.016766436181115</v>
      </c>
      <c r="U145" s="43">
        <f>IFERROR((_xll.qlBachelierBlackFormula(IF(O145&lt;$C$4,"Put","Call"),O145+$C$14,$C$4,$C$12*SQRT($C$7))-
2*_xll.qlBachelierBlackFormula(IF(O145&lt;$C$4,"Put","Call"),O145,$C$4,$C$12*SQRT($C$7))+
_xll.qlBachelierBlackFormula(IF(O145&lt;$C$4,"Put","Call"),O145-$C$14,$C$4,$C$12*SQRT($C$7)))/$C$14^2,"")</f>
        <v>24.724906150241921</v>
      </c>
      <c r="V145" s="61" t="str">
        <f>IFERROR(_xll.qlBachelierBlackFormulaImpliedVol(IF(O145&lt;$C$4,"Put","Call"),O145,$C$4,$C$7,P145),"")</f>
        <v/>
      </c>
      <c r="W145" s="61">
        <f>IFERROR(_xll.qlBachelierBlackFormulaImpliedVol(IF(O145&lt;$C$4,"Put","Call"),O145,$C$4,$C$7,Q145),"")</f>
        <v>7.1595517462788201E-3</v>
      </c>
      <c r="X145" s="61">
        <f>IFERROR(_xll.qlBachelierBlackFormulaImpliedVol(IF(O145&lt;$C$4,"Put","Call"),O145,$C$4,$C$7,R145),"")</f>
        <v>7.2020000000000035E-3</v>
      </c>
      <c r="Y145" s="96">
        <f>_xll.qlSmileSectionVolatility($C$40,O145+$C$31)</f>
        <v>7.1630200583008884E-3</v>
      </c>
    </row>
    <row r="146" spans="15:25">
      <c r="O146" s="37">
        <f t="shared" si="2"/>
        <v>4.0999999999999925E-3</v>
      </c>
      <c r="P146" s="38" t="str">
        <f>IFERROR(_xll.qlBlackFormula(IF(O146&lt;$C$4,"Put","Call"),O146,$C$4,$C$9*SQRT($C$7)),"")</f>
        <v/>
      </c>
      <c r="Q146" s="39">
        <f>IFERROR(_xll.qlBlackFormula(IF(O146&lt;$C$4,"Put","Call"),O146,$C$4,$C$10*SQRT($C$7),,$C$11),"")</f>
        <v>5.9506416089687292E-3</v>
      </c>
      <c r="R146" s="40">
        <f>IFERROR(_xll.qlBachelierBlackFormula(IF(O146&lt;$C$4,"Put","Call"),O146,$C$4,$C$12*SQRT($C$7)),"")</f>
        <v>5.9846612430286533E-3</v>
      </c>
      <c r="S146" s="41" t="str">
        <f>IFERROR((_xll.qlBlackFormula(IF(O146&lt;$C$4,"Put","Call"),O146+$C$14,$C$4,$C$9*SQRT($C$7))-
2*_xll.qlBlackFormula(IF(O146&lt;$C$4,"Put","Call"),O146,$C$4,$C$9*SQRT($C$7))+
_xll.qlBlackFormula(IF(O146&lt;$C$4,"Put","Call"),O146-$C$14,$C$4,$C$9*SQRT($C$7)))/$C$14^2,"")</f>
        <v/>
      </c>
      <c r="T146" s="42">
        <f>IFERROR((_xll.qlBlackFormula(IF(O146&lt;$C$4,"Put","Call"),O146+$C$14,$C$4,$C$10*SQRT($C$7),,$C$11)-
2*_xll.qlBlackFormula(IF(O146&lt;$C$4,"Put","Call"),O146,$C$4,$C$10*SQRT($C$7),,$C$11)+
_xll.qlBlackFormula(IF(O146&lt;$C$4,"Put","Call"),O146-$C$14,$C$4,$C$10*SQRT($C$7),,$C$11))/$C$14^2,"")</f>
        <v>24.981447466210227</v>
      </c>
      <c r="U146" s="43">
        <f>IFERROR((_xll.qlBachelierBlackFormula(IF(O146&lt;$C$4,"Put","Call"),O146+$C$14,$C$4,$C$12*SQRT($C$7))-
2*_xll.qlBachelierBlackFormula(IF(O146&lt;$C$4,"Put","Call"),O146,$C$4,$C$12*SQRT($C$7))+
_xll.qlBachelierBlackFormula(IF(O146&lt;$C$4,"Put","Call"),O146-$C$14,$C$4,$C$12*SQRT($C$7)))/$C$14^2,"")</f>
        <v>24.73396574359521</v>
      </c>
      <c r="V146" s="61" t="str">
        <f>IFERROR(_xll.qlBachelierBlackFormulaImpliedVol(IF(O146&lt;$C$4,"Put","Call"),O146,$C$4,$C$7,P146),"")</f>
        <v/>
      </c>
      <c r="W146" s="61">
        <f>IFERROR(_xll.qlBachelierBlackFormulaImpliedVol(IF(O146&lt;$C$4,"Put","Call"),O146,$C$4,$C$7,Q146),"")</f>
        <v>7.1638041310969729E-3</v>
      </c>
      <c r="X146" s="61">
        <f>IFERROR(_xll.qlBachelierBlackFormulaImpliedVol(IF(O146&lt;$C$4,"Put","Call"),O146,$C$4,$C$7,R146),"")</f>
        <v>7.2020000000000027E-3</v>
      </c>
      <c r="Y146" s="96">
        <f>_xll.qlSmileSectionVolatility($C$40,O146+$C$31)</f>
        <v>7.1671322502025962E-3</v>
      </c>
    </row>
    <row r="147" spans="15:25">
      <c r="O147" s="37">
        <f t="shared" si="2"/>
        <v>4.1999999999999928E-3</v>
      </c>
      <c r="P147" s="38" t="str">
        <f>IFERROR(_xll.qlBlackFormula(IF(O147&lt;$C$4,"Put","Call"),O147,$C$4,$C$9*SQRT($C$7)),"")</f>
        <v/>
      </c>
      <c r="Q147" s="39">
        <f>IFERROR(_xll.qlBlackFormula(IF(O147&lt;$C$4,"Put","Call"),O147,$C$4,$C$10*SQRT($C$7),,$C$11),"")</f>
        <v>6.0023128681351359E-3</v>
      </c>
      <c r="R147" s="40">
        <f>IFERROR(_xll.qlBachelierBlackFormula(IF(O147&lt;$C$4,"Put","Call"),O147,$C$4,$C$12*SQRT($C$7)),"")</f>
        <v>6.0325565509606336E-3</v>
      </c>
      <c r="S147" s="41" t="str">
        <f>IFERROR((_xll.qlBlackFormula(IF(O147&lt;$C$4,"Put","Call"),O147+$C$14,$C$4,$C$9*SQRT($C$7))-
2*_xll.qlBlackFormula(IF(O147&lt;$C$4,"Put","Call"),O147,$C$4,$C$9*SQRT($C$7))+
_xll.qlBlackFormula(IF(O147&lt;$C$4,"Put","Call"),O147-$C$14,$C$4,$C$9*SQRT($C$7)))/$C$14^2,"")</f>
        <v/>
      </c>
      <c r="T147" s="42">
        <f>IFERROR((_xll.qlBlackFormula(IF(O147&lt;$C$4,"Put","Call"),O147+$C$14,$C$4,$C$10*SQRT($C$7),,$C$11)-
2*_xll.qlBlackFormula(IF(O147&lt;$C$4,"Put","Call"),O147,$C$4,$C$10*SQRT($C$7),,$C$11)+
_xll.qlBlackFormula(IF(O147&lt;$C$4,"Put","Call"),O147-$C$14,$C$4,$C$10*SQRT($C$7),,$C$11))/$C$14^2,"")</f>
        <v>24.945219501137927</v>
      </c>
      <c r="U147" s="43">
        <f>IFERROR((_xll.qlBachelierBlackFormula(IF(O147&lt;$C$4,"Put","Call"),O147+$C$14,$C$4,$C$12*SQRT($C$7))-
2*_xll.qlBachelierBlackFormula(IF(O147&lt;$C$4,"Put","Call"),O147,$C$4,$C$12*SQRT($C$7))+
_xll.qlBachelierBlackFormula(IF(O147&lt;$C$4,"Put","Call"),O147-$C$14,$C$4,$C$12*SQRT($C$7)))/$C$14^2,"")</f>
        <v>24.742073841121925</v>
      </c>
      <c r="V147" s="61" t="str">
        <f>IFERROR(_xll.qlBachelierBlackFormulaImpliedVol(IF(O147&lt;$C$4,"Put","Call"),O147,$C$4,$C$7,P147),"")</f>
        <v/>
      </c>
      <c r="W147" s="61">
        <f>IFERROR(_xll.qlBachelierBlackFormulaImpliedVol(IF(O147&lt;$C$4,"Put","Call"),O147,$C$4,$C$7,Q147),"")</f>
        <v>7.1680548280615803E-3</v>
      </c>
      <c r="X147" s="61">
        <f>IFERROR(_xll.qlBachelierBlackFormulaImpliedVol(IF(O147&lt;$C$4,"Put","Call"),O147,$C$4,$C$7,R147),"")</f>
        <v>7.2020000000000009E-3</v>
      </c>
      <c r="Y147" s="96">
        <f>_xll.qlSmileSectionVolatility($C$40,O147+$C$31)</f>
        <v>7.1712685900201445E-3</v>
      </c>
    </row>
    <row r="148" spans="15:25">
      <c r="O148" s="37">
        <f t="shared" si="2"/>
        <v>4.2999999999999931E-3</v>
      </c>
      <c r="P148" s="38" t="str">
        <f>IFERROR(_xll.qlBlackFormula(IF(O148&lt;$C$4,"Put","Call"),O148,$C$4,$C$9*SQRT($C$7)),"")</f>
        <v/>
      </c>
      <c r="Q148" s="39">
        <f>IFERROR(_xll.qlBlackFormula(IF(O148&lt;$C$4,"Put","Call"),O148,$C$4,$C$10*SQRT($C$7),,$C$11),"")</f>
        <v>6.0542335787216323E-3</v>
      </c>
      <c r="R148" s="40">
        <f>IFERROR(_xll.qlBachelierBlackFormula(IF(O148&lt;$C$4,"Put","Call"),O148,$C$4,$C$12*SQRT($C$7)),"")</f>
        <v>6.0806992788263745E-3</v>
      </c>
      <c r="S148" s="41" t="str">
        <f>IFERROR((_xll.qlBlackFormula(IF(O148&lt;$C$4,"Put","Call"),O148+$C$14,$C$4,$C$9*SQRT($C$7))-
2*_xll.qlBlackFormula(IF(O148&lt;$C$4,"Put","Call"),O148,$C$4,$C$9*SQRT($C$7))+
_xll.qlBlackFormula(IF(O148&lt;$C$4,"Put","Call"),O148-$C$14,$C$4,$C$9*SQRT($C$7)))/$C$14^2,"")</f>
        <v/>
      </c>
      <c r="T148" s="42">
        <f>IFERROR((_xll.qlBlackFormula(IF(O148&lt;$C$4,"Put","Call"),O148+$C$14,$C$4,$C$10*SQRT($C$7),,$C$11)-
2*_xll.qlBlackFormula(IF(O148&lt;$C$4,"Put","Call"),O148,$C$4,$C$10*SQRT($C$7),,$C$11)+
_xll.qlBlackFormula(IF(O148&lt;$C$4,"Put","Call"),O148-$C$14,$C$4,$C$10*SQRT($C$7),,$C$11))/$C$14^2,"")</f>
        <v>24.908110296539832</v>
      </c>
      <c r="U148" s="43">
        <f>IFERROR((_xll.qlBachelierBlackFormula(IF(O148&lt;$C$4,"Put","Call"),O148+$C$14,$C$4,$C$12*SQRT($C$7))-
2*_xll.qlBachelierBlackFormula(IF(O148&lt;$C$4,"Put","Call"),O148,$C$4,$C$12*SQRT($C$7))+
_xll.qlBachelierBlackFormula(IF(O148&lt;$C$4,"Put","Call"),O148-$C$14,$C$4,$C$12*SQRT($C$7)))/$C$14^2,"")</f>
        <v>24.749226973375116</v>
      </c>
      <c r="V148" s="61" t="str">
        <f>IFERROR(_xll.qlBachelierBlackFormulaImpliedVol(IF(O148&lt;$C$4,"Put","Call"),O148,$C$4,$C$7,P148),"")</f>
        <v/>
      </c>
      <c r="W148" s="61">
        <f>IFERROR(_xll.qlBachelierBlackFormulaImpliedVol(IF(O148&lt;$C$4,"Put","Call"),O148,$C$4,$C$7,Q148),"")</f>
        <v>7.1723038401795992E-3</v>
      </c>
      <c r="X148" s="61">
        <f>IFERROR(_xll.qlBachelierBlackFormulaImpliedVol(IF(O148&lt;$C$4,"Put","Call"),O148,$C$4,$C$7,R148),"")</f>
        <v>7.2020000000000001E-3</v>
      </c>
      <c r="Y148" s="96">
        <f>_xll.qlSmileSectionVolatility($C$40,O148+$C$31)</f>
        <v>7.1754290509352973E-3</v>
      </c>
    </row>
    <row r="149" spans="15:25">
      <c r="O149" s="37">
        <f t="shared" si="2"/>
        <v>4.3999999999999933E-3</v>
      </c>
      <c r="P149" s="38" t="str">
        <f>IFERROR(_xll.qlBlackFormula(IF(O149&lt;$C$4,"Put","Call"),O149,$C$4,$C$9*SQRT($C$7)),"")</f>
        <v/>
      </c>
      <c r="Q149" s="39">
        <f>IFERROR(_xll.qlBlackFormula(IF(O149&lt;$C$4,"Put","Call"),O149,$C$4,$C$10*SQRT($C$7),,$C$11),"")</f>
        <v>6.1064033697691353E-3</v>
      </c>
      <c r="R149" s="40">
        <f>IFERROR(_xll.qlBachelierBlackFormula(IF(O149&lt;$C$4,"Put","Call"),O149,$C$4,$C$12*SQRT($C$7)),"")</f>
        <v>6.1290894981874209E-3</v>
      </c>
      <c r="S149" s="41" t="str">
        <f>IFERROR((_xll.qlBlackFormula(IF(O149&lt;$C$4,"Put","Call"),O149+$C$14,$C$4,$C$9*SQRT($C$7))-
2*_xll.qlBlackFormula(IF(O149&lt;$C$4,"Put","Call"),O149,$C$4,$C$9*SQRT($C$7))+
_xll.qlBlackFormula(IF(O149&lt;$C$4,"Put","Call"),O149-$C$14,$C$4,$C$9*SQRT($C$7)))/$C$14^2,"")</f>
        <v/>
      </c>
      <c r="T149" s="42">
        <f>IFERROR((_xll.qlBlackFormula(IF(O149&lt;$C$4,"Put","Call"),O149+$C$14,$C$4,$C$10*SQRT($C$7),,$C$11)-
2*_xll.qlBlackFormula(IF(O149&lt;$C$4,"Put","Call"),O149,$C$4,$C$10*SQRT($C$7),,$C$11)+
_xll.qlBlackFormula(IF(O149&lt;$C$4,"Put","Call"),O149-$C$14,$C$4,$C$10*SQRT($C$7),,$C$11))/$C$14^2,"")</f>
        <v>24.870154546885459</v>
      </c>
      <c r="U149" s="43">
        <f>IFERROR((_xll.qlBachelierBlackFormula(IF(O149&lt;$C$4,"Put","Call"),O149+$C$14,$C$4,$C$12*SQRT($C$7))-
2*_xll.qlBachelierBlackFormula(IF(O149&lt;$C$4,"Put","Call"),O149,$C$4,$C$12*SQRT($C$7))+
_xll.qlBachelierBlackFormula(IF(O149&lt;$C$4,"Put","Call"),O149-$C$14,$C$4,$C$12*SQRT($C$7)))/$C$14^2,"")</f>
        <v>24.755431211886947</v>
      </c>
      <c r="V149" s="61" t="str">
        <f>IFERROR(_xll.qlBachelierBlackFormulaImpliedVol(IF(O149&lt;$C$4,"Put","Call"),O149,$C$4,$C$7,P149),"")</f>
        <v/>
      </c>
      <c r="W149" s="61">
        <f>IFERROR(_xll.qlBachelierBlackFormulaImpliedVol(IF(O149&lt;$C$4,"Put","Call"),O149,$C$4,$C$7,Q149),"")</f>
        <v>7.1765511704489707E-3</v>
      </c>
      <c r="X149" s="61">
        <f>IFERROR(_xll.qlBachelierBlackFormulaImpliedVol(IF(O149&lt;$C$4,"Put","Call"),O149,$C$4,$C$7,R149),"")</f>
        <v>7.2019999999999931E-3</v>
      </c>
      <c r="Y149" s="96">
        <f>_xll.qlSmileSectionVolatility($C$40,O149+$C$31)</f>
        <v>7.179613605132854E-3</v>
      </c>
    </row>
    <row r="150" spans="15:25">
      <c r="O150" s="37">
        <f t="shared" si="2"/>
        <v>4.4999999999999936E-3</v>
      </c>
      <c r="P150" s="38" t="str">
        <f>IFERROR(_xll.qlBlackFormula(IF(O150&lt;$C$4,"Put","Call"),O150,$C$4,$C$9*SQRT($C$7)),"")</f>
        <v/>
      </c>
      <c r="Q150" s="39">
        <f>IFERROR(_xll.qlBlackFormula(IF(O150&lt;$C$4,"Put","Call"),O150,$C$4,$C$10*SQRT($C$7),,$C$11),"")</f>
        <v>6.1588218615943255E-3</v>
      </c>
      <c r="R150" s="40">
        <f>IFERROR(_xll.qlBachelierBlackFormula(IF(O150&lt;$C$4,"Put","Call"),O150,$C$4,$C$12*SQRT($C$7)),"")</f>
        <v>6.1777272710805244E-3</v>
      </c>
      <c r="S150" s="41" t="str">
        <f>IFERROR((_xll.qlBlackFormula(IF(O150&lt;$C$4,"Put","Call"),O150+$C$14,$C$4,$C$9*SQRT($C$7))-
2*_xll.qlBlackFormula(IF(O150&lt;$C$4,"Put","Call"),O150,$C$4,$C$9*SQRT($C$7))+
_xll.qlBlackFormula(IF(O150&lt;$C$4,"Put","Call"),O150-$C$14,$C$4,$C$9*SQRT($C$7)))/$C$14^2,"")</f>
        <v/>
      </c>
      <c r="T150" s="42">
        <f>IFERROR((_xll.qlBlackFormula(IF(O150&lt;$C$4,"Put","Call"),O150+$C$14,$C$4,$C$10*SQRT($C$7),,$C$11)-
2*_xll.qlBlackFormula(IF(O150&lt;$C$4,"Put","Call"),O150,$C$4,$C$10*SQRT($C$7),,$C$11)+
_xll.qlBlackFormula(IF(O150&lt;$C$4,"Put","Call"),O150-$C$14,$C$4,$C$10*SQRT($C$7),,$C$11))/$C$14^2,"")</f>
        <v>24.83131755770529</v>
      </c>
      <c r="U150" s="43">
        <f>IFERROR((_xll.qlBachelierBlackFormula(IF(O150&lt;$C$4,"Put","Call"),O150+$C$14,$C$4,$C$12*SQRT($C$7))-
2*_xll.qlBachelierBlackFormula(IF(O150&lt;$C$4,"Put","Call"),O150,$C$4,$C$12*SQRT($C$7))+
_xll.qlBachelierBlackFormula(IF(O150&lt;$C$4,"Put","Call"),O150-$C$14,$C$4,$C$12*SQRT($C$7)))/$C$14^2,"")</f>
        <v>24.760683087210467</v>
      </c>
      <c r="V150" s="61" t="str">
        <f>IFERROR(_xll.qlBachelierBlackFormulaImpliedVol(IF(O150&lt;$C$4,"Put","Call"),O150,$C$4,$C$7,P150),"")</f>
        <v/>
      </c>
      <c r="W150" s="61">
        <f>IFERROR(_xll.qlBachelierBlackFormulaImpliedVol(IF(O150&lt;$C$4,"Put","Call"),O150,$C$4,$C$7,Q150),"")</f>
        <v>7.1807968218586711E-3</v>
      </c>
      <c r="X150" s="61">
        <f>IFERROR(_xll.qlBachelierBlackFormulaImpliedVol(IF(O150&lt;$C$4,"Put","Call"),O150,$C$4,$C$7,R150),"")</f>
        <v>7.2019999999999957E-3</v>
      </c>
      <c r="Y150" s="96">
        <f>_xll.qlSmileSectionVolatility($C$40,O150+$C$31)</f>
        <v>7.1838222238063956E-3</v>
      </c>
    </row>
    <row r="151" spans="15:25">
      <c r="O151" s="37">
        <f t="shared" si="2"/>
        <v>4.5999999999999939E-3</v>
      </c>
      <c r="P151" s="38" t="str">
        <f>IFERROR(_xll.qlBlackFormula(IF(O151&lt;$C$4,"Put","Call"),O151,$C$4,$C$9*SQRT($C$7)),"")</f>
        <v/>
      </c>
      <c r="Q151" s="39">
        <f>IFERROR(_xll.qlBlackFormula(IF(O151&lt;$C$4,"Put","Call"),O151,$C$4,$C$10*SQRT($C$7),,$C$11),"")</f>
        <v>6.2114886658646007E-3</v>
      </c>
      <c r="R151" s="40">
        <f>IFERROR(_xll.qlBachelierBlackFormula(IF(O151&lt;$C$4,"Put","Call"),O151,$C$4,$C$12*SQRT($C$7)),"")</f>
        <v>6.2266126500104641E-3</v>
      </c>
      <c r="S151" s="41" t="str">
        <f>IFERROR((_xll.qlBlackFormula(IF(O151&lt;$C$4,"Put","Call"),O151+$C$14,$C$4,$C$9*SQRT($C$7))-
2*_xll.qlBlackFormula(IF(O151&lt;$C$4,"Put","Call"),O151,$C$4,$C$9*SQRT($C$7))+
_xll.qlBlackFormula(IF(O151&lt;$C$4,"Put","Call"),O151-$C$14,$C$4,$C$9*SQRT($C$7)))/$C$14^2,"")</f>
        <v/>
      </c>
      <c r="T151" s="42">
        <f>IFERROR((_xll.qlBlackFormula(IF(O151&lt;$C$4,"Put","Call"),O151+$C$14,$C$4,$C$10*SQRT($C$7),,$C$11)-
2*_xll.qlBlackFormula(IF(O151&lt;$C$4,"Put","Call"),O151,$C$4,$C$10*SQRT($C$7),,$C$11)+
_xll.qlBlackFormula(IF(O151&lt;$C$4,"Put","Call"),O151-$C$14,$C$4,$C$10*SQRT($C$7),,$C$11))/$C$14^2,"")</f>
        <v>24.791627084574941</v>
      </c>
      <c r="U151" s="43">
        <f>IFERROR((_xll.qlBachelierBlackFormula(IF(O151&lt;$C$4,"Put","Call"),O151+$C$14,$C$4,$C$12*SQRT($C$7))-
2*_xll.qlBachelierBlackFormula(IF(O151&lt;$C$4,"Put","Call"),O151,$C$4,$C$12*SQRT($C$7))+
_xll.qlBachelierBlackFormula(IF(O151&lt;$C$4,"Put","Call"),O151-$C$14,$C$4,$C$12*SQRT($C$7)))/$C$14^2,"")</f>
        <v>24.764977395175247</v>
      </c>
      <c r="V151" s="61" t="str">
        <f>IFERROR(_xll.qlBachelierBlackFormulaImpliedVol(IF(O151&lt;$C$4,"Put","Call"),O151,$C$4,$C$7,P151),"")</f>
        <v/>
      </c>
      <c r="W151" s="61">
        <f>IFERROR(_xll.qlBachelierBlackFormulaImpliedVol(IF(O151&lt;$C$4,"Put","Call"),O151,$C$4,$C$7,Q151),"")</f>
        <v>7.1850407973886778E-3</v>
      </c>
      <c r="X151" s="61">
        <f>IFERROR(_xll.qlBachelierBlackFormulaImpliedVol(IF(O151&lt;$C$4,"Put","Call"),O151,$C$4,$C$7,R151),"")</f>
        <v>7.2019999999999905E-3</v>
      </c>
      <c r="Y151" s="96">
        <f>_xll.qlSmileSectionVolatility($C$40,O151+$C$31)</f>
        <v>7.1880548771666511E-3</v>
      </c>
    </row>
    <row r="152" spans="15:25">
      <c r="O152" s="37">
        <f t="shared" si="2"/>
        <v>4.6999999999999941E-3</v>
      </c>
      <c r="P152" s="38" t="str">
        <f>IFERROR(_xll.qlBlackFormula(IF(O152&lt;$C$4,"Put","Call"),O152,$C$4,$C$9*SQRT($C$7)),"")</f>
        <v/>
      </c>
      <c r="Q152" s="39">
        <f>IFERROR(_xll.qlBlackFormula(IF(O152&lt;$C$4,"Put","Call"),O152,$C$4,$C$10*SQRT($C$7),,$C$11),"")</f>
        <v>6.2644033856736267E-3</v>
      </c>
      <c r="R152" s="40">
        <f>IFERROR(_xll.qlBachelierBlackFormula(IF(O152&lt;$C$4,"Put","Call"),O152,$C$4,$C$12*SQRT($C$7)),"")</f>
        <v>6.2757456779439762E-3</v>
      </c>
      <c r="S152" s="41" t="str">
        <f>IFERROR((_xll.qlBlackFormula(IF(O152&lt;$C$4,"Put","Call"),O152+$C$14,$C$4,$C$9*SQRT($C$7))-
2*_xll.qlBlackFormula(IF(O152&lt;$C$4,"Put","Call"),O152,$C$4,$C$9*SQRT($C$7))+
_xll.qlBlackFormula(IF(O152&lt;$C$4,"Put","Call"),O152-$C$14,$C$4,$C$9*SQRT($C$7)))/$C$14^2,"")</f>
        <v/>
      </c>
      <c r="T152" s="42">
        <f>IFERROR((_xll.qlBlackFormula(IF(O152&lt;$C$4,"Put","Call"),O152+$C$14,$C$4,$C$10*SQRT($C$7),,$C$11)-
2*_xll.qlBlackFormula(IF(O152&lt;$C$4,"Put","Call"),O152,$C$4,$C$10*SQRT($C$7),,$C$11)+
_xll.qlBlackFormula(IF(O152&lt;$C$4,"Put","Call"),O152-$C$14,$C$4,$C$10*SQRT($C$7),,$C$11))/$C$14^2,"")</f>
        <v>24.751090066388315</v>
      </c>
      <c r="U152" s="43">
        <f>IFERROR((_xll.qlBachelierBlackFormula(IF(O152&lt;$C$4,"Put","Call"),O152+$C$14,$C$4,$C$12*SQRT($C$7))-
2*_xll.qlBachelierBlackFormula(IF(O152&lt;$C$4,"Put","Call"),O152,$C$4,$C$12*SQRT($C$7))+
_xll.qlBachelierBlackFormula(IF(O152&lt;$C$4,"Put","Call"),O152-$C$14,$C$4,$C$12*SQRT($C$7)))/$C$14^2,"")</f>
        <v>24.768322809398668</v>
      </c>
      <c r="V152" s="61" t="str">
        <f>IFERROR(_xll.qlBachelierBlackFormulaImpliedVol(IF(O152&lt;$C$4,"Put","Call"),O152,$C$4,$C$7,P152),"")</f>
        <v/>
      </c>
      <c r="W152" s="61">
        <f>IFERROR(_xll.qlBachelierBlackFormulaImpliedVol(IF(O152&lt;$C$4,"Put","Call"),O152,$C$4,$C$7,Q152),"")</f>
        <v>7.1892831000100379E-3</v>
      </c>
      <c r="X152" s="61">
        <f>IFERROR(_xll.qlBachelierBlackFormulaImpliedVol(IF(O152&lt;$C$4,"Put","Call"),O152,$C$4,$C$7,R152),"")</f>
        <v>7.2019999999999853E-3</v>
      </c>
      <c r="Y152" s="96">
        <f>_xll.qlSmileSectionVolatility($C$40,O152+$C$31)</f>
        <v>7.1923115344486961E-3</v>
      </c>
    </row>
    <row r="153" spans="15:25">
      <c r="O153" s="37">
        <f t="shared" si="2"/>
        <v>4.7999999999999944E-3</v>
      </c>
      <c r="P153" s="38" t="str">
        <f>IFERROR(_xll.qlBlackFormula(IF(O153&lt;$C$4,"Put","Call"),O153,$C$4,$C$9*SQRT($C$7)),"")</f>
        <v/>
      </c>
      <c r="Q153" s="39">
        <f>IFERROR(_xll.qlBlackFormula(IF(O153&lt;$C$4,"Put","Call"),O153,$C$4,$C$10*SQRT($C$7),,$C$11),"")</f>
        <v>6.3175656156175125E-3</v>
      </c>
      <c r="R153" s="40">
        <f>IFERROR(_xll.qlBachelierBlackFormula(IF(O153&lt;$C$4,"Put","Call"),O153,$C$4,$C$12*SQRT($C$7)),"")</f>
        <v>6.3251263883047941E-3</v>
      </c>
      <c r="S153" s="41" t="str">
        <f>IFERROR((_xll.qlBlackFormula(IF(O153&lt;$C$4,"Put","Call"),O153+$C$14,$C$4,$C$9*SQRT($C$7))-
2*_xll.qlBlackFormula(IF(O153&lt;$C$4,"Put","Call"),O153,$C$4,$C$9*SQRT($C$7))+
_xll.qlBlackFormula(IF(O153&lt;$C$4,"Put","Call"),O153-$C$14,$C$4,$C$9*SQRT($C$7)))/$C$14^2,"")</f>
        <v/>
      </c>
      <c r="T153" s="42">
        <f>IFERROR((_xll.qlBlackFormula(IF(O153&lt;$C$4,"Put","Call"),O153+$C$14,$C$4,$C$10*SQRT($C$7),,$C$11)-
2*_xll.qlBlackFormula(IF(O153&lt;$C$4,"Put","Call"),O153,$C$4,$C$10*SQRT($C$7),,$C$11)+
_xll.qlBlackFormula(IF(O153&lt;$C$4,"Put","Call"),O153-$C$14,$C$4,$C$10*SQRT($C$7),,$C$11))/$C$14^2,"")</f>
        <v>24.709692625357604</v>
      </c>
      <c r="U153" s="43">
        <f>IFERROR((_xll.qlBachelierBlackFormula(IF(O153&lt;$C$4,"Put","Call"),O153+$C$14,$C$4,$C$12*SQRT($C$7))-
2*_xll.qlBachelierBlackFormula(IF(O153&lt;$C$4,"Put","Call"),O153,$C$4,$C$12*SQRT($C$7))+
_xll.qlBachelierBlackFormula(IF(O153&lt;$C$4,"Put","Call"),O153-$C$14,$C$4,$C$12*SQRT($C$7)))/$C$14^2,"")</f>
        <v>24.770710656263351</v>
      </c>
      <c r="V153" s="61" t="str">
        <f>IFERROR(_xll.qlBachelierBlackFormulaImpliedVol(IF(O153&lt;$C$4,"Put","Call"),O153,$C$4,$C$7,P153),"")</f>
        <v/>
      </c>
      <c r="W153" s="61">
        <f>IFERROR(_xll.qlBachelierBlackFormulaImpliedVol(IF(O153&lt;$C$4,"Put","Call"),O153,$C$4,$C$7,Q153),"")</f>
        <v>7.1935237326849685E-3</v>
      </c>
      <c r="X153" s="61">
        <f>IFERROR(_xll.qlBachelierBlackFormulaImpliedVol(IF(O153&lt;$C$4,"Put","Call"),O153,$C$4,$C$7,R153),"")</f>
        <v>7.2019999999999871E-3</v>
      </c>
      <c r="Y153" s="96">
        <f>_xll.qlSmileSectionVolatility($C$40,O153+$C$31)</f>
        <v>7.1965921639197492E-3</v>
      </c>
    </row>
    <row r="154" spans="15:25">
      <c r="O154" s="37">
        <f t="shared" si="2"/>
        <v>4.8999999999999946E-3</v>
      </c>
      <c r="P154" s="38" t="str">
        <f>IFERROR(_xll.qlBlackFormula(IF(O154&lt;$C$4,"Put","Call"),O154,$C$4,$C$9*SQRT($C$7)),"")</f>
        <v/>
      </c>
      <c r="Q154" s="39">
        <f>IFERROR(_xll.qlBlackFormula(IF(O154&lt;$C$4,"Put","Call"),O154,$C$4,$C$10*SQRT($C$7),,$C$11),"")</f>
        <v>6.3709749418712838E-3</v>
      </c>
      <c r="R154" s="40">
        <f>IFERROR(_xll.qlBachelierBlackFormula(IF(O154&lt;$C$4,"Put","Call"),O154,$C$4,$C$12*SQRT($C$7)),"")</f>
        <v>6.3747548049697704E-3</v>
      </c>
      <c r="S154" s="41" t="str">
        <f>IFERROR((_xll.qlBlackFormula(IF(O154&lt;$C$4,"Put","Call"),O154+$C$14,$C$4,$C$9*SQRT($C$7))-
2*_xll.qlBlackFormula(IF(O154&lt;$C$4,"Put","Call"),O154,$C$4,$C$9*SQRT($C$7))+
_xll.qlBlackFormula(IF(O154&lt;$C$4,"Put","Call"),O154-$C$14,$C$4,$C$9*SQRT($C$7)))/$C$14^2,"")</f>
        <v/>
      </c>
      <c r="T154" s="42">
        <f>IFERROR((_xll.qlBlackFormula(IF(O154&lt;$C$4,"Put","Call"),O154+$C$14,$C$4,$C$10*SQRT($C$7),,$C$11)-
2*_xll.qlBlackFormula(IF(O154&lt;$C$4,"Put","Call"),O154,$C$4,$C$10*SQRT($C$7),,$C$11)+
_xll.qlBlackFormula(IF(O154&lt;$C$4,"Put","Call"),O154-$C$14,$C$4,$C$10*SQRT($C$7),,$C$11))/$C$14^2,"")</f>
        <v>24.667490272634041</v>
      </c>
      <c r="U154" s="43">
        <f>IFERROR((_xll.qlBachelierBlackFormula(IF(O154&lt;$C$4,"Put","Call"),O154+$C$14,$C$4,$C$12*SQRT($C$7))-
2*_xll.qlBachelierBlackFormula(IF(O154&lt;$C$4,"Put","Call"),O154,$C$4,$C$12*SQRT($C$7))+
_xll.qlBachelierBlackFormula(IF(O154&lt;$C$4,"Put","Call"),O154-$C$14,$C$4,$C$12*SQRT($C$7)))/$C$14^2,"")</f>
        <v>24.772141803131031</v>
      </c>
      <c r="V154" s="61" t="str">
        <f>IFERROR(_xll.qlBachelierBlackFormulaImpliedVol(IF(O154&lt;$C$4,"Put","Call"),O154,$C$4,$C$7,P154),"")</f>
        <v/>
      </c>
      <c r="W154" s="61">
        <f>IFERROR(_xll.qlBachelierBlackFormulaImpliedVol(IF(O154&lt;$C$4,"Put","Call"),O154,$C$4,$C$7,Q154),"")</f>
        <v>7.1977626983667628E-3</v>
      </c>
      <c r="X154" s="61">
        <f>IFERROR(_xll.qlBachelierBlackFormulaImpliedVol(IF(O154&lt;$C$4,"Put","Call"),O154,$C$4,$C$7,R154),"")</f>
        <v>7.2019999999999862E-3</v>
      </c>
      <c r="Y154" s="96">
        <f>_xll.qlSmileSectionVolatility($C$40,O154+$C$31)</f>
        <v>7.2008967328859594E-3</v>
      </c>
    </row>
    <row r="155" spans="15:25">
      <c r="O155" s="37">
        <f t="shared" si="2"/>
        <v>4.9999999999999949E-3</v>
      </c>
      <c r="P155" s="38" t="str">
        <f>IFERROR(_xll.qlBlackFormula(IF(O155&lt;$C$4,"Put","Call"),O155,$C$4,$C$9*SQRT($C$7)),"")</f>
        <v/>
      </c>
      <c r="Q155" s="39">
        <f>IFERROR(_xll.qlBlackFormula(IF(O155&lt;$C$4,"Put","Call"),O155,$C$4,$C$10*SQRT($C$7),,$C$11),"")</f>
        <v>6.424630942266113E-3</v>
      </c>
      <c r="R155" s="40">
        <f>IFERROR(_xll.qlBachelierBlackFormula(IF(O155&lt;$C$4,"Put","Call"),O155,$C$4,$C$12*SQRT($C$7)),"")</f>
        <v>6.4246309422661208E-3</v>
      </c>
      <c r="S155" s="41" t="str">
        <f>IFERROR((_xll.qlBlackFormula(IF(O155&lt;$C$4,"Put","Call"),O155+$C$14,$C$4,$C$9*SQRT($C$7))-
2*_xll.qlBlackFormula(IF(O155&lt;$C$4,"Put","Call"),O155,$C$4,$C$9*SQRT($C$7))+
_xll.qlBlackFormula(IF(O155&lt;$C$4,"Put","Call"),O155-$C$14,$C$4,$C$9*SQRT($C$7)))/$C$14^2,"")</f>
        <v/>
      </c>
      <c r="T155" s="42">
        <f>IFERROR((_xll.qlBlackFormula(IF(O155&lt;$C$4,"Put","Call"),O155+$C$14,$C$4,$C$10*SQRT($C$7),,$C$11)-
2*_xll.qlBlackFormula(IF(O155&lt;$C$4,"Put","Call"),O155,$C$4,$C$10*SQRT($C$7),,$C$11)+
_xll.qlBlackFormula(IF(O155&lt;$C$4,"Put","Call"),O155-$C$14,$C$4,$C$10*SQRT($C$7),,$C$11))/$C$14^2,"")</f>
        <v>24.6244413748542</v>
      </c>
      <c r="U155" s="43">
        <f>IFERROR((_xll.qlBachelierBlackFormula(IF(O155&lt;$C$4,"Put","Call"),O155+$C$14,$C$4,$C$12*SQRT($C$7))-
2*_xll.qlBachelierBlackFormula(IF(O155&lt;$C$4,"Put","Call"),O155,$C$4,$C$12*SQRT($C$7))+
_xll.qlBachelierBlackFormula(IF(O155&lt;$C$4,"Put","Call"),O155-$C$14,$C$4,$C$12*SQRT($C$7)))/$C$14^2,"")</f>
        <v>24.772618852086925</v>
      </c>
      <c r="V155" s="61" t="str">
        <f>IFERROR(_xll.qlBachelierBlackFormulaImpliedVol(IF(O155&lt;$C$4,"Put","Call"),O155,$C$4,$C$7,P155),"")</f>
        <v/>
      </c>
      <c r="W155" s="61">
        <f>IFERROR(_xll.qlBachelierBlackFormulaImpliedVol(IF(O155&lt;$C$4,"Put","Call"),O155,$C$4,$C$7,Q155),"")</f>
        <v>7.2019999999999784E-3</v>
      </c>
      <c r="X155" s="61">
        <f>IFERROR(_xll.qlBachelierBlackFormulaImpliedVol(IF(O155&lt;$C$4,"Put","Call"),O155,$C$4,$C$7,R155),"")</f>
        <v>7.2019999999999871E-3</v>
      </c>
      <c r="Y155" s="96">
        <f>_xll.qlSmileSectionVolatility($C$40,O155+$C$31)</f>
        <v>7.2052252077037977E-3</v>
      </c>
    </row>
    <row r="156" spans="15:25">
      <c r="O156" s="37">
        <f t="shared" si="2"/>
        <v>5.0999999999999952E-3</v>
      </c>
      <c r="P156" s="38" t="str">
        <f>IFERROR(_xll.qlBlackFormula(IF(O156&lt;$C$4,"Put","Call"),O156,$C$4,$C$9*SQRT($C$7)),"")</f>
        <v/>
      </c>
      <c r="Q156" s="39">
        <f>IFERROR(_xll.qlBlackFormula(IF(O156&lt;$C$4,"Put","Call"),O156,$C$4,$C$10*SQRT($C$7),,$C$11),"")</f>
        <v>6.3785331863668027E-3</v>
      </c>
      <c r="R156" s="40">
        <f>IFERROR(_xll.qlBachelierBlackFormula(IF(O156&lt;$C$4,"Put","Call"),O156,$C$4,$C$12*SQRT($C$7)),"")</f>
        <v>6.3747548049697756E-3</v>
      </c>
      <c r="S156" s="41" t="str">
        <f>IFERROR((_xll.qlBlackFormula(IF(O156&lt;$C$4,"Put","Call"),O156+$C$14,$C$4,$C$9*SQRT($C$7))-
2*_xll.qlBlackFormula(IF(O156&lt;$C$4,"Put","Call"),O156,$C$4,$C$9*SQRT($C$7))+
_xll.qlBlackFormula(IF(O156&lt;$C$4,"Put","Call"),O156-$C$14,$C$4,$C$9*SQRT($C$7)))/$C$14^2,"")</f>
        <v/>
      </c>
      <c r="T156" s="42">
        <f>IFERROR((_xll.qlBlackFormula(IF(O156&lt;$C$4,"Put","Call"),O156+$C$14,$C$4,$C$10*SQRT($C$7),,$C$11)-
2*_xll.qlBlackFormula(IF(O156&lt;$C$4,"Put","Call"),O156,$C$4,$C$10*SQRT($C$7),,$C$11)+
_xll.qlBlackFormula(IF(O156&lt;$C$4,"Put","Call"),O156-$C$14,$C$4,$C$10*SQRT($C$7),,$C$11))/$C$14^2,"")</f>
        <v>24.580573687593699</v>
      </c>
      <c r="U156" s="43">
        <f>IFERROR((_xll.qlBachelierBlackFormula(IF(O156&lt;$C$4,"Put","Call"),O156+$C$14,$C$4,$C$12*SQRT($C$7))-
2*_xll.qlBachelierBlackFormula(IF(O156&lt;$C$4,"Put","Call"),O156,$C$4,$C$12*SQRT($C$7))+
_xll.qlBachelierBlackFormula(IF(O156&lt;$C$4,"Put","Call"),O156-$C$14,$C$4,$C$12*SQRT($C$7)))/$C$14^2,"")</f>
        <v>24.772141803131031</v>
      </c>
      <c r="V156" s="61" t="str">
        <f>IFERROR(_xll.qlBachelierBlackFormulaImpliedVol(IF(O156&lt;$C$4,"Put","Call"),O156,$C$4,$C$7,P156),"")</f>
        <v/>
      </c>
      <c r="W156" s="61">
        <f>IFERROR(_xll.qlBachelierBlackFormulaImpliedVol(IF(O156&lt;$C$4,"Put","Call"),O156,$C$4,$C$7,Q156),"")</f>
        <v>7.206235640520366E-3</v>
      </c>
      <c r="X156" s="61">
        <f>IFERROR(_xll.qlBachelierBlackFormulaImpliedVol(IF(O156&lt;$C$4,"Put","Call"),O156,$C$4,$C$7,R156),"")</f>
        <v>7.2019999999999871E-3</v>
      </c>
      <c r="Y156" s="96">
        <f>_xll.qlSmileSectionVolatility($C$40,O156+$C$31)</f>
        <v>7.2095775537823524E-3</v>
      </c>
    </row>
    <row r="157" spans="15:25">
      <c r="O157" s="37">
        <f t="shared" si="2"/>
        <v>5.1999999999999954E-3</v>
      </c>
      <c r="P157" s="38" t="str">
        <f>IFERROR(_xll.qlBlackFormula(IF(O157&lt;$C$4,"Put","Call"),O157,$C$4,$C$9*SQRT($C$7)),"")</f>
        <v/>
      </c>
      <c r="Q157" s="39">
        <f>IFERROR(_xll.qlBlackFormula(IF(O157&lt;$C$4,"Put","Call"),O157,$C$4,$C$10*SQRT($C$7),,$C$11),"")</f>
        <v>6.3326812355498155E-3</v>
      </c>
      <c r="R157" s="40">
        <f>IFERROR(_xll.qlBachelierBlackFormula(IF(O157&lt;$C$4,"Put","Call"),O157,$C$4,$C$12*SQRT($C$7)),"")</f>
        <v>6.3251263883047993E-3</v>
      </c>
      <c r="S157" s="41" t="str">
        <f>IFERROR((_xll.qlBlackFormula(IF(O157&lt;$C$4,"Put","Call"),O157+$C$14,$C$4,$C$9*SQRT($C$7))-
2*_xll.qlBlackFormula(IF(O157&lt;$C$4,"Put","Call"),O157,$C$4,$C$9*SQRT($C$7))+
_xll.qlBlackFormula(IF(O157&lt;$C$4,"Put","Call"),O157-$C$14,$C$4,$C$9*SQRT($C$7)))/$C$14^2,"")</f>
        <v/>
      </c>
      <c r="T157" s="42">
        <f>IFERROR((_xll.qlBlackFormula(IF(O157&lt;$C$4,"Put","Call"),O157+$C$14,$C$4,$C$10*SQRT($C$7),,$C$11)-
2*_xll.qlBlackFormula(IF(O157&lt;$C$4,"Put","Call"),O157,$C$4,$C$10*SQRT($C$7),,$C$11)+
_xll.qlBlackFormula(IF(O157&lt;$C$4,"Put","Call"),O157-$C$14,$C$4,$C$10*SQRT($C$7),,$C$11))/$C$14^2,"")</f>
        <v>24.535901088640344</v>
      </c>
      <c r="U157" s="43">
        <f>IFERROR((_xll.qlBachelierBlackFormula(IF(O157&lt;$C$4,"Put","Call"),O157+$C$14,$C$4,$C$12*SQRT($C$7))-
2*_xll.qlBachelierBlackFormula(IF(O157&lt;$C$4,"Put","Call"),O157,$C$4,$C$12*SQRT($C$7))+
_xll.qlBachelierBlackFormula(IF(O157&lt;$C$4,"Put","Call"),O157-$C$14,$C$4,$C$12*SQRT($C$7)))/$C$14^2,"")</f>
        <v>24.770711523625089</v>
      </c>
      <c r="V157" s="61" t="str">
        <f>IFERROR(_xll.qlBachelierBlackFormulaImpliedVol(IF(O157&lt;$C$4,"Put","Call"),O157,$C$4,$C$7,P157),"")</f>
        <v/>
      </c>
      <c r="W157" s="61">
        <f>IFERROR(_xll.qlBachelierBlackFormulaImpliedVol(IF(O157&lt;$C$4,"Put","Call"),O157,$C$4,$C$7,Q157),"")</f>
        <v>7.2104696228549202E-3</v>
      </c>
      <c r="X157" s="61">
        <f>IFERROR(_xll.qlBachelierBlackFormulaImpliedVol(IF(O157&lt;$C$4,"Put","Call"),O157,$C$4,$C$7,R157),"")</f>
        <v>7.2019999999999862E-3</v>
      </c>
      <c r="Y157" s="96">
        <f>_xll.qlSmileSectionVolatility($C$40,O157+$C$31)</f>
        <v>7.2139537355931189E-3</v>
      </c>
    </row>
    <row r="158" spans="15:25">
      <c r="O158" s="37">
        <f t="shared" si="2"/>
        <v>5.2999999999999957E-3</v>
      </c>
      <c r="P158" s="38" t="str">
        <f>IFERROR(_xll.qlBlackFormula(IF(O158&lt;$C$4,"Put","Call"),O158,$C$4,$C$9*SQRT($C$7)),"")</f>
        <v/>
      </c>
      <c r="Q158" s="39">
        <f>IFERROR(_xll.qlBlackFormula(IF(O158&lt;$C$4,"Put","Call"),O158,$C$4,$C$10*SQRT($C$7),,$C$11),"")</f>
        <v>6.2870746430818344E-3</v>
      </c>
      <c r="R158" s="40">
        <f>IFERROR(_xll.qlBachelierBlackFormula(IF(O158&lt;$C$4,"Put","Call"),O158,$C$4,$C$12*SQRT($C$7)),"")</f>
        <v>6.2757456779439823E-3</v>
      </c>
      <c r="S158" s="41" t="str">
        <f>IFERROR((_xll.qlBlackFormula(IF(O158&lt;$C$4,"Put","Call"),O158+$C$14,$C$4,$C$9*SQRT($C$7))-
2*_xll.qlBlackFormula(IF(O158&lt;$C$4,"Put","Call"),O158,$C$4,$C$9*SQRT($C$7))+
_xll.qlBlackFormula(IF(O158&lt;$C$4,"Put","Call"),O158-$C$14,$C$4,$C$9*SQRT($C$7)))/$C$14^2,"")</f>
        <v/>
      </c>
      <c r="T158" s="42">
        <f>IFERROR((_xll.qlBlackFormula(IF(O158&lt;$C$4,"Put","Call"),O158+$C$14,$C$4,$C$10*SQRT($C$7),,$C$11)-
2*_xll.qlBlackFormula(IF(O158&lt;$C$4,"Put","Call"),O158,$C$4,$C$10*SQRT($C$7),,$C$11)+
_xll.qlBlackFormula(IF(O158&lt;$C$4,"Put","Call"),O158-$C$14,$C$4,$C$10*SQRT($C$7),,$C$11))/$C$14^2,"")</f>
        <v>24.490437455781944</v>
      </c>
      <c r="U158" s="43">
        <f>IFERROR((_xll.qlBachelierBlackFormula(IF(O158&lt;$C$4,"Put","Call"),O158+$C$14,$C$4,$C$12*SQRT($C$7))-
2*_xll.qlBachelierBlackFormula(IF(O158&lt;$C$4,"Put","Call"),O158,$C$4,$C$12*SQRT($C$7))+
_xll.qlBachelierBlackFormula(IF(O158&lt;$C$4,"Put","Call"),O158-$C$14,$C$4,$C$12*SQRT($C$7)))/$C$14^2,"")</f>
        <v>24.768321074675193</v>
      </c>
      <c r="V158" s="61" t="str">
        <f>IFERROR(_xll.qlBachelierBlackFormulaImpliedVol(IF(O158&lt;$C$4,"Put","Call"),O158,$C$4,$C$7,P158),"")</f>
        <v/>
      </c>
      <c r="W158" s="61">
        <f>IFERROR(_xll.qlBachelierBlackFormulaImpliedVol(IF(O158&lt;$C$4,"Put","Call"),O158,$C$4,$C$7,Q158),"")</f>
        <v>7.2147019499219662E-3</v>
      </c>
      <c r="X158" s="61">
        <f>IFERROR(_xll.qlBachelierBlackFormulaImpliedVol(IF(O158&lt;$C$4,"Put","Call"),O158,$C$4,$C$7,R158),"")</f>
        <v>7.2019999999999923E-3</v>
      </c>
      <c r="Y158" s="96">
        <f>_xll.qlSmileSectionVolatility($C$40,O158+$C$31)</f>
        <v>7.2183537166851403E-3</v>
      </c>
    </row>
    <row r="159" spans="15:25">
      <c r="O159" s="37">
        <f t="shared" si="2"/>
        <v>5.3999999999999959E-3</v>
      </c>
      <c r="P159" s="38" t="str">
        <f>IFERROR(_xll.qlBlackFormula(IF(O159&lt;$C$4,"Put","Call"),O159,$C$4,$C$9*SQRT($C$7)),"")</f>
        <v/>
      </c>
      <c r="Q159" s="39">
        <f>IFERROR(_xll.qlBlackFormula(IF(O159&lt;$C$4,"Put","Call"),O159,$C$4,$C$10*SQRT($C$7),,$C$11),"")</f>
        <v>6.2417129541986194E-3</v>
      </c>
      <c r="R159" s="40">
        <f>IFERROR(_xll.qlBachelierBlackFormula(IF(O159&lt;$C$4,"Put","Call"),O159,$C$4,$C$12*SQRT($C$7)),"")</f>
        <v>6.2266126500104685E-3</v>
      </c>
      <c r="S159" s="41" t="str">
        <f>IFERROR((_xll.qlBlackFormula(IF(O159&lt;$C$4,"Put","Call"),O159+$C$14,$C$4,$C$9*SQRT($C$7))-
2*_xll.qlBlackFormula(IF(O159&lt;$C$4,"Put","Call"),O159,$C$4,$C$9*SQRT($C$7))+
_xll.qlBlackFormula(IF(O159&lt;$C$4,"Put","Call"),O159-$C$14,$C$4,$C$9*SQRT($C$7)))/$C$14^2,"")</f>
        <v/>
      </c>
      <c r="T159" s="42">
        <f>IFERROR((_xll.qlBlackFormula(IF(O159&lt;$C$4,"Put","Call"),O159+$C$14,$C$4,$C$10*SQRT($C$7),,$C$11)-
2*_xll.qlBlackFormula(IF(O159&lt;$C$4,"Put","Call"),O159,$C$4,$C$10*SQRT($C$7),,$C$11)+
_xll.qlBlackFormula(IF(O159&lt;$C$4,"Put","Call"),O159-$C$14,$C$4,$C$10*SQRT($C$7),,$C$11))/$C$14^2,"")</f>
        <v>24.444148094548979</v>
      </c>
      <c r="U159" s="43">
        <f>IFERROR((_xll.qlBachelierBlackFormula(IF(O159&lt;$C$4,"Put","Call"),O159+$C$14,$C$4,$C$12*SQRT($C$7))-
2*_xll.qlBachelierBlackFormula(IF(O159&lt;$C$4,"Put","Call"),O159,$C$4,$C$12*SQRT($C$7))+
_xll.qlBachelierBlackFormula(IF(O159&lt;$C$4,"Put","Call"),O159-$C$14,$C$4,$C$12*SQRT($C$7)))/$C$14^2,"")</f>
        <v>24.764979129898723</v>
      </c>
      <c r="V159" s="61" t="str">
        <f>IFERROR(_xll.qlBachelierBlackFormulaImpliedVol(IF(O159&lt;$C$4,"Put","Call"),O159,$C$4,$C$7,P159),"")</f>
        <v/>
      </c>
      <c r="W159" s="61">
        <f>IFERROR(_xll.qlBachelierBlackFormulaImpliedVol(IF(O159&lt;$C$4,"Put","Call"),O159,$C$4,$C$7,Q159),"")</f>
        <v>7.2189326246311688E-3</v>
      </c>
      <c r="X159" s="61">
        <f>IFERROR(_xll.qlBachelierBlackFormulaImpliedVol(IF(O159&lt;$C$4,"Put","Call"),O159,$C$4,$C$7,R159),"")</f>
        <v>7.2019999999999897E-3</v>
      </c>
      <c r="Y159" s="96">
        <f>_xll.qlSmileSectionVolatility($C$40,O159+$C$31)</f>
        <v>7.2227774596836797E-3</v>
      </c>
    </row>
    <row r="160" spans="15:25">
      <c r="O160" s="37">
        <f t="shared" si="2"/>
        <v>5.4999999999999962E-3</v>
      </c>
      <c r="P160" s="38" t="str">
        <f>IFERROR(_xll.qlBlackFormula(IF(O160&lt;$C$4,"Put","Call"),O160,$C$4,$C$9*SQRT($C$7)),"")</f>
        <v/>
      </c>
      <c r="Q160" s="39">
        <f>IFERROR(_xll.qlBlackFormula(IF(O160&lt;$C$4,"Put","Call"),O160,$C$4,$C$10*SQRT($C$7),,$C$11),"")</f>
        <v>6.1965957061843185E-3</v>
      </c>
      <c r="R160" s="40">
        <f>IFERROR(_xll.qlBachelierBlackFormula(IF(O160&lt;$C$4,"Put","Call"),O160,$C$4,$C$12*SQRT($C$7)),"")</f>
        <v>6.1777272710805287E-3</v>
      </c>
      <c r="S160" s="41" t="str">
        <f>IFERROR((_xll.qlBlackFormula(IF(O160&lt;$C$4,"Put","Call"),O160+$C$14,$C$4,$C$9*SQRT($C$7))-
2*_xll.qlBlackFormula(IF(O160&lt;$C$4,"Put","Call"),O160,$C$4,$C$9*SQRT($C$7))+
_xll.qlBlackFormula(IF(O160&lt;$C$4,"Put","Call"),O160-$C$14,$C$4,$C$9*SQRT($C$7)))/$C$14^2,"")</f>
        <v/>
      </c>
      <c r="T160" s="42">
        <f>IFERROR((_xll.qlBlackFormula(IF(O160&lt;$C$4,"Put","Call"),O160+$C$14,$C$4,$C$10*SQRT($C$7),,$C$11)-
2*_xll.qlBlackFormula(IF(O160&lt;$C$4,"Put","Call"),O160,$C$4,$C$10*SQRT($C$7),,$C$11)+
_xll.qlBlackFormula(IF(O160&lt;$C$4,"Put","Call"),O160-$C$14,$C$4,$C$10*SQRT($C$7),,$C$11))/$C$14^2,"")</f>
        <v>24.39708851609268</v>
      </c>
      <c r="U160" s="43">
        <f>IFERROR((_xll.qlBachelierBlackFormula(IF(O160&lt;$C$4,"Put","Call"),O160+$C$14,$C$4,$C$12*SQRT($C$7))-
2*_xll.qlBachelierBlackFormula(IF(O160&lt;$C$4,"Put","Call"),O160,$C$4,$C$12*SQRT($C$7))+
_xll.qlBachelierBlackFormula(IF(O160&lt;$C$4,"Put","Call"),O160-$C$14,$C$4,$C$12*SQRT($C$7)))/$C$14^2,"")</f>
        <v>24.760683954572205</v>
      </c>
      <c r="V160" s="61" t="str">
        <f>IFERROR(_xll.qlBachelierBlackFormulaImpliedVol(IF(O160&lt;$C$4,"Put","Call"),O160,$C$4,$C$7,P160),"")</f>
        <v/>
      </c>
      <c r="W160" s="61">
        <f>IFERROR(_xll.qlBachelierBlackFormulaImpliedVol(IF(O160&lt;$C$4,"Put","Call"),O160,$C$4,$C$7,Q160),"")</f>
        <v>7.2231616498835338E-3</v>
      </c>
      <c r="X160" s="61">
        <f>IFERROR(_xll.qlBachelierBlackFormulaImpliedVol(IF(O160&lt;$C$4,"Put","Call"),O160,$C$4,$C$7,R160),"")</f>
        <v>7.2019999999999957E-3</v>
      </c>
      <c r="Y160" s="96">
        <f>_xll.qlSmileSectionVolatility($C$40,O160+$C$31)</f>
        <v>7.2272249263034619E-3</v>
      </c>
    </row>
    <row r="161" spans="15:25">
      <c r="O161" s="37">
        <f t="shared" si="2"/>
        <v>5.5999999999999965E-3</v>
      </c>
      <c r="P161" s="38" t="str">
        <f>IFERROR(_xll.qlBlackFormula(IF(O161&lt;$C$4,"Put","Call"),O161,$C$4,$C$9*SQRT($C$7)),"")</f>
        <v/>
      </c>
      <c r="Q161" s="39">
        <f>IFERROR(_xll.qlBlackFormula(IF(O161&lt;$C$4,"Put","Call"),O161,$C$4,$C$10*SQRT($C$7),,$C$11),"")</f>
        <v>6.1517224284512034E-3</v>
      </c>
      <c r="R161" s="40">
        <f>IFERROR(_xll.qlBachelierBlackFormula(IF(O161&lt;$C$4,"Put","Call"),O161,$C$4,$C$12*SQRT($C$7)),"")</f>
        <v>6.1290894981874252E-3</v>
      </c>
      <c r="S161" s="41" t="str">
        <f>IFERROR((_xll.qlBlackFormula(IF(O161&lt;$C$4,"Put","Call"),O161+$C$14,$C$4,$C$9*SQRT($C$7))-
2*_xll.qlBlackFormula(IF(O161&lt;$C$4,"Put","Call"),O161,$C$4,$C$9*SQRT($C$7))+
_xll.qlBlackFormula(IF(O161&lt;$C$4,"Put","Call"),O161-$C$14,$C$4,$C$9*SQRT($C$7)))/$C$14^2,"")</f>
        <v/>
      </c>
      <c r="T161" s="42">
        <f>IFERROR((_xll.qlBlackFormula(IF(O161&lt;$C$4,"Put","Call"),O161+$C$14,$C$4,$C$10*SQRT($C$7),,$C$11)-
2*_xll.qlBlackFormula(IF(O161&lt;$C$4,"Put","Call"),O161,$C$4,$C$10*SQRT($C$7),,$C$11)+
_xll.qlBlackFormula(IF(O161&lt;$C$4,"Put","Call"),O161-$C$14,$C$4,$C$10*SQRT($C$7),,$C$11))/$C$14^2,"")</f>
        <v>24.349258720413047</v>
      </c>
      <c r="U161" s="43">
        <f>IFERROR((_xll.qlBachelierBlackFormula(IF(O161&lt;$C$4,"Put","Call"),O161+$C$14,$C$4,$C$12*SQRT($C$7))-
2*_xll.qlBachelierBlackFormula(IF(O161&lt;$C$4,"Put","Call"),O161,$C$4,$C$12*SQRT($C$7))+
_xll.qlBachelierBlackFormula(IF(O161&lt;$C$4,"Put","Call"),O161-$C$14,$C$4,$C$12*SQRT($C$7)))/$C$14^2,"")</f>
        <v>24.755433813972161</v>
      </c>
      <c r="V161" s="61" t="str">
        <f>IFERROR(_xll.qlBachelierBlackFormulaImpliedVol(IF(O161&lt;$C$4,"Put","Call"),O161,$C$4,$C$7,P161),"")</f>
        <v/>
      </c>
      <c r="W161" s="61">
        <f>IFERROR(_xll.qlBachelierBlackFormulaImpliedVol(IF(O161&lt;$C$4,"Put","Call"),O161,$C$4,$C$7,Q161),"")</f>
        <v>7.2273890285714914E-3</v>
      </c>
      <c r="X161" s="61">
        <f>IFERROR(_xll.qlBachelierBlackFormulaImpliedVol(IF(O161&lt;$C$4,"Put","Call"),O161,$C$4,$C$7,R161),"")</f>
        <v>7.2019999999999923E-3</v>
      </c>
      <c r="Y161" s="96">
        <f>_xll.qlSmileSectionVolatility($C$40,O161+$C$31)</f>
        <v>7.2316960773565978E-3</v>
      </c>
    </row>
    <row r="162" spans="15:25">
      <c r="O162" s="37">
        <f t="shared" si="2"/>
        <v>5.6999999999999967E-3</v>
      </c>
      <c r="P162" s="38" t="str">
        <f>IFERROR(_xll.qlBlackFormula(IF(O162&lt;$C$4,"Put","Call"),O162,$C$4,$C$9*SQRT($C$7)),"")</f>
        <v/>
      </c>
      <c r="Q162" s="39">
        <f>IFERROR(_xll.qlBlackFormula(IF(O162&lt;$C$4,"Put","Call"),O162,$C$4,$C$10*SQRT($C$7),,$C$11),"")</f>
        <v>6.1070926426197714E-3</v>
      </c>
      <c r="R162" s="40">
        <f>IFERROR(_xll.qlBachelierBlackFormula(IF(O162&lt;$C$4,"Put","Call"),O162,$C$4,$C$12*SQRT($C$7)),"")</f>
        <v>6.0806992788263788E-3</v>
      </c>
      <c r="S162" s="41" t="str">
        <f>IFERROR((_xll.qlBlackFormula(IF(O162&lt;$C$4,"Put","Call"),O162+$C$14,$C$4,$C$9*SQRT($C$7))-
2*_xll.qlBlackFormula(IF(O162&lt;$C$4,"Put","Call"),O162,$C$4,$C$9*SQRT($C$7))+
_xll.qlBlackFormula(IF(O162&lt;$C$4,"Put","Call"),O162-$C$14,$C$4,$C$9*SQRT($C$7)))/$C$14^2,"")</f>
        <v/>
      </c>
      <c r="T162" s="42">
        <f>IFERROR((_xll.qlBlackFormula(IF(O162&lt;$C$4,"Put","Call"),O162+$C$14,$C$4,$C$10*SQRT($C$7),,$C$11)-
2*_xll.qlBlackFormula(IF(O162&lt;$C$4,"Put","Call"),O162,$C$4,$C$10*SQRT($C$7),,$C$11)+
_xll.qlBlackFormula(IF(O162&lt;$C$4,"Put","Call"),O162-$C$14,$C$4,$C$10*SQRT($C$7),,$C$11))/$C$14^2,"")</f>
        <v>24.300651768616177</v>
      </c>
      <c r="U162" s="43">
        <f>IFERROR((_xll.qlBachelierBlackFormula(IF(O162&lt;$C$4,"Put","Call"),O162+$C$14,$C$4,$C$12*SQRT($C$7))-
2*_xll.qlBachelierBlackFormula(IF(O162&lt;$C$4,"Put","Call"),O162,$C$4,$C$12*SQRT($C$7))+
_xll.qlBachelierBlackFormula(IF(O162&lt;$C$4,"Put","Call"),O162-$C$14,$C$4,$C$12*SQRT($C$7)))/$C$14^2,"")</f>
        <v>24.749226973375116</v>
      </c>
      <c r="V162" s="61" t="str">
        <f>IFERROR(_xll.qlBachelierBlackFormulaImpliedVol(IF(O162&lt;$C$4,"Put","Call"),O162,$C$4,$C$7,P162),"")</f>
        <v/>
      </c>
      <c r="W162" s="61">
        <f>IFERROR(_xll.qlBachelierBlackFormulaImpliedVol(IF(O162&lt;$C$4,"Put","Call"),O162,$C$4,$C$7,Q162),"")</f>
        <v>7.2316147635789136E-3</v>
      </c>
      <c r="X162" s="61">
        <f>IFERROR(_xll.qlBachelierBlackFormulaImpliedVol(IF(O162&lt;$C$4,"Put","Call"),O162,$C$4,$C$7,R162),"")</f>
        <v>7.2019999999999957E-3</v>
      </c>
      <c r="Y162" s="96">
        <f>_xll.qlSmileSectionVolatility($C$40,O162+$C$31)</f>
        <v>7.2361908727618168E-3</v>
      </c>
    </row>
    <row r="163" spans="15:25">
      <c r="O163" s="37">
        <f t="shared" si="2"/>
        <v>5.799999999999997E-3</v>
      </c>
      <c r="P163" s="38" t="str">
        <f>IFERROR(_xll.qlBlackFormula(IF(O163&lt;$C$4,"Put","Call"),O163,$C$4,$C$9*SQRT($C$7)),"")</f>
        <v/>
      </c>
      <c r="Q163" s="39">
        <f>IFERROR(_xll.qlBlackFormula(IF(O163&lt;$C$4,"Put","Call"),O163,$C$4,$C$10*SQRT($C$7),,$C$11),"")</f>
        <v>6.0627058625992089E-3</v>
      </c>
      <c r="R163" s="40">
        <f>IFERROR(_xll.qlBachelierBlackFormula(IF(O163&lt;$C$4,"Put","Call"),O163,$C$4,$C$12*SQRT($C$7)),"")</f>
        <v>6.0325565509606388E-3</v>
      </c>
      <c r="S163" s="41" t="str">
        <f>IFERROR((_xll.qlBlackFormula(IF(O163&lt;$C$4,"Put","Call"),O163+$C$14,$C$4,$C$9*SQRT($C$7))-
2*_xll.qlBlackFormula(IF(O163&lt;$C$4,"Put","Call"),O163,$C$4,$C$9*SQRT($C$7))+
_xll.qlBlackFormula(IF(O163&lt;$C$4,"Put","Call"),O163-$C$14,$C$4,$C$9*SQRT($C$7)))/$C$14^2,"")</f>
        <v/>
      </c>
      <c r="T163" s="42">
        <f>IFERROR((_xll.qlBlackFormula(IF(O163&lt;$C$4,"Put","Call"),O163+$C$14,$C$4,$C$10*SQRT($C$7),,$C$11)-
2*_xll.qlBlackFormula(IF(O163&lt;$C$4,"Put","Call"),O163,$C$4,$C$10*SQRT($C$7),,$C$11)+
_xll.qlBlackFormula(IF(O163&lt;$C$4,"Put","Call"),O163-$C$14,$C$4,$C$10*SQRT($C$7),,$C$11))/$C$14^2,"")</f>
        <v>24.251267660702069</v>
      </c>
      <c r="U163" s="43">
        <f>IFERROR((_xll.qlBachelierBlackFormula(IF(O163&lt;$C$4,"Put","Call"),O163+$C$14,$C$4,$C$12*SQRT($C$7))-
2*_xll.qlBachelierBlackFormula(IF(O163&lt;$C$4,"Put","Call"),O163,$C$4,$C$12*SQRT($C$7))+
_xll.qlBachelierBlackFormula(IF(O163&lt;$C$4,"Put","Call"),O163-$C$14,$C$4,$C$12*SQRT($C$7)))/$C$14^2,"")</f>
        <v>24.742072973760187</v>
      </c>
      <c r="V163" s="61" t="str">
        <f>IFERROR(_xll.qlBachelierBlackFormulaImpliedVol(IF(O163&lt;$C$4,"Put","Call"),O163,$C$4,$C$7,P163),"")</f>
        <v/>
      </c>
      <c r="W163" s="61">
        <f>IFERROR(_xll.qlBachelierBlackFormulaImpliedVol(IF(O163&lt;$C$4,"Put","Call"),O163,$C$4,$C$7,Q163),"")</f>
        <v>7.2358388577811747E-3</v>
      </c>
      <c r="X163" s="61">
        <f>IFERROR(_xll.qlBachelierBlackFormulaImpliedVol(IF(O163&lt;$C$4,"Put","Call"),O163,$C$4,$C$7,R163),"")</f>
        <v>7.2020000000000001E-3</v>
      </c>
      <c r="Y163" s="96">
        <f>_xll.qlSmileSectionVolatility($C$40,O163+$C$31)</f>
        <v>7.2407092715511589E-3</v>
      </c>
    </row>
    <row r="164" spans="15:25">
      <c r="O164" s="37">
        <f t="shared" si="2"/>
        <v>5.8999999999999973E-3</v>
      </c>
      <c r="P164" s="38" t="str">
        <f>IFERROR(_xll.qlBlackFormula(IF(O164&lt;$C$4,"Put","Call"),O164,$C$4,$C$9*SQRT($C$7)),"")</f>
        <v/>
      </c>
      <c r="Q164" s="39">
        <f>IFERROR(_xll.qlBlackFormula(IF(O164&lt;$C$4,"Put","Call"),O164,$C$4,$C$10*SQRT($C$7),,$C$11),"")</f>
        <v>6.0185615946681259E-3</v>
      </c>
      <c r="R164" s="40">
        <f>IFERROR(_xll.qlBachelierBlackFormula(IF(O164&lt;$C$4,"Put","Call"),O164,$C$4,$C$12*SQRT($C$7)),"")</f>
        <v>5.9846612430286593E-3</v>
      </c>
      <c r="S164" s="41" t="str">
        <f>IFERROR((_xll.qlBlackFormula(IF(O164&lt;$C$4,"Put","Call"),O164+$C$14,$C$4,$C$9*SQRT($C$7))-
2*_xll.qlBlackFormula(IF(O164&lt;$C$4,"Put","Call"),O164,$C$4,$C$9*SQRT($C$7))+
_xll.qlBlackFormula(IF(O164&lt;$C$4,"Put","Call"),O164-$C$14,$C$4,$C$9*SQRT($C$7)))/$C$14^2,"")</f>
        <v/>
      </c>
      <c r="T164" s="42">
        <f>IFERROR((_xll.qlBlackFormula(IF(O164&lt;$C$4,"Put","Call"),O164+$C$14,$C$4,$C$10*SQRT($C$7),,$C$11)-
2*_xll.qlBlackFormula(IF(O164&lt;$C$4,"Put","Call"),O164,$C$4,$C$10*SQRT($C$7),,$C$11)+
_xll.qlBlackFormula(IF(O164&lt;$C$4,"Put","Call"),O164-$C$14,$C$4,$C$10*SQRT($C$7),,$C$11))/$C$14^2,"")</f>
        <v>24.20113415224634</v>
      </c>
      <c r="U164" s="43">
        <f>IFERROR((_xll.qlBachelierBlackFormula(IF(O164&lt;$C$4,"Put","Call"),O164+$C$14,$C$4,$C$12*SQRT($C$7))-
2*_xll.qlBachelierBlackFormula(IF(O164&lt;$C$4,"Put","Call"),O164,$C$4,$C$12*SQRT($C$7))+
_xll.qlBachelierBlackFormula(IF(O164&lt;$C$4,"Put","Call"),O164-$C$14,$C$4,$C$12*SQRT($C$7)))/$C$14^2,"")</f>
        <v>24.733964008871734</v>
      </c>
      <c r="V164" s="61" t="str">
        <f>IFERROR(_xll.qlBachelierBlackFormulaImpliedVol(IF(O164&lt;$C$4,"Put","Call"),O164,$C$4,$C$7,P164),"")</f>
        <v/>
      </c>
      <c r="W164" s="61">
        <f>IFERROR(_xll.qlBachelierBlackFormulaImpliedVol(IF(O164&lt;$C$4,"Put","Call"),O164,$C$4,$C$7,Q164),"")</f>
        <v>7.2400613140451179E-3</v>
      </c>
      <c r="X164" s="61">
        <f>IFERROR(_xll.qlBachelierBlackFormulaImpliedVol(IF(O164&lt;$C$4,"Put","Call"),O164,$C$4,$C$7,R164),"")</f>
        <v>7.2020000000000027E-3</v>
      </c>
      <c r="Y164" s="96">
        <f>_xll.qlSmileSectionVolatility($C$40,O164+$C$31)</f>
        <v>7.2452512318814475E-3</v>
      </c>
    </row>
    <row r="165" spans="15:25">
      <c r="O165" s="37">
        <f t="shared" si="2"/>
        <v>5.9999999999999975E-3</v>
      </c>
      <c r="P165" s="38" t="str">
        <f>IFERROR(_xll.qlBlackFormula(IF(O165&lt;$C$4,"Put","Call"),O165,$C$4,$C$9*SQRT($C$7)),"")</f>
        <v/>
      </c>
      <c r="Q165" s="39">
        <f>IFERROR(_xll.qlBlackFormula(IF(O165&lt;$C$4,"Put","Call"),O165,$C$4,$C$10*SQRT($C$7),,$C$11),"")</f>
        <v>5.9746593375557891E-3</v>
      </c>
      <c r="R165" s="40">
        <f>IFERROR(_xll.qlBachelierBlackFormula(IF(O165&lt;$C$4,"Put","Call"),O165,$C$4,$C$12*SQRT($C$7)),"")</f>
        <v>5.9370132739523674E-3</v>
      </c>
      <c r="S165" s="41" t="str">
        <f>IFERROR((_xll.qlBlackFormula(IF(O165&lt;$C$4,"Put","Call"),O165+$C$14,$C$4,$C$9*SQRT($C$7))-
2*_xll.qlBlackFormula(IF(O165&lt;$C$4,"Put","Call"),O165,$C$4,$C$9*SQRT($C$7))+
_xll.qlBlackFormula(IF(O165&lt;$C$4,"Put","Call"),O165-$C$14,$C$4,$C$9*SQRT($C$7)))/$C$14^2,"")</f>
        <v/>
      </c>
      <c r="T165" s="42">
        <f>IFERROR((_xll.qlBlackFormula(IF(O165&lt;$C$4,"Put","Call"),O165+$C$14,$C$4,$C$10*SQRT($C$7),,$C$11)-
2*_xll.qlBlackFormula(IF(O165&lt;$C$4,"Put","Call"),O165,$C$4,$C$10*SQRT($C$7),,$C$11)+
_xll.qlBlackFormula(IF(O165&lt;$C$4,"Put","Call"),O165-$C$14,$C$4,$C$10*SQRT($C$7),,$C$11))/$C$14^2,"")</f>
        <v>24.150244304355084</v>
      </c>
      <c r="U165" s="43">
        <f>IFERROR((_xll.qlBachelierBlackFormula(IF(O165&lt;$C$4,"Put","Call"),O165+$C$14,$C$4,$C$12*SQRT($C$7))-
2*_xll.qlBachelierBlackFormula(IF(O165&lt;$C$4,"Put","Call"),O165,$C$4,$C$12*SQRT($C$7))+
_xll.qlBachelierBlackFormula(IF(O165&lt;$C$4,"Put","Call"),O165-$C$14,$C$4,$C$12*SQRT($C$7)))/$C$14^2,"")</f>
        <v>24.724906150241921</v>
      </c>
      <c r="V165" s="61" t="str">
        <f>IFERROR(_xll.qlBachelierBlackFormulaImpliedVol(IF(O165&lt;$C$4,"Put","Call"),O165,$C$4,$C$7,P165),"")</f>
        <v/>
      </c>
      <c r="W165" s="61">
        <f>IFERROR(_xll.qlBachelierBlackFormulaImpliedVol(IF(O165&lt;$C$4,"Put","Call"),O165,$C$4,$C$7,Q165),"")</f>
        <v>7.2442821352291763E-3</v>
      </c>
      <c r="X165" s="61">
        <f>IFERROR(_xll.qlBachelierBlackFormulaImpliedVol(IF(O165&lt;$C$4,"Put","Call"),O165,$C$4,$C$7,R165),"")</f>
        <v>7.202000000000007E-3</v>
      </c>
      <c r="Y165" s="96">
        <f>_xll.qlSmileSectionVolatility($C$40,O165+$C$31)</f>
        <v>7.2498167110408946E-3</v>
      </c>
    </row>
    <row r="166" spans="15:25">
      <c r="O166" s="37">
        <f t="shared" si="2"/>
        <v>6.0999999999999978E-3</v>
      </c>
      <c r="P166" s="38" t="str">
        <f>IFERROR(_xll.qlBlackFormula(IF(O166&lt;$C$4,"Put","Call"),O166,$C$4,$C$9*SQRT($C$7)),"")</f>
        <v/>
      </c>
      <c r="Q166" s="39">
        <f>IFERROR(_xll.qlBlackFormula(IF(O166&lt;$C$4,"Put","Call"),O166,$C$4,$C$10*SQRT($C$7),,$C$11),"")</f>
        <v>5.9309985825234529E-3</v>
      </c>
      <c r="R166" s="40">
        <f>IFERROR(_xll.qlBachelierBlackFormula(IF(O166&lt;$C$4,"Put","Call"),O166,$C$4,$C$12*SQRT($C$7)),"")</f>
        <v>5.8896125531465362E-3</v>
      </c>
      <c r="S166" s="41" t="str">
        <f>IFERROR((_xll.qlBlackFormula(IF(O166&lt;$C$4,"Put","Call"),O166+$C$14,$C$4,$C$9*SQRT($C$7))-
2*_xll.qlBlackFormula(IF(O166&lt;$C$4,"Put","Call"),O166,$C$4,$C$9*SQRT($C$7))+
_xll.qlBlackFormula(IF(O166&lt;$C$4,"Put","Call"),O166-$C$14,$C$4,$C$9*SQRT($C$7)))/$C$14^2,"")</f>
        <v/>
      </c>
      <c r="T166" s="42">
        <f>IFERROR((_xll.qlBlackFormula(IF(O166&lt;$C$4,"Put","Call"),O166+$C$14,$C$4,$C$10*SQRT($C$7),,$C$11)-
2*_xll.qlBlackFormula(IF(O166&lt;$C$4,"Put","Call"),O166,$C$4,$C$10*SQRT($C$7),,$C$11)+
_xll.qlBlackFormula(IF(O166&lt;$C$4,"Put","Call"),O166-$C$14,$C$4,$C$10*SQRT($C$7),,$C$11))/$C$14^2,"")</f>
        <v>24.098667505967342</v>
      </c>
      <c r="U166" s="43">
        <f>IFERROR((_xll.qlBachelierBlackFormula(IF(O166&lt;$C$4,"Put","Call"),O166+$C$14,$C$4,$C$12*SQRT($C$7))-
2*_xll.qlBachelierBlackFormula(IF(O166&lt;$C$4,"Put","Call"),O166,$C$4,$C$12*SQRT($C$7))+
_xll.qlBachelierBlackFormula(IF(O166&lt;$C$4,"Put","Call"),O166-$C$14,$C$4,$C$12*SQRT($C$7)))/$C$14^2,"")</f>
        <v>24.714895928423797</v>
      </c>
      <c r="V166" s="61" t="str">
        <f>IFERROR(_xll.qlBachelierBlackFormulaImpliedVol(IF(O166&lt;$C$4,"Put","Call"),O166,$C$4,$C$7,P166),"")</f>
        <v/>
      </c>
      <c r="W166" s="61">
        <f>IFERROR(_xll.qlBachelierBlackFormulaImpliedVol(IF(O166&lt;$C$4,"Put","Call"),O166,$C$4,$C$7,Q166),"")</f>
        <v>7.2485013241833226E-3</v>
      </c>
      <c r="X166" s="61">
        <f>IFERROR(_xll.qlBachelierBlackFormulaImpliedVol(IF(O166&lt;$C$4,"Put","Call"),O166,$C$4,$C$7,R166),"")</f>
        <v>7.2020000000000087E-3</v>
      </c>
      <c r="Y166" s="96">
        <f>_xll.qlSmileSectionVolatility($C$40,O166+$C$31)</f>
        <v>7.2544056654596772E-3</v>
      </c>
    </row>
    <row r="167" spans="15:25">
      <c r="O167" s="37">
        <f t="shared" si="2"/>
        <v>6.199999999999998E-3</v>
      </c>
      <c r="P167" s="38" t="str">
        <f>IFERROR(_xll.qlBlackFormula(IF(O167&lt;$C$4,"Put","Call"),O167,$C$4,$C$9*SQRT($C$7)),"")</f>
        <v/>
      </c>
      <c r="Q167" s="39">
        <f>IFERROR(_xll.qlBlackFormula(IF(O167&lt;$C$4,"Put","Call"),O167,$C$4,$C$10*SQRT($C$7),,$C$11),"")</f>
        <v>5.8875788134462315E-3</v>
      </c>
      <c r="R167" s="40">
        <f>IFERROR(_xll.qlBachelierBlackFormula(IF(O167&lt;$C$4,"Put","Call"),O167,$C$4,$C$12*SQRT($C$7)),"")</f>
        <v>5.8424589805292446E-3</v>
      </c>
      <c r="S167" s="41" t="str">
        <f>IFERROR((_xll.qlBlackFormula(IF(O167&lt;$C$4,"Put","Call"),O167+$C$14,$C$4,$C$9*SQRT($C$7))-
2*_xll.qlBlackFormula(IF(O167&lt;$C$4,"Put","Call"),O167,$C$4,$C$9*SQRT($C$7))+
_xll.qlBlackFormula(IF(O167&lt;$C$4,"Put","Call"),O167-$C$14,$C$4,$C$9*SQRT($C$7)))/$C$14^2,"")</f>
        <v/>
      </c>
      <c r="T167" s="42">
        <f>IFERROR((_xll.qlBlackFormula(IF(O167&lt;$C$4,"Put","Call"),O167+$C$14,$C$4,$C$10*SQRT($C$7),,$C$11)-
2*_xll.qlBlackFormula(IF(O167&lt;$C$4,"Put","Call"),O167,$C$4,$C$10*SQRT($C$7),,$C$11)+
_xll.qlBlackFormula(IF(O167&lt;$C$4,"Put","Call"),O167-$C$14,$C$4,$C$10*SQRT($C$7),,$C$11))/$C$14^2,"")</f>
        <v>24.046320490356266</v>
      </c>
      <c r="U167" s="43">
        <f>IFERROR((_xll.qlBachelierBlackFormula(IF(O167&lt;$C$4,"Put","Call"),O167+$C$14,$C$4,$C$12*SQRT($C$7))-
2*_xll.qlBachelierBlackFormula(IF(O167&lt;$C$4,"Put","Call"),O167,$C$4,$C$12*SQRT($C$7))+
_xll.qlBachelierBlackFormula(IF(O167&lt;$C$4,"Put","Call"),O167-$C$14,$C$4,$C$12*SQRT($C$7)))/$C$14^2,"")</f>
        <v>24.703943751758217</v>
      </c>
      <c r="V167" s="61" t="str">
        <f>IFERROR(_xll.qlBachelierBlackFormulaImpliedVol(IF(O167&lt;$C$4,"Put","Call"),O167,$C$4,$C$7,P167),"")</f>
        <v/>
      </c>
      <c r="W167" s="61">
        <f>IFERROR(_xll.qlBachelierBlackFormulaImpliedVol(IF(O167&lt;$C$4,"Put","Call"),O167,$C$4,$C$7,Q167),"")</f>
        <v>7.2527188837492144E-3</v>
      </c>
      <c r="X167" s="61">
        <f>IFERROR(_xll.qlBachelierBlackFormulaImpliedVol(IF(O167&lt;$C$4,"Put","Call"),O167,$C$4,$C$7,R167),"")</f>
        <v>7.2020000000000113E-3</v>
      </c>
      <c r="Y167" s="96">
        <f>_xll.qlSmileSectionVolatility($C$40,O167+$C$31)</f>
        <v>7.2590180507184016E-3</v>
      </c>
    </row>
    <row r="168" spans="15:25">
      <c r="O168" s="37">
        <f t="shared" si="2"/>
        <v>6.2999999999999983E-3</v>
      </c>
      <c r="P168" s="38" t="str">
        <f>IFERROR(_xll.qlBlackFormula(IF(O168&lt;$C$4,"Put","Call"),O168,$C$4,$C$9*SQRT($C$7)),"")</f>
        <v/>
      </c>
      <c r="Q168" s="39">
        <f>IFERROR(_xll.qlBlackFormula(IF(O168&lt;$C$4,"Put","Call"),O168,$C$4,$C$10*SQRT($C$7),,$C$11),"")</f>
        <v>5.8443995068949914E-3</v>
      </c>
      <c r="R168" s="40">
        <f>IFERROR(_xll.qlBachelierBlackFormula(IF(O168&lt;$C$4,"Put","Call"),O168,$C$4,$C$12*SQRT($C$7)),"")</f>
        <v>5.7955524465334498E-3</v>
      </c>
      <c r="S168" s="41" t="str">
        <f>IFERROR((_xll.qlBlackFormula(IF(O168&lt;$C$4,"Put","Call"),O168+$C$14,$C$4,$C$9*SQRT($C$7))-
2*_xll.qlBlackFormula(IF(O168&lt;$C$4,"Put","Call"),O168,$C$4,$C$9*SQRT($C$7))+
_xll.qlBlackFormula(IF(O168&lt;$C$4,"Put","Call"),O168-$C$14,$C$4,$C$9*SQRT($C$7)))/$C$14^2,"")</f>
        <v/>
      </c>
      <c r="T168" s="42">
        <f>IFERROR((_xll.qlBlackFormula(IF(O168&lt;$C$4,"Put","Call"),O168+$C$14,$C$4,$C$10*SQRT($C$7),,$C$11)-
2*_xll.qlBlackFormula(IF(O168&lt;$C$4,"Put","Call"),O168,$C$4,$C$10*SQRT($C$7),,$C$11)+
_xll.qlBlackFormula(IF(O168&lt;$C$4,"Put","Call"),O168-$C$14,$C$4,$C$10*SQRT($C$7),,$C$11))/$C$14^2,"")</f>
        <v>23.993251829779183</v>
      </c>
      <c r="U168" s="43">
        <f>IFERROR((_xll.qlBachelierBlackFormula(IF(O168&lt;$C$4,"Put","Call"),O168+$C$14,$C$4,$C$12*SQRT($C$7))-
2*_xll.qlBachelierBlackFormula(IF(O168&lt;$C$4,"Put","Call"),O168,$C$4,$C$12*SQRT($C$7))+
_xll.qlBachelierBlackFormula(IF(O168&lt;$C$4,"Put","Call"),O168-$C$14,$C$4,$C$12*SQRT($C$7)))/$C$14^2,"")</f>
        <v>24.692038344542588</v>
      </c>
      <c r="V168" s="61" t="str">
        <f>IFERROR(_xll.qlBachelierBlackFormulaImpliedVol(IF(O168&lt;$C$4,"Put","Call"),O168,$C$4,$C$7,P168),"")</f>
        <v/>
      </c>
      <c r="W168" s="61">
        <f>IFERROR(_xll.qlBachelierBlackFormulaImpliedVol(IF(O168&lt;$C$4,"Put","Call"),O168,$C$4,$C$7,Q168),"")</f>
        <v>7.2569348167601105E-3</v>
      </c>
      <c r="X168" s="61">
        <f>IFERROR(_xll.qlBachelierBlackFormulaImpliedVol(IF(O168&lt;$C$4,"Put","Call"),O168,$C$4,$C$7,R168),"")</f>
        <v>7.2020000000000157E-3</v>
      </c>
      <c r="Y168" s="96">
        <f>_xll.qlSmileSectionVolatility($C$40,O168+$C$31)</f>
        <v>7.2636538215574264E-3</v>
      </c>
    </row>
    <row r="169" spans="15:25">
      <c r="O169" s="37">
        <f t="shared" si="2"/>
        <v>6.3999999999999986E-3</v>
      </c>
      <c r="P169" s="38" t="str">
        <f>IFERROR(_xll.qlBlackFormula(IF(O169&lt;$C$4,"Put","Call"),O169,$C$4,$C$9*SQRT($C$7)),"")</f>
        <v/>
      </c>
      <c r="Q169" s="39">
        <f>IFERROR(_xll.qlBlackFormula(IF(O169&lt;$C$4,"Put","Call"),O169,$C$4,$C$10*SQRT($C$7),,$C$11),"")</f>
        <v>5.8014601322186957E-3</v>
      </c>
      <c r="R169" s="40">
        <f>IFERROR(_xll.qlBachelierBlackFormula(IF(O169&lt;$C$4,"Put","Call"),O169,$C$4,$C$12*SQRT($C$7)),"")</f>
        <v>5.7488928321196243E-3</v>
      </c>
      <c r="S169" s="41" t="str">
        <f>IFERROR((_xll.qlBlackFormula(IF(O169&lt;$C$4,"Put","Call"),O169+$C$14,$C$4,$C$9*SQRT($C$7))-
2*_xll.qlBlackFormula(IF(O169&lt;$C$4,"Put","Call"),O169,$C$4,$C$9*SQRT($C$7))+
_xll.qlBlackFormula(IF(O169&lt;$C$4,"Put","Call"),O169-$C$14,$C$4,$C$9*SQRT($C$7)))/$C$14^2,"")</f>
        <v/>
      </c>
      <c r="T169" s="42">
        <f>IFERROR((_xll.qlBlackFormula(IF(O169&lt;$C$4,"Put","Call"),O169+$C$14,$C$4,$C$10*SQRT($C$7),,$C$11)-
2*_xll.qlBlackFormula(IF(O169&lt;$C$4,"Put","Call"),O169,$C$4,$C$10*SQRT($C$7),,$C$11)+
_xll.qlBlackFormula(IF(O169&lt;$C$4,"Put","Call"),O169-$C$14,$C$4,$C$10*SQRT($C$7),,$C$11))/$C$14^2,"")</f>
        <v>23.939482340917806</v>
      </c>
      <c r="U169" s="43">
        <f>IFERROR((_xll.qlBachelierBlackFormula(IF(O169&lt;$C$4,"Put","Call"),O169+$C$14,$C$4,$C$12*SQRT($C$7))-
2*_xll.qlBachelierBlackFormula(IF(O169&lt;$C$4,"Put","Call"),O169,$C$4,$C$12*SQRT($C$7))+
_xll.qlBachelierBlackFormula(IF(O169&lt;$C$4,"Put","Call"),O169-$C$14,$C$4,$C$12*SQRT($C$7)))/$C$14^2,"")</f>
        <v>24.679186645670814</v>
      </c>
      <c r="V169" s="61" t="str">
        <f>IFERROR(_xll.qlBachelierBlackFormulaImpliedVol(IF(O169&lt;$C$4,"Put","Call"),O169,$C$4,$C$7,P169),"")</f>
        <v/>
      </c>
      <c r="W169" s="61">
        <f>IFERROR(_xll.qlBachelierBlackFormulaImpliedVol(IF(O169&lt;$C$4,"Put","Call"),O169,$C$4,$C$7,Q169),"")</f>
        <v>7.26114912604095E-3</v>
      </c>
      <c r="X169" s="61">
        <f>IFERROR(_xll.qlBachelierBlackFormulaImpliedVol(IF(O169&lt;$C$4,"Put","Call"),O169,$C$4,$C$7,R169),"")</f>
        <v>7.2020000000000209E-3</v>
      </c>
      <c r="Y169" s="96">
        <f>_xll.qlSmileSectionVolatility($C$40,O169+$C$31)</f>
        <v>7.268312931885566E-3</v>
      </c>
    </row>
    <row r="170" spans="15:25">
      <c r="O170" s="37">
        <f t="shared" si="2"/>
        <v>6.4999999999999988E-3</v>
      </c>
      <c r="P170" s="38" t="str">
        <f>IFERROR(_xll.qlBlackFormula(IF(O170&lt;$C$4,"Put","Call"),O170,$C$4,$C$9*SQRT($C$7)),"")</f>
        <v/>
      </c>
      <c r="Q170" s="39">
        <f>IFERROR(_xll.qlBlackFormula(IF(O170&lt;$C$4,"Put","Call"),O170,$C$4,$C$10*SQRT($C$7),,$C$11),"")</f>
        <v>5.7587601516269973E-3</v>
      </c>
      <c r="R170" s="40">
        <f>IFERROR(_xll.qlBachelierBlackFormula(IF(O170&lt;$C$4,"Put","Call"),O170,$C$4,$C$12*SQRT($C$7)),"")</f>
        <v>5.7024800087895101E-3</v>
      </c>
      <c r="S170" s="41" t="str">
        <f>IFERROR((_xll.qlBlackFormula(IF(O170&lt;$C$4,"Put","Call"),O170+$C$14,$C$4,$C$9*SQRT($C$7))-
2*_xll.qlBlackFormula(IF(O170&lt;$C$4,"Put","Call"),O170,$C$4,$C$9*SQRT($C$7))+
_xll.qlBlackFormula(IF(O170&lt;$C$4,"Put","Call"),O170-$C$14,$C$4,$C$9*SQRT($C$7)))/$C$14^2,"")</f>
        <v/>
      </c>
      <c r="T170" s="42">
        <f>IFERROR((_xll.qlBlackFormula(IF(O170&lt;$C$4,"Put","Call"),O170+$C$14,$C$4,$C$10*SQRT($C$7),,$C$11)-
2*_xll.qlBlackFormula(IF(O170&lt;$C$4,"Put","Call"),O170,$C$4,$C$10*SQRT($C$7),,$C$11)+
_xll.qlBlackFormula(IF(O170&lt;$C$4,"Put","Call"),O170-$C$14,$C$4,$C$10*SQRT($C$7),,$C$11))/$C$14^2,"")</f>
        <v>23.884970390408711</v>
      </c>
      <c r="U170" s="43">
        <f>IFERROR((_xll.qlBachelierBlackFormula(IF(O170&lt;$C$4,"Put","Call"),O170+$C$14,$C$4,$C$12*SQRT($C$7))-
2*_xll.qlBachelierBlackFormula(IF(O170&lt;$C$4,"Put","Call"),O170,$C$4,$C$12*SQRT($C$7))+
_xll.qlBachelierBlackFormula(IF(O170&lt;$C$4,"Put","Call"),O170-$C$14,$C$4,$C$12*SQRT($C$7)))/$C$14^2,"")</f>
        <v>24.665394726675061</v>
      </c>
      <c r="V170" s="61" t="str">
        <f>IFERROR(_xll.qlBachelierBlackFormulaImpliedVol(IF(O170&lt;$C$4,"Put","Call"),O170,$C$4,$C$7,P170),"")</f>
        <v/>
      </c>
      <c r="W170" s="61">
        <f>IFERROR(_xll.qlBachelierBlackFormulaImpliedVol(IF(O170&lt;$C$4,"Put","Call"),O170,$C$4,$C$7,Q170),"")</f>
        <v>7.2653618144084622E-3</v>
      </c>
      <c r="X170" s="61">
        <f>IFERROR(_xll.qlBachelierBlackFormulaImpliedVol(IF(O170&lt;$C$4,"Put","Call"),O170,$C$4,$C$7,R170),"")</f>
        <v>7.2020000000000174E-3</v>
      </c>
      <c r="Y170" s="96">
        <f>_xll.qlSmileSectionVolatility($C$40,O170+$C$31)</f>
        <v>7.2729953347902476E-3</v>
      </c>
    </row>
    <row r="171" spans="15:25">
      <c r="O171" s="37">
        <f t="shared" si="2"/>
        <v>6.5999999999999991E-3</v>
      </c>
      <c r="P171" s="38" t="str">
        <f>IFERROR(_xll.qlBlackFormula(IF(O171&lt;$C$4,"Put","Call"),O171,$C$4,$C$9*SQRT($C$7)),"")</f>
        <v/>
      </c>
      <c r="Q171" s="39">
        <f>IFERROR(_xll.qlBlackFormula(IF(O171&lt;$C$4,"Put","Call"),O171,$C$4,$C$10*SQRT($C$7),,$C$11),"")</f>
        <v>5.7162990202728609E-3</v>
      </c>
      <c r="R171" s="40">
        <f>IFERROR(_xll.qlBachelierBlackFormula(IF(O171&lt;$C$4,"Put","Call"),O171,$C$4,$C$12*SQRT($C$7)),"")</f>
        <v>5.6563138386009435E-3</v>
      </c>
      <c r="S171" s="41" t="str">
        <f>IFERROR((_xll.qlBlackFormula(IF(O171&lt;$C$4,"Put","Call"),O171+$C$14,$C$4,$C$9*SQRT($C$7))-
2*_xll.qlBlackFormula(IF(O171&lt;$C$4,"Put","Call"),O171,$C$4,$C$9*SQRT($C$7))+
_xll.qlBlackFormula(IF(O171&lt;$C$4,"Put","Call"),O171-$C$14,$C$4,$C$9*SQRT($C$7)))/$C$14^2,"")</f>
        <v/>
      </c>
      <c r="T171" s="42">
        <f>IFERROR((_xll.qlBlackFormula(IF(O171&lt;$C$4,"Put","Call"),O171+$C$14,$C$4,$C$10*SQRT($C$7),,$C$11)-
2*_xll.qlBlackFormula(IF(O171&lt;$C$4,"Put","Call"),O171,$C$4,$C$10*SQRT($C$7),,$C$11)+
_xll.qlBlackFormula(IF(O171&lt;$C$4,"Put","Call"),O171-$C$14,$C$4,$C$10*SQRT($C$7),,$C$11))/$C$14^2,"")</f>
        <v>23.829806183872648</v>
      </c>
      <c r="U171" s="43">
        <f>IFERROR((_xll.qlBachelierBlackFormula(IF(O171&lt;$C$4,"Put","Call"),O171+$C$14,$C$4,$C$12*SQRT($C$7))-
2*_xll.qlBachelierBlackFormula(IF(O171&lt;$C$4,"Put","Call"),O171,$C$4,$C$12*SQRT($C$7))+
_xll.qlBachelierBlackFormula(IF(O171&lt;$C$4,"Put","Call"),O171-$C$14,$C$4,$C$12*SQRT($C$7)))/$C$14^2,"")</f>
        <v>24.650654781299686</v>
      </c>
      <c r="V171" s="61" t="str">
        <f>IFERROR(_xll.qlBachelierBlackFormulaImpliedVol(IF(O171&lt;$C$4,"Put","Call"),O171,$C$4,$C$7,P171),"")</f>
        <v/>
      </c>
      <c r="W171" s="61">
        <f>IFERROR(_xll.qlBachelierBlackFormulaImpliedVol(IF(O171&lt;$C$4,"Put","Call"),O171,$C$4,$C$7,Q171),"")</f>
        <v>7.2695728846710328E-3</v>
      </c>
      <c r="X171" s="61">
        <f>IFERROR(_xll.qlBachelierBlackFormulaImpliedVol(IF(O171&lt;$C$4,"Put","Call"),O171,$C$4,$C$7,R171),"")</f>
        <v>7.2020000000000218E-3</v>
      </c>
      <c r="Y171" s="96">
        <f>_xll.qlSmileSectionVolatility($C$40,O171+$C$31)</f>
        <v>7.2777009825466393E-3</v>
      </c>
    </row>
    <row r="172" spans="15:25">
      <c r="O172" s="37">
        <f t="shared" si="2"/>
        <v>6.6999999999999994E-3</v>
      </c>
      <c r="P172" s="38" t="str">
        <f>IFERROR(_xll.qlBlackFormula(IF(O172&lt;$C$4,"Put","Call"),O172,$C$4,$C$9*SQRT($C$7)),"")</f>
        <v/>
      </c>
      <c r="Q172" s="39">
        <f>IFERROR(_xll.qlBlackFormula(IF(O172&lt;$C$4,"Put","Call"),O172,$C$4,$C$10*SQRT($C$7),,$C$11),"")</f>
        <v>5.6740761863357247E-3</v>
      </c>
      <c r="R172" s="40">
        <f>IFERROR(_xll.qlBachelierBlackFormula(IF(O172&lt;$C$4,"Put","Call"),O172,$C$4,$C$12*SQRT($C$7)),"")</f>
        <v>5.6103941741837667E-3</v>
      </c>
      <c r="S172" s="41" t="str">
        <f>IFERROR((_xll.qlBlackFormula(IF(O172&lt;$C$4,"Put","Call"),O172+$C$14,$C$4,$C$9*SQRT($C$7))-
2*_xll.qlBlackFormula(IF(O172&lt;$C$4,"Put","Call"),O172,$C$4,$C$9*SQRT($C$7))+
_xll.qlBlackFormula(IF(O172&lt;$C$4,"Put","Call"),O172-$C$14,$C$4,$C$9*SQRT($C$7)))/$C$14^2,"")</f>
        <v/>
      </c>
      <c r="T172" s="42">
        <f>IFERROR((_xll.qlBlackFormula(IF(O172&lt;$C$4,"Put","Call"),O172+$C$14,$C$4,$C$10*SQRT($C$7),,$C$11)-
2*_xll.qlBlackFormula(IF(O172&lt;$C$4,"Put","Call"),O172,$C$4,$C$10*SQRT($C$7),,$C$11)+
_xll.qlBlackFormula(IF(O172&lt;$C$4,"Put","Call"),O172-$C$14,$C$4,$C$10*SQRT($C$7),,$C$11))/$C$14^2,"")</f>
        <v>23.773927271264483</v>
      </c>
      <c r="U172" s="43">
        <f>IFERROR((_xll.qlBachelierBlackFormula(IF(O172&lt;$C$4,"Put","Call"),O172+$C$14,$C$4,$C$12*SQRT($C$7))-
2*_xll.qlBachelierBlackFormula(IF(O172&lt;$C$4,"Put","Call"),O172,$C$4,$C$12*SQRT($C$7))+
_xll.qlBachelierBlackFormula(IF(O172&lt;$C$4,"Put","Call"),O172-$C$14,$C$4,$C$12*SQRT($C$7)))/$C$14^2,"")</f>
        <v>24.634977217885545</v>
      </c>
      <c r="V172" s="61" t="str">
        <f>IFERROR(_xll.qlBachelierBlackFormulaImpliedVol(IF(O172&lt;$C$4,"Put","Call"),O172,$C$4,$C$7,P172),"")</f>
        <v/>
      </c>
      <c r="W172" s="61">
        <f>IFERROR(_xll.qlBachelierBlackFormulaImpliedVol(IF(O172&lt;$C$4,"Put","Call"),O172,$C$4,$C$7,Q172),"")</f>
        <v>7.2737823396289277E-3</v>
      </c>
      <c r="X172" s="61">
        <f>IFERROR(_xll.qlBachelierBlackFormulaImpliedVol(IF(O172&lt;$C$4,"Put","Call"),O172,$C$4,$C$7,R172),"")</f>
        <v>7.2020000000000235E-3</v>
      </c>
      <c r="Y172" s="96">
        <f>_xll.qlSmileSectionVolatility($C$40,O172+$C$31)</f>
        <v>7.2824298266267662E-3</v>
      </c>
    </row>
    <row r="173" spans="15:25">
      <c r="O173" s="37">
        <f t="shared" si="2"/>
        <v>6.7999999999999996E-3</v>
      </c>
      <c r="P173" s="38" t="str">
        <f>IFERROR(_xll.qlBlackFormula(IF(O173&lt;$C$4,"Put","Call"),O173,$C$4,$C$9*SQRT($C$7)),"")</f>
        <v/>
      </c>
      <c r="Q173" s="39">
        <f>IFERROR(_xll.qlBlackFormula(IF(O173&lt;$C$4,"Put","Call"),O173,$C$4,$C$10*SQRT($C$7),,$C$11),"")</f>
        <v>5.6320910911045602E-3</v>
      </c>
      <c r="R173" s="40">
        <f>IFERROR(_xll.qlBachelierBlackFormula(IF(O173&lt;$C$4,"Put","Call"),O173,$C$4,$C$12*SQRT($C$7)),"")</f>
        <v>5.564720858756823E-3</v>
      </c>
      <c r="S173" s="41" t="str">
        <f>IFERROR((_xll.qlBlackFormula(IF(O173&lt;$C$4,"Put","Call"),O173+$C$14,$C$4,$C$9*SQRT($C$7))-
2*_xll.qlBlackFormula(IF(O173&lt;$C$4,"Put","Call"),O173,$C$4,$C$9*SQRT($C$7))+
_xll.qlBlackFormula(IF(O173&lt;$C$4,"Put","Call"),O173-$C$14,$C$4,$C$9*SQRT($C$7)))/$C$14^2,"")</f>
        <v/>
      </c>
      <c r="T173" s="42">
        <f>IFERROR((_xll.qlBlackFormula(IF(O173&lt;$C$4,"Put","Call"),O173+$C$14,$C$4,$C$10*SQRT($C$7),,$C$11)-
2*_xll.qlBlackFormula(IF(O173&lt;$C$4,"Put","Call"),O173,$C$4,$C$10*SQRT($C$7),,$C$11)+
_xll.qlBlackFormula(IF(O173&lt;$C$4,"Put","Call"),O173-$C$14,$C$4,$C$10*SQRT($C$7),,$C$11))/$C$14^2,"")</f>
        <v>23.717368347053736</v>
      </c>
      <c r="U173" s="43">
        <f>IFERROR((_xll.qlBachelierBlackFormula(IF(O173&lt;$C$4,"Put","Call"),O173+$C$14,$C$4,$C$12*SQRT($C$7))-
2*_xll.qlBachelierBlackFormula(IF(O173&lt;$C$4,"Put","Call"),O173,$C$4,$C$12*SQRT($C$7))+
_xll.qlBachelierBlackFormula(IF(O173&lt;$C$4,"Put","Call"),O173-$C$14,$C$4,$C$12*SQRT($C$7)))/$C$14^2,"")</f>
        <v>24.618359434347425</v>
      </c>
      <c r="V173" s="61" t="str">
        <f>IFERROR(_xll.qlBachelierBlackFormulaImpliedVol(IF(O173&lt;$C$4,"Put","Call"),O173,$C$4,$C$7,P173),"")</f>
        <v/>
      </c>
      <c r="W173" s="61">
        <f>IFERROR(_xll.qlBachelierBlackFormulaImpliedVol(IF(O173&lt;$C$4,"Put","Call"),O173,$C$4,$C$7,Q173),"")</f>
        <v>7.2779901820741793E-3</v>
      </c>
      <c r="X173" s="61">
        <f>IFERROR(_xll.qlBachelierBlackFormulaImpliedVol(IF(O173&lt;$C$4,"Put","Call"),O173,$C$4,$C$7,R173),"")</f>
        <v>7.2020000000000218E-3</v>
      </c>
      <c r="Y173" s="96">
        <f>_xll.qlSmileSectionVolatility($C$40,O173+$C$31)</f>
        <v>7.2871818177095453E-3</v>
      </c>
    </row>
    <row r="174" spans="15:25">
      <c r="O174" s="37">
        <f t="shared" si="2"/>
        <v>6.8999999999999999E-3</v>
      </c>
      <c r="P174" s="38" t="str">
        <f>IFERROR(_xll.qlBlackFormula(IF(O174&lt;$C$4,"Put","Call"),O174,$C$4,$C$9*SQRT($C$7)),"")</f>
        <v/>
      </c>
      <c r="Q174" s="39">
        <f>IFERROR(_xll.qlBlackFormula(IF(O174&lt;$C$4,"Put","Call"),O174,$C$4,$C$10*SQRT($C$7),,$C$11),"")</f>
        <v>5.5903431690613181E-3</v>
      </c>
      <c r="R174" s="40">
        <f>IFERROR(_xll.qlBachelierBlackFormula(IF(O174&lt;$C$4,"Put","Call"),O174,$C$4,$C$12*SQRT($C$7)),"")</f>
        <v>5.519293726146032E-3</v>
      </c>
      <c r="S174" s="41" t="str">
        <f>IFERROR((_xll.qlBlackFormula(IF(O174&lt;$C$4,"Put","Call"),O174+$C$14,$C$4,$C$9*SQRT($C$7))-
2*_xll.qlBlackFormula(IF(O174&lt;$C$4,"Put","Call"),O174,$C$4,$C$9*SQRT($C$7))+
_xll.qlBlackFormula(IF(O174&lt;$C$4,"Put","Call"),O174-$C$14,$C$4,$C$9*SQRT($C$7)))/$C$14^2,"")</f>
        <v/>
      </c>
      <c r="T174" s="42">
        <f>IFERROR((_xll.qlBlackFormula(IF(O174&lt;$C$4,"Put","Call"),O174+$C$14,$C$4,$C$10*SQRT($C$7),,$C$11)-
2*_xll.qlBlackFormula(IF(O174&lt;$C$4,"Put","Call"),O174,$C$4,$C$10*SQRT($C$7),,$C$11)+
_xll.qlBlackFormula(IF(O174&lt;$C$4,"Put","Call"),O174-$C$14,$C$4,$C$10*SQRT($C$7),,$C$11))/$C$14^2,"")</f>
        <v>23.660171044603828</v>
      </c>
      <c r="U174" s="43">
        <f>IFERROR((_xll.qlBachelierBlackFormula(IF(O174&lt;$C$4,"Put","Call"),O174+$C$14,$C$4,$C$12*SQRT($C$7))-
2*_xll.qlBachelierBlackFormula(IF(O174&lt;$C$4,"Put","Call"),O174,$C$4,$C$12*SQRT($C$7))+
_xll.qlBachelierBlackFormula(IF(O174&lt;$C$4,"Put","Call"),O174-$C$14,$C$4,$C$12*SQRT($C$7)))/$C$14^2,"")</f>
        <v>24.600803165408802</v>
      </c>
      <c r="V174" s="61" t="str">
        <f>IFERROR(_xll.qlBachelierBlackFormulaImpliedVol(IF(O174&lt;$C$4,"Put","Call"),O174,$C$4,$C$7,P174),"")</f>
        <v/>
      </c>
      <c r="W174" s="61">
        <f>IFERROR(_xll.qlBachelierBlackFormulaImpliedVol(IF(O174&lt;$C$4,"Put","Call"),O174,$C$4,$C$7,Q174),"")</f>
        <v>7.2821964147906882E-3</v>
      </c>
      <c r="X174" s="61">
        <f>IFERROR(_xll.qlBachelierBlackFormulaImpliedVol(IF(O174&lt;$C$4,"Put","Call"),O174,$C$4,$C$7,R174),"")</f>
        <v>7.2020000000000226E-3</v>
      </c>
      <c r="Y174" s="96">
        <f>_xll.qlSmileSectionVolatility($C$40,O174+$C$31)</f>
        <v>7.2919569056898292E-3</v>
      </c>
    </row>
    <row r="175" spans="15:25">
      <c r="O175" s="37">
        <f t="shared" si="2"/>
        <v>7.0000000000000001E-3</v>
      </c>
      <c r="P175" s="38" t="str">
        <f>IFERROR(_xll.qlBlackFormula(IF(O175&lt;$C$4,"Put","Call"),O175,$C$4,$C$9*SQRT($C$7)),"")</f>
        <v/>
      </c>
      <c r="Q175" s="39">
        <f>IFERROR(_xll.qlBlackFormula(IF(O175&lt;$C$4,"Put","Call"),O175,$C$4,$C$10*SQRT($C$7),,$C$11),"")</f>
        <v>5.5488318479645013E-3</v>
      </c>
      <c r="R175" s="40">
        <f>IFERROR(_xll.qlBachelierBlackFormula(IF(O175&lt;$C$4,"Put","Call"),O175,$C$4,$C$12*SQRT($C$7)),"")</f>
        <v>5.4741126008035308E-3</v>
      </c>
      <c r="S175" s="41" t="str">
        <f>IFERROR((_xll.qlBlackFormula(IF(O175&lt;$C$4,"Put","Call"),O175+$C$14,$C$4,$C$9*SQRT($C$7))-
2*_xll.qlBlackFormula(IF(O175&lt;$C$4,"Put","Call"),O175,$C$4,$C$9*SQRT($C$7))+
_xll.qlBlackFormula(IF(O175&lt;$C$4,"Put","Call"),O175-$C$14,$C$4,$C$9*SQRT($C$7)))/$C$14^2,"")</f>
        <v/>
      </c>
      <c r="T175" s="42">
        <f>IFERROR((_xll.qlBlackFormula(IF(O175&lt;$C$4,"Put","Call"),O175+$C$14,$C$4,$C$10*SQRT($C$7),,$C$11)-
2*_xll.qlBlackFormula(IF(O175&lt;$C$4,"Put","Call"),O175,$C$4,$C$10*SQRT($C$7),,$C$11)+
_xll.qlBlackFormula(IF(O175&lt;$C$4,"Put","Call"),O175-$C$14,$C$4,$C$10*SQRT($C$7),,$C$11))/$C$14^2,"")</f>
        <v>23.602272913869626</v>
      </c>
      <c r="U175" s="43">
        <f>IFERROR((_xll.qlBachelierBlackFormula(IF(O175&lt;$C$4,"Put","Call"),O175+$C$14,$C$4,$C$12*SQRT($C$7))-
2*_xll.qlBachelierBlackFormula(IF(O175&lt;$C$4,"Put","Call"),O175,$C$4,$C$12*SQRT($C$7))+
_xll.qlBachelierBlackFormula(IF(O175&lt;$C$4,"Put","Call"),O175-$C$14,$C$4,$C$12*SQRT($C$7)))/$C$14^2,"")</f>
        <v>24.582313615240103</v>
      </c>
      <c r="V175" s="61" t="str">
        <f>IFERROR(_xll.qlBachelierBlackFormulaImpliedVol(IF(O175&lt;$C$4,"Put","Call"),O175,$C$4,$C$7,P175),"")</f>
        <v/>
      </c>
      <c r="W175" s="61">
        <f>IFERROR(_xll.qlBachelierBlackFormulaImpliedVol(IF(O175&lt;$C$4,"Put","Call"),O175,$C$4,$C$7,Q175),"")</f>
        <v>7.2864010405542844E-3</v>
      </c>
      <c r="X175" s="61">
        <f>IFERROR(_xll.qlBachelierBlackFormulaImpliedVol(IF(O175&lt;$C$4,"Put","Call"),O175,$C$4,$C$7,R175),"")</f>
        <v>7.2020000000000235E-3</v>
      </c>
      <c r="Y175" s="96">
        <f>_xll.qlSmileSectionVolatility($C$40,O175+$C$31)</f>
        <v>7.2967550396887577E-3</v>
      </c>
    </row>
    <row r="176" spans="15:25">
      <c r="O176" s="37">
        <f t="shared" si="2"/>
        <v>7.1000000000000004E-3</v>
      </c>
      <c r="P176" s="38" t="str">
        <f>IFERROR(_xll.qlBlackFormula(IF(O176&lt;$C$4,"Put","Call"),O176,$C$4,$C$9*SQRT($C$7)),"")</f>
        <v/>
      </c>
      <c r="Q176" s="39">
        <f>IFERROR(_xll.qlBlackFormula(IF(O176&lt;$C$4,"Put","Call"),O176,$C$4,$C$10*SQRT($C$7),,$C$11),"")</f>
        <v>5.5075565489328057E-3</v>
      </c>
      <c r="R176" s="40">
        <f>IFERROR(_xll.qlBachelierBlackFormula(IF(O176&lt;$C$4,"Put","Call"),O176,$C$4,$C$12*SQRT($C$7)),"")</f>
        <v>5.4291772978278937E-3</v>
      </c>
      <c r="S176" s="41" t="str">
        <f>IFERROR((_xll.qlBlackFormula(IF(O176&lt;$C$4,"Put","Call"),O176+$C$14,$C$4,$C$9*SQRT($C$7))-
2*_xll.qlBlackFormula(IF(O176&lt;$C$4,"Put","Call"),O176,$C$4,$C$9*SQRT($C$7))+
_xll.qlBlackFormula(IF(O176&lt;$C$4,"Put","Call"),O176-$C$14,$C$4,$C$9*SQRT($C$7)))/$C$14^2,"")</f>
        <v/>
      </c>
      <c r="T176" s="42">
        <f>IFERROR((_xll.qlBlackFormula(IF(O176&lt;$C$4,"Put","Call"),O176+$C$14,$C$4,$C$10*SQRT($C$7),,$C$11)-
2*_xll.qlBlackFormula(IF(O176&lt;$C$4,"Put","Call"),O176,$C$4,$C$10*SQRT($C$7),,$C$11)+
_xll.qlBlackFormula(IF(O176&lt;$C$4,"Put","Call"),O176-$C$14,$C$4,$C$10*SQRT($C$7),,$C$11))/$C$14^2,"")</f>
        <v>23.543722527108457</v>
      </c>
      <c r="U176" s="43">
        <f>IFERROR((_xll.qlBachelierBlackFormula(IF(O176&lt;$C$4,"Put","Call"),O176+$C$14,$C$4,$C$12*SQRT($C$7))-
2*_xll.qlBachelierBlackFormula(IF(O176&lt;$C$4,"Put","Call"),O176,$C$4,$C$12*SQRT($C$7))+
_xll.qlBachelierBlackFormula(IF(O176&lt;$C$4,"Put","Call"),O176-$C$14,$C$4,$C$12*SQRT($C$7)))/$C$14^2,"")</f>
        <v>24.562890783841329</v>
      </c>
      <c r="V176" s="61" t="str">
        <f>IFERROR(_xll.qlBachelierBlackFormulaImpliedVol(IF(O176&lt;$C$4,"Put","Call"),O176,$C$4,$C$7,P176),"")</f>
        <v/>
      </c>
      <c r="W176" s="61">
        <f>IFERROR(_xll.qlBachelierBlackFormulaImpliedVol(IF(O176&lt;$C$4,"Put","Call"),O176,$C$4,$C$7,Q176),"")</f>
        <v>7.2906040621326792E-3</v>
      </c>
      <c r="X176" s="61">
        <f>IFERROR(_xll.qlBachelierBlackFormulaImpliedVol(IF(O176&lt;$C$4,"Put","Call"),O176,$C$4,$C$7,R176),"")</f>
        <v>7.2020000000000235E-3</v>
      </c>
      <c r="Y176" s="96">
        <f>_xll.qlSmileSectionVolatility($C$40,O176+$C$31)</f>
        <v>7.3015761680627822E-3</v>
      </c>
    </row>
    <row r="177" spans="15:25">
      <c r="O177" s="37">
        <f t="shared" si="2"/>
        <v>7.2000000000000007E-3</v>
      </c>
      <c r="P177" s="38" t="str">
        <f>IFERROR(_xll.qlBlackFormula(IF(O177&lt;$C$4,"Put","Call"),O177,$C$4,$C$9*SQRT($C$7)),"")</f>
        <v/>
      </c>
      <c r="Q177" s="39">
        <f>IFERROR(_xll.qlBlackFormula(IF(O177&lt;$C$4,"Put","Call"),O177,$C$4,$C$10*SQRT($C$7),,$C$11),"")</f>
        <v>5.4665166865290118E-3</v>
      </c>
      <c r="R177" s="40">
        <f>IFERROR(_xll.qlBachelierBlackFormula(IF(O177&lt;$C$4,"Put","Call"),O177,$C$4,$C$12*SQRT($C$7)),"")</f>
        <v>5.3844876229854153E-3</v>
      </c>
      <c r="S177" s="41" t="str">
        <f>IFERROR((_xll.qlBlackFormula(IF(O177&lt;$C$4,"Put","Call"),O177+$C$14,$C$4,$C$9*SQRT($C$7))-
2*_xll.qlBlackFormula(IF(O177&lt;$C$4,"Put","Call"),O177,$C$4,$C$9*SQRT($C$7))+
_xll.qlBlackFormula(IF(O177&lt;$C$4,"Put","Call"),O177-$C$14,$C$4,$C$9*SQRT($C$7)))/$C$14^2,"")</f>
        <v/>
      </c>
      <c r="T177" s="42">
        <f>IFERROR((_xll.qlBlackFormula(IF(O177&lt;$C$4,"Put","Call"),O177+$C$14,$C$4,$C$10*SQRT($C$7),,$C$11)-
2*_xll.qlBlackFormula(IF(O177&lt;$C$4,"Put","Call"),O177,$C$4,$C$10*SQRT($C$7),,$C$11)+
_xll.qlBlackFormula(IF(O177&lt;$C$4,"Put","Call"),O177-$C$14,$C$4,$C$10*SQRT($C$7),,$C$11))/$C$14^2,"")</f>
        <v>23.484526823214225</v>
      </c>
      <c r="U177" s="43">
        <f>IFERROR((_xll.qlBachelierBlackFormula(IF(O177&lt;$C$4,"Put","Call"),O177+$C$14,$C$4,$C$12*SQRT($C$7))-
2*_xll.qlBachelierBlackFormula(IF(O177&lt;$C$4,"Put","Call"),O177,$C$4,$C$12*SQRT($C$7))+
_xll.qlBachelierBlackFormula(IF(O177&lt;$C$4,"Put","Call"),O177-$C$14,$C$4,$C$12*SQRT($C$7)))/$C$14^2,"")</f>
        <v>24.542534671212479</v>
      </c>
      <c r="V177" s="61" t="str">
        <f>IFERROR(_xll.qlBachelierBlackFormulaImpliedVol(IF(O177&lt;$C$4,"Put","Call"),O177,$C$4,$C$7,P177),"")</f>
        <v/>
      </c>
      <c r="W177" s="61">
        <f>IFERROR(_xll.qlBachelierBlackFormulaImpliedVol(IF(O177&lt;$C$4,"Put","Call"),O177,$C$4,$C$7,Q177),"")</f>
        <v>7.294805482285528E-3</v>
      </c>
      <c r="X177" s="61">
        <f>IFERROR(_xll.qlBachelierBlackFormulaImpliedVol(IF(O177&lt;$C$4,"Put","Call"),O177,$C$4,$C$7,R177),"")</f>
        <v>7.2020000000000183E-3</v>
      </c>
      <c r="Y177" s="96">
        <f>_xll.qlSmileSectionVolatility($C$40,O177+$C$31)</f>
        <v>7.3064202384139623E-3</v>
      </c>
    </row>
    <row r="178" spans="15:25">
      <c r="O178" s="37">
        <f t="shared" si="2"/>
        <v>7.3000000000000009E-3</v>
      </c>
      <c r="P178" s="38" t="str">
        <f>IFERROR(_xll.qlBlackFormula(IF(O178&lt;$C$4,"Put","Call"),O178,$C$4,$C$9*SQRT($C$7)),"")</f>
        <v/>
      </c>
      <c r="Q178" s="39">
        <f>IFERROR(_xll.qlBlackFormula(IF(O178&lt;$C$4,"Put","Call"),O178,$C$4,$C$10*SQRT($C$7),,$C$11),"")</f>
        <v>5.4257116688439938E-3</v>
      </c>
      <c r="R178" s="40">
        <f>IFERROR(_xll.qlBachelierBlackFormula(IF(O178&lt;$C$4,"Put","Call"),O178,$C$4,$C$12*SQRT($C$7)),"")</f>
        <v>5.3400433727324578E-3</v>
      </c>
      <c r="S178" s="41" t="str">
        <f>IFERROR((_xll.qlBlackFormula(IF(O178&lt;$C$4,"Put","Call"),O178+$C$14,$C$4,$C$9*SQRT($C$7))-
2*_xll.qlBlackFormula(IF(O178&lt;$C$4,"Put","Call"),O178,$C$4,$C$9*SQRT($C$7))+
_xll.qlBlackFormula(IF(O178&lt;$C$4,"Put","Call"),O178-$C$14,$C$4,$C$9*SQRT($C$7)))/$C$14^2,"")</f>
        <v/>
      </c>
      <c r="T178" s="42">
        <f>IFERROR((_xll.qlBlackFormula(IF(O178&lt;$C$4,"Put","Call"),O178+$C$14,$C$4,$C$10*SQRT($C$7),,$C$11)-
2*_xll.qlBlackFormula(IF(O178&lt;$C$4,"Put","Call"),O178,$C$4,$C$10*SQRT($C$7),,$C$11)+
_xll.qlBlackFormula(IF(O178&lt;$C$4,"Put","Call"),O178-$C$14,$C$4,$C$10*SQRT($C$7),,$C$11))/$C$14^2,"")</f>
        <v>23.424699679974736</v>
      </c>
      <c r="U178" s="43">
        <f>IFERROR((_xll.qlBachelierBlackFormula(IF(O178&lt;$C$4,"Put","Call"),O178+$C$14,$C$4,$C$12*SQRT($C$7))-
2*_xll.qlBachelierBlackFormula(IF(O178&lt;$C$4,"Put","Call"),O178,$C$4,$C$12*SQRT($C$7))+
_xll.qlBachelierBlackFormula(IF(O178&lt;$C$4,"Put","Call"),O178-$C$14,$C$4,$C$12*SQRT($C$7)))/$C$14^2,"")</f>
        <v>24.521254818332672</v>
      </c>
      <c r="V178" s="61" t="str">
        <f>IFERROR(_xll.qlBachelierBlackFormulaImpliedVol(IF(O178&lt;$C$4,"Put","Call"),O178,$C$4,$C$7,P178),"")</f>
        <v/>
      </c>
      <c r="W178" s="61">
        <f>IFERROR(_xll.qlBachelierBlackFormulaImpliedVol(IF(O178&lt;$C$4,"Put","Call"),O178,$C$4,$C$7,Q178),"")</f>
        <v>7.2990053037645108E-3</v>
      </c>
      <c r="X178" s="61">
        <f>IFERROR(_xll.qlBachelierBlackFormulaImpliedVol(IF(O178&lt;$C$4,"Put","Call"),O178,$C$4,$C$7,R178),"")</f>
        <v>7.2020000000000174E-3</v>
      </c>
      <c r="Y178" s="96">
        <f>_xll.qlSmileSectionVolatility($C$40,O178+$C$31)</f>
        <v>7.3112871975995327E-3</v>
      </c>
    </row>
    <row r="179" spans="15:25">
      <c r="O179" s="37">
        <f t="shared" si="2"/>
        <v>7.4000000000000012E-3</v>
      </c>
      <c r="P179" s="38" t="str">
        <f>IFERROR(_xll.qlBlackFormula(IF(O179&lt;$C$4,"Put","Call"),O179,$C$4,$C$9*SQRT($C$7)),"")</f>
        <v/>
      </c>
      <c r="Q179" s="39">
        <f>IFERROR(_xll.qlBlackFormula(IF(O179&lt;$C$4,"Put","Call"),O179,$C$4,$C$10*SQRT($C$7),,$C$11),"")</f>
        <v>5.385140897580791E-3</v>
      </c>
      <c r="R179" s="40">
        <f>IFERROR(_xll.qlBachelierBlackFormula(IF(O179&lt;$C$4,"Put","Call"),O179,$C$4,$C$12*SQRT($C$7)),"")</f>
        <v>5.2958443342388537E-3</v>
      </c>
      <c r="S179" s="41" t="str">
        <f>IFERROR((_xll.qlBlackFormula(IF(O179&lt;$C$4,"Put","Call"),O179+$C$14,$C$4,$C$9*SQRT($C$7))-
2*_xll.qlBlackFormula(IF(O179&lt;$C$4,"Put","Call"),O179,$C$4,$C$9*SQRT($C$7))+
_xll.qlBlackFormula(IF(O179&lt;$C$4,"Put","Call"),O179-$C$14,$C$4,$C$9*SQRT($C$7)))/$C$14^2,"")</f>
        <v/>
      </c>
      <c r="T179" s="42">
        <f>IFERROR((_xll.qlBlackFormula(IF(O179&lt;$C$4,"Put","Call"),O179+$C$14,$C$4,$C$10*SQRT($C$7),,$C$11)-
2*_xll.qlBlackFormula(IF(O179&lt;$C$4,"Put","Call"),O179,$C$4,$C$10*SQRT($C$7),,$C$11)+
_xll.qlBlackFormula(IF(O179&lt;$C$4,"Put","Call"),O179-$C$14,$C$4,$C$10*SQRT($C$7),,$C$11))/$C$14^2,"")</f>
        <v>23.364241097389993</v>
      </c>
      <c r="U179" s="43">
        <f>IFERROR((_xll.qlBachelierBlackFormula(IF(O179&lt;$C$4,"Put","Call"),O179+$C$14,$C$4,$C$12*SQRT($C$7))-
2*_xll.qlBachelierBlackFormula(IF(O179&lt;$C$4,"Put","Call"),O179,$C$4,$C$12*SQRT($C$7))+
_xll.qlBachelierBlackFormula(IF(O179&lt;$C$4,"Put","Call"),O179-$C$14,$C$4,$C$12*SQRT($C$7)))/$C$14^2,"")</f>
        <v>24.499045153669741</v>
      </c>
      <c r="V179" s="61" t="str">
        <f>IFERROR(_xll.qlBachelierBlackFormulaImpliedVol(IF(O179&lt;$C$4,"Put","Call"),O179,$C$4,$C$7,P179),"")</f>
        <v/>
      </c>
      <c r="W179" s="61">
        <f>IFERROR(_xll.qlBachelierBlackFormulaImpliedVol(IF(O179&lt;$C$4,"Put","Call"),O179,$C$4,$C$7,Q179),"")</f>
        <v>7.303203529313314E-3</v>
      </c>
      <c r="X179" s="61">
        <f>IFERROR(_xll.qlBachelierBlackFormulaImpliedVol(IF(O179&lt;$C$4,"Put","Call"),O179,$C$4,$C$7,R179),"")</f>
        <v>7.2020000000000174E-3</v>
      </c>
      <c r="Y179" s="96">
        <f>_xll.qlSmileSectionVolatility($C$40,O179+$C$31)</f>
        <v>7.3161769917418767E-3</v>
      </c>
    </row>
    <row r="180" spans="15:25">
      <c r="O180" s="37">
        <f t="shared" si="2"/>
        <v>7.5000000000000015E-3</v>
      </c>
      <c r="P180" s="38" t="str">
        <f>IFERROR(_xll.qlBlackFormula(IF(O180&lt;$C$4,"Put","Call"),O180,$C$4,$C$9*SQRT($C$7)),"")</f>
        <v/>
      </c>
      <c r="Q180" s="39">
        <f>IFERROR(_xll.qlBlackFormula(IF(O180&lt;$C$4,"Put","Call"),O180,$C$4,$C$10*SQRT($C$7),,$C$11),"")</f>
        <v>5.3448037681388255E-3</v>
      </c>
      <c r="R180" s="40">
        <f>IFERROR(_xll.qlBachelierBlackFormula(IF(O180&lt;$C$4,"Put","Call"),O180,$C$4,$C$12*SQRT($C$7)),"")</f>
        <v>5.2518902854123686E-3</v>
      </c>
      <c r="S180" s="41" t="str">
        <f>IFERROR((_xll.qlBlackFormula(IF(O180&lt;$C$4,"Put","Call"),O180+$C$14,$C$4,$C$9*SQRT($C$7))-
2*_xll.qlBlackFormula(IF(O180&lt;$C$4,"Put","Call"),O180,$C$4,$C$9*SQRT($C$7))+
_xll.qlBlackFormula(IF(O180&lt;$C$4,"Put","Call"),O180-$C$14,$C$4,$C$9*SQRT($C$7)))/$C$14^2,"")</f>
        <v/>
      </c>
      <c r="T180" s="42">
        <f>IFERROR((_xll.qlBlackFormula(IF(O180&lt;$C$4,"Put","Call"),O180+$C$14,$C$4,$C$10*SQRT($C$7),,$C$11)-
2*_xll.qlBlackFormula(IF(O180&lt;$C$4,"Put","Call"),O180,$C$4,$C$10*SQRT($C$7),,$C$11)+
_xll.qlBlackFormula(IF(O180&lt;$C$4,"Put","Call"),O180-$C$14,$C$4,$C$10*SQRT($C$7),,$C$11))/$C$14^2,"")</f>
        <v>23.303137197672186</v>
      </c>
      <c r="U180" s="43">
        <f>IFERROR((_xll.qlBachelierBlackFormula(IF(O180&lt;$C$4,"Put","Call"),O180+$C$14,$C$4,$C$12*SQRT($C$7))-
2*_xll.qlBachelierBlackFormula(IF(O180&lt;$C$4,"Put","Call"),O180,$C$4,$C$12*SQRT($C$7))+
_xll.qlBachelierBlackFormula(IF(O180&lt;$C$4,"Put","Call"),O180-$C$14,$C$4,$C$12*SQRT($C$7)))/$C$14^2,"")</f>
        <v>24.475909146670638</v>
      </c>
      <c r="V180" s="61" t="str">
        <f>IFERROR(_xll.qlBachelierBlackFormulaImpliedVol(IF(O180&lt;$C$4,"Put","Call"),O180,$C$4,$C$7,P180),"")</f>
        <v/>
      </c>
      <c r="W180" s="61">
        <f>IFERROR(_xll.qlBachelierBlackFormulaImpliedVol(IF(O180&lt;$C$4,"Put","Call"),O180,$C$4,$C$7,Q180),"")</f>
        <v>7.30740016166769E-3</v>
      </c>
      <c r="X180" s="61">
        <f>IFERROR(_xll.qlBachelierBlackFormulaImpliedVol(IF(O180&lt;$C$4,"Put","Call"),O180,$C$4,$C$7,R180),"")</f>
        <v>7.2020000000000148E-3</v>
      </c>
      <c r="Y180" s="96">
        <f>_xll.qlSmileSectionVolatility($C$40,O180+$C$31)</f>
        <v>7.3210895662383733E-3</v>
      </c>
    </row>
    <row r="181" spans="15:25">
      <c r="O181" s="37">
        <f t="shared" si="2"/>
        <v>7.6000000000000017E-3</v>
      </c>
      <c r="P181" s="38" t="str">
        <f>IFERROR(_xll.qlBlackFormula(IF(O181&lt;$C$4,"Put","Call"),O181,$C$4,$C$9*SQRT($C$7)),"")</f>
        <v/>
      </c>
      <c r="Q181" s="39">
        <f>IFERROR(_xll.qlBlackFormula(IF(O181&lt;$C$4,"Put","Call"),O181,$C$4,$C$10*SQRT($C$7),,$C$11),"")</f>
        <v>5.3046996696981472E-3</v>
      </c>
      <c r="R181" s="40">
        <f>IFERROR(_xll.qlBachelierBlackFormula(IF(O181&lt;$C$4,"Put","Call"),O181,$C$4,$C$12*SQRT($C$7)),"")</f>
        <v>5.2081809949241992E-3</v>
      </c>
      <c r="S181" s="41" t="str">
        <f>IFERROR((_xll.qlBlackFormula(IF(O181&lt;$C$4,"Put","Call"),O181+$C$14,$C$4,$C$9*SQRT($C$7))-
2*_xll.qlBlackFormula(IF(O181&lt;$C$4,"Put","Call"),O181,$C$4,$C$9*SQRT($C$7))+
_xll.qlBlackFormula(IF(O181&lt;$C$4,"Put","Call"),O181-$C$14,$C$4,$C$9*SQRT($C$7)))/$C$14^2,"")</f>
        <v/>
      </c>
      <c r="T181" s="42">
        <f>IFERROR((_xll.qlBlackFormula(IF(O181&lt;$C$4,"Put","Call"),O181+$C$14,$C$4,$C$10*SQRT($C$7),,$C$11)-
2*_xll.qlBlackFormula(IF(O181&lt;$C$4,"Put","Call"),O181,$C$4,$C$10*SQRT($C$7),,$C$11)+
_xll.qlBlackFormula(IF(O181&lt;$C$4,"Put","Call"),O181-$C$14,$C$4,$C$10*SQRT($C$7),,$C$11))/$C$14^2,"")</f>
        <v>23.241443491972547</v>
      </c>
      <c r="U181" s="43">
        <f>IFERROR((_xll.qlBachelierBlackFormula(IF(O181&lt;$C$4,"Put","Call"),O181+$C$14,$C$4,$C$12*SQRT($C$7))-
2*_xll.qlBachelierBlackFormula(IF(O181&lt;$C$4,"Put","Call"),O181,$C$4,$C$12*SQRT($C$7))+
_xll.qlBachelierBlackFormula(IF(O181&lt;$C$4,"Put","Call"),O181-$C$14,$C$4,$C$12*SQRT($C$7)))/$C$14^2,"")</f>
        <v>24.451856338314482</v>
      </c>
      <c r="V181" s="61" t="str">
        <f>IFERROR(_xll.qlBachelierBlackFormulaImpliedVol(IF(O181&lt;$C$4,"Put","Call"),O181,$C$4,$C$7,P181),"")</f>
        <v/>
      </c>
      <c r="W181" s="61">
        <f>IFERROR(_xll.qlBachelierBlackFormulaImpliedVol(IF(O181&lt;$C$4,"Put","Call"),O181,$C$4,$C$7,Q181),"")</f>
        <v>7.3115952035554569E-3</v>
      </c>
      <c r="X181" s="61">
        <f>IFERROR(_xll.qlBachelierBlackFormulaImpliedVol(IF(O181&lt;$C$4,"Put","Call"),O181,$C$4,$C$7,R181),"")</f>
        <v>7.2020000000000105E-3</v>
      </c>
      <c r="Y181" s="96">
        <f>_xll.qlSmileSectionVolatility($C$40,O181+$C$31)</f>
        <v>7.3260248657713778E-3</v>
      </c>
    </row>
    <row r="182" spans="15:25">
      <c r="O182" s="37">
        <f t="shared" si="2"/>
        <v>7.700000000000002E-3</v>
      </c>
      <c r="P182" s="38" t="str">
        <f>IFERROR(_xll.qlBlackFormula(IF(O182&lt;$C$4,"Put","Call"),O182,$C$4,$C$9*SQRT($C$7)),"")</f>
        <v/>
      </c>
      <c r="Q182" s="39">
        <f>IFERROR(_xll.qlBlackFormula(IF(O182&lt;$C$4,"Put","Call"),O182,$C$4,$C$10*SQRT($C$7),,$C$11),"")</f>
        <v>5.2648279853038313E-3</v>
      </c>
      <c r="R182" s="40">
        <f>IFERROR(_xll.qlBachelierBlackFormula(IF(O182&lt;$C$4,"Put","Call"),O182,$C$4,$C$12*SQRT($C$7)),"")</f>
        <v>5.1647162222355396E-3</v>
      </c>
      <c r="S182" s="41" t="str">
        <f>IFERROR((_xll.qlBlackFormula(IF(O182&lt;$C$4,"Put","Call"),O182+$C$14,$C$4,$C$9*SQRT($C$7))-
2*_xll.qlBlackFormula(IF(O182&lt;$C$4,"Put","Call"),O182,$C$4,$C$9*SQRT($C$7))+
_xll.qlBlackFormula(IF(O182&lt;$C$4,"Put","Call"),O182-$C$14,$C$4,$C$9*SQRT($C$7)))/$C$14^2,"")</f>
        <v/>
      </c>
      <c r="T182" s="42">
        <f>IFERROR((_xll.qlBlackFormula(IF(O182&lt;$C$4,"Put","Call"),O182+$C$14,$C$4,$C$10*SQRT($C$7),,$C$11)-
2*_xll.qlBlackFormula(IF(O182&lt;$C$4,"Put","Call"),O182,$C$4,$C$10*SQRT($C$7),,$C$11)+
_xll.qlBlackFormula(IF(O182&lt;$C$4,"Put","Call"),O182-$C$14,$C$4,$C$10*SQRT($C$7),,$C$11))/$C$14^2,"")</f>
        <v>23.179146102503267</v>
      </c>
      <c r="U182" s="43">
        <f>IFERROR((_xll.qlBachelierBlackFormula(IF(O182&lt;$C$4,"Put","Call"),O182+$C$14,$C$4,$C$12*SQRT($C$7))-
2*_xll.qlBachelierBlackFormula(IF(O182&lt;$C$4,"Put","Call"),O182,$C$4,$C$12*SQRT($C$7))+
_xll.qlBachelierBlackFormula(IF(O182&lt;$C$4,"Put","Call"),O182-$C$14,$C$4,$C$12*SQRT($C$7)))/$C$14^2,"")</f>
        <v>24.426884126516057</v>
      </c>
      <c r="V182" s="61" t="str">
        <f>IFERROR(_xll.qlBachelierBlackFormulaImpliedVol(IF(O182&lt;$C$4,"Put","Call"),O182,$C$4,$C$7,P182),"")</f>
        <v/>
      </c>
      <c r="W182" s="61">
        <f>IFERROR(_xll.qlBachelierBlackFormulaImpliedVol(IF(O182&lt;$C$4,"Put","Call"),O182,$C$4,$C$7,Q182),"")</f>
        <v>7.3157886576965528E-3</v>
      </c>
      <c r="X182" s="61">
        <f>IFERROR(_xll.qlBachelierBlackFormulaImpliedVol(IF(O182&lt;$C$4,"Put","Call"),O182,$C$4,$C$7,R182),"")</f>
        <v>7.2020000000000061E-3</v>
      </c>
      <c r="Y182" s="96">
        <f>_xll.qlSmileSectionVolatility($C$40,O182+$C$31)</f>
        <v>7.3309828343181933E-3</v>
      </c>
    </row>
    <row r="183" spans="15:25">
      <c r="O183" s="37">
        <f t="shared" si="2"/>
        <v>7.8000000000000022E-3</v>
      </c>
      <c r="P183" s="38" t="str">
        <f>IFERROR(_xll.qlBlackFormula(IF(O183&lt;$C$4,"Put","Call"),O183,$C$4,$C$9*SQRT($C$7)),"")</f>
        <v/>
      </c>
      <c r="Q183" s="39">
        <f>IFERROR(_xll.qlBlackFormula(IF(O183&lt;$C$4,"Put","Call"),O183,$C$4,$C$10*SQRT($C$7),,$C$11),"")</f>
        <v>5.2251880919503765E-3</v>
      </c>
      <c r="R183" s="40">
        <f>IFERROR(_xll.qlBachelierBlackFormula(IF(O183&lt;$C$4,"Put","Call"),O183,$C$4,$C$12*SQRT($C$7)),"")</f>
        <v>5.1214957176251618E-3</v>
      </c>
      <c r="S183" s="41" t="str">
        <f>IFERROR((_xll.qlBlackFormula(IF(O183&lt;$C$4,"Put","Call"),O183+$C$14,$C$4,$C$9*SQRT($C$7))-
2*_xll.qlBlackFormula(IF(O183&lt;$C$4,"Put","Call"),O183,$C$4,$C$9*SQRT($C$7))+
_xll.qlBlackFormula(IF(O183&lt;$C$4,"Put","Call"),O183-$C$14,$C$4,$C$9*SQRT($C$7)))/$C$14^2,"")</f>
        <v/>
      </c>
      <c r="T183" s="42">
        <f>IFERROR((_xll.qlBlackFormula(IF(O183&lt;$C$4,"Put","Call"),O183+$C$14,$C$4,$C$10*SQRT($C$7),,$C$11)-
2*_xll.qlBlackFormula(IF(O183&lt;$C$4,"Put","Call"),O183,$C$4,$C$10*SQRT($C$7),,$C$11)+
_xll.qlBlackFormula(IF(O183&lt;$C$4,"Put","Call"),O183-$C$14,$C$4,$C$10*SQRT($C$7),,$C$11))/$C$14^2,"")</f>
        <v>23.116258907052156</v>
      </c>
      <c r="U183" s="43">
        <f>IFERROR((_xll.qlBachelierBlackFormula(IF(O183&lt;$C$4,"Put","Call"),O183+$C$14,$C$4,$C$12*SQRT($C$7))-
2*_xll.qlBachelierBlackFormula(IF(O183&lt;$C$4,"Put","Call"),O183,$C$4,$C$12*SQRT($C$7))+
_xll.qlBachelierBlackFormula(IF(O183&lt;$C$4,"Put","Call"),O183-$C$14,$C$4,$C$12*SQRT($C$7)))/$C$14^2,"")</f>
        <v>24.400996848084056</v>
      </c>
      <c r="V183" s="61" t="str">
        <f>IFERROR(_xll.qlBachelierBlackFormulaImpliedVol(IF(O183&lt;$C$4,"Put","Call"),O183,$C$4,$C$7,P183),"")</f>
        <v/>
      </c>
      <c r="W183" s="61">
        <f>IFERROR(_xll.qlBachelierBlackFormulaImpliedVol(IF(O183&lt;$C$4,"Put","Call"),O183,$C$4,$C$7,Q183),"")</f>
        <v>7.3199805268030832E-3</v>
      </c>
      <c r="X183" s="61">
        <f>IFERROR(_xll.qlBachelierBlackFormulaImpliedVol(IF(O183&lt;$C$4,"Put","Call"),O183,$C$4,$C$7,R183),"")</f>
        <v>7.2020000000000009E-3</v>
      </c>
      <c r="Y183" s="96">
        <f>_xll.qlSmileSectionVolatility($C$40,O183+$C$31)</f>
        <v>7.335963415161342E-3</v>
      </c>
    </row>
    <row r="184" spans="15:25">
      <c r="O184" s="37">
        <f t="shared" si="2"/>
        <v>7.9000000000000025E-3</v>
      </c>
      <c r="P184" s="38" t="str">
        <f>IFERROR(_xll.qlBlackFormula(IF(O184&lt;$C$4,"Put","Call"),O184,$C$4,$C$9*SQRT($C$7)),"")</f>
        <v/>
      </c>
      <c r="Q184" s="39">
        <f>IFERROR(_xll.qlBlackFormula(IF(O184&lt;$C$4,"Put","Call"),O184,$C$4,$C$10*SQRT($C$7),,$C$11),"")</f>
        <v>5.1857793606661789E-3</v>
      </c>
      <c r="R184" s="40">
        <f>IFERROR(_xll.qlBachelierBlackFormula(IF(O184&lt;$C$4,"Put","Call"),O184,$C$4,$C$12*SQRT($C$7)),"")</f>
        <v>5.0785192222180444E-3</v>
      </c>
      <c r="S184" s="41" t="str">
        <f>IFERROR((_xll.qlBlackFormula(IF(O184&lt;$C$4,"Put","Call"),O184+$C$14,$C$4,$C$9*SQRT($C$7))-
2*_xll.qlBlackFormula(IF(O184&lt;$C$4,"Put","Call"),O184,$C$4,$C$9*SQRT($C$7))+
_xll.qlBlackFormula(IF(O184&lt;$C$4,"Put","Call"),O184-$C$14,$C$4,$C$9*SQRT($C$7)))/$C$14^2,"")</f>
        <v/>
      </c>
      <c r="T184" s="42">
        <f>IFERROR((_xll.qlBlackFormula(IF(O184&lt;$C$4,"Put","Call"),O184+$C$14,$C$4,$C$10*SQRT($C$7),,$C$11)-
2*_xll.qlBlackFormula(IF(O184&lt;$C$4,"Put","Call"),O184,$C$4,$C$10*SQRT($C$7),,$C$11)+
_xll.qlBlackFormula(IF(O184&lt;$C$4,"Put","Call"),O184-$C$14,$C$4,$C$10*SQRT($C$7),,$C$11))/$C$14^2,"")</f>
        <v>23.052761088937501</v>
      </c>
      <c r="U184" s="43">
        <f>IFERROR((_xll.qlBachelierBlackFormula(IF(O184&lt;$C$4,"Put","Call"),O184+$C$14,$C$4,$C$12*SQRT($C$7))-
2*_xll.qlBachelierBlackFormula(IF(O184&lt;$C$4,"Put","Call"),O184,$C$4,$C$12*SQRT($C$7))+
_xll.qlBachelierBlackFormula(IF(O184&lt;$C$4,"Put","Call"),O184-$C$14,$C$4,$C$12*SQRT($C$7)))/$C$14^2,"")</f>
        <v>24.374198839827166</v>
      </c>
      <c r="V184" s="61" t="str">
        <f>IFERROR(_xll.qlBachelierBlackFormulaImpliedVol(IF(O184&lt;$C$4,"Put","Call"),O184,$C$4,$C$7,P184),"")</f>
        <v/>
      </c>
      <c r="W184" s="61">
        <f>IFERROR(_xll.qlBachelierBlackFormulaImpliedVol(IF(O184&lt;$C$4,"Put","Call"),O184,$C$4,$C$7,Q184),"")</f>
        <v>7.3241708135793364E-3</v>
      </c>
      <c r="X184" s="61">
        <f>IFERROR(_xll.qlBachelierBlackFormulaImpliedVol(IF(O184&lt;$C$4,"Put","Call"),O184,$C$4,$C$7,R184),"")</f>
        <v>7.2019999999999949E-3</v>
      </c>
      <c r="Y184" s="96">
        <f>_xll.qlSmileSectionVolatility($C$40,O184+$C$31)</f>
        <v>7.3409665508982263E-3</v>
      </c>
    </row>
    <row r="185" spans="15:25">
      <c r="O185" s="37">
        <f t="shared" si="2"/>
        <v>8.0000000000000019E-3</v>
      </c>
      <c r="P185" s="38" t="str">
        <f>IFERROR(_xll.qlBlackFormula(IF(O185&lt;$C$4,"Put","Call"),O185,$C$4,$C$9*SQRT($C$7)),"")</f>
        <v/>
      </c>
      <c r="Q185" s="39">
        <f>IFERROR(_xll.qlBlackFormula(IF(O185&lt;$C$4,"Put","Call"),O185,$C$4,$C$10*SQRT($C$7),,$C$11),"")</f>
        <v>5.1466011565979644E-3</v>
      </c>
      <c r="R185" s="40">
        <f>IFERROR(_xll.qlBachelierBlackFormula(IF(O185&lt;$C$4,"Put","Call"),O185,$C$4,$C$12*SQRT($C$7)),"")</f>
        <v>5.0357864680150325E-3</v>
      </c>
      <c r="S185" s="41" t="str">
        <f>IFERROR((_xll.qlBlackFormula(IF(O185&lt;$C$4,"Put","Call"),O185+$C$14,$C$4,$C$9*SQRT($C$7))-
2*_xll.qlBlackFormula(IF(O185&lt;$C$4,"Put","Call"),O185,$C$4,$C$9*SQRT($C$7))+
_xll.qlBlackFormula(IF(O185&lt;$C$4,"Put","Call"),O185-$C$14,$C$4,$C$9*SQRT($C$7)))/$C$14^2,"")</f>
        <v/>
      </c>
      <c r="T185" s="42">
        <f>IFERROR((_xll.qlBlackFormula(IF(O185&lt;$C$4,"Put","Call"),O185+$C$14,$C$4,$C$10*SQRT($C$7),,$C$11)-
2*_xll.qlBlackFormula(IF(O185&lt;$C$4,"Put","Call"),O185,$C$4,$C$10*SQRT($C$7),,$C$11)+
_xll.qlBlackFormula(IF(O185&lt;$C$4,"Put","Call"),O185-$C$14,$C$4,$C$10*SQRT($C$7),,$C$11))/$C$14^2,"")</f>
        <v>22.988715098204437</v>
      </c>
      <c r="U185" s="43">
        <f>IFERROR((_xll.qlBachelierBlackFormula(IF(O185&lt;$C$4,"Put","Call"),O185+$C$14,$C$4,$C$12*SQRT($C$7))-
2*_xll.qlBachelierBlackFormula(IF(O185&lt;$C$4,"Put","Call"),O185,$C$4,$C$12*SQRT($C$7))+
_xll.qlBachelierBlackFormula(IF(O185&lt;$C$4,"Put","Call"),O185-$C$14,$C$4,$C$12*SQRT($C$7)))/$C$14^2,"")</f>
        <v>24.346485764936698</v>
      </c>
      <c r="V185" s="61" t="str">
        <f>IFERROR(_xll.qlBachelierBlackFormulaImpliedVol(IF(O185&lt;$C$4,"Put","Call"),O185,$C$4,$C$7,P185),"")</f>
        <v/>
      </c>
      <c r="W185" s="61">
        <f>IFERROR(_xll.qlBachelierBlackFormulaImpliedVol(IF(O185&lt;$C$4,"Put","Call"),O185,$C$4,$C$7,Q185),"")</f>
        <v>7.3283595207217743E-3</v>
      </c>
      <c r="X185" s="61">
        <f>IFERROR(_xll.qlBachelierBlackFormulaImpliedVol(IF(O185&lt;$C$4,"Put","Call"),O185,$C$4,$C$7,R185),"")</f>
        <v>7.2019999999999923E-3</v>
      </c>
      <c r="Y185" s="96">
        <f>_xll.qlSmileSectionVolatility($C$40,O185+$C$31)</f>
        <v>7.3459921834516332E-3</v>
      </c>
    </row>
    <row r="186" spans="15:25">
      <c r="O186" s="37">
        <f t="shared" si="2"/>
        <v>8.1000000000000013E-3</v>
      </c>
      <c r="P186" s="38" t="str">
        <f>IFERROR(_xll.qlBlackFormula(IF(O186&lt;$C$4,"Put","Call"),O186,$C$4,$C$9*SQRT($C$7)),"")</f>
        <v/>
      </c>
      <c r="Q186" s="39">
        <f>IFERROR(_xll.qlBlackFormula(IF(O186&lt;$C$4,"Put","Call"),O186,$C$4,$C$10*SQRT($C$7),,$C$11),"")</f>
        <v>5.1076528390953876E-3</v>
      </c>
      <c r="R186" s="40">
        <f>IFERROR(_xll.qlBachelierBlackFormula(IF(O186&lt;$C$4,"Put","Call"),O186,$C$4,$C$12*SQRT($C$7)),"")</f>
        <v>4.9932971779234987E-3</v>
      </c>
      <c r="S186" s="41" t="str">
        <f>IFERROR((_xll.qlBlackFormula(IF(O186&lt;$C$4,"Put","Call"),O186+$C$14,$C$4,$C$9*SQRT($C$7))-
2*_xll.qlBlackFormula(IF(O186&lt;$C$4,"Put","Call"),O186,$C$4,$C$9*SQRT($C$7))+
_xll.qlBlackFormula(IF(O186&lt;$C$4,"Put","Call"),O186-$C$14,$C$4,$C$9*SQRT($C$7)))/$C$14^2,"")</f>
        <v/>
      </c>
      <c r="T186" s="42">
        <f>IFERROR((_xll.qlBlackFormula(IF(O186&lt;$C$4,"Put","Call"),O186+$C$14,$C$4,$C$10*SQRT($C$7),,$C$11)-
2*_xll.qlBlackFormula(IF(O186&lt;$C$4,"Put","Call"),O186,$C$4,$C$10*SQRT($C$7),,$C$11)+
_xll.qlBlackFormula(IF(O186&lt;$C$4,"Put","Call"),O186-$C$14,$C$4,$C$10*SQRT($C$7),,$C$11))/$C$14^2,"")</f>
        <v>22.924051545913926</v>
      </c>
      <c r="U186" s="43">
        <f>IFERROR((_xll.qlBachelierBlackFormula(IF(O186&lt;$C$4,"Put","Call"),O186+$C$14,$C$4,$C$12*SQRT($C$7))-
2*_xll.qlBachelierBlackFormula(IF(O186&lt;$C$4,"Put","Call"),O186,$C$4,$C$12*SQRT($C$7))+
_xll.qlBachelierBlackFormula(IF(O186&lt;$C$4,"Put","Call"),O186-$C$14,$C$4,$C$12*SQRT($C$7)))/$C$14^2,"")</f>
        <v>24.317869766476985</v>
      </c>
      <c r="V186" s="61" t="str">
        <f>IFERROR(_xll.qlBachelierBlackFormulaImpliedVol(IF(O186&lt;$C$4,"Put","Call"),O186,$C$4,$C$7,P186),"")</f>
        <v/>
      </c>
      <c r="W186" s="61">
        <f>IFERROR(_xll.qlBachelierBlackFormulaImpliedVol(IF(O186&lt;$C$4,"Put","Call"),O186,$C$4,$C$7,Q186),"")</f>
        <v>7.3325466509191629E-3</v>
      </c>
      <c r="X186" s="61">
        <f>IFERROR(_xll.qlBachelierBlackFormulaImpliedVol(IF(O186&lt;$C$4,"Put","Call"),O186,$C$4,$C$7,R186),"")</f>
        <v>7.2019999999999862E-3</v>
      </c>
      <c r="Y186" s="96">
        <f>_xll.qlSmileSectionVolatility($C$40,O186+$C$31)</f>
        <v>7.3510402540796615E-3</v>
      </c>
    </row>
    <row r="187" spans="15:25">
      <c r="O187" s="37">
        <f t="shared" si="2"/>
        <v>8.2000000000000007E-3</v>
      </c>
      <c r="P187" s="38" t="str">
        <f>IFERROR(_xll.qlBlackFormula(IF(O187&lt;$C$4,"Put","Call"),O187,$C$4,$C$9*SQRT($C$7)),"")</f>
        <v/>
      </c>
      <c r="Q187" s="39">
        <f>IFERROR(_xll.qlBlackFormula(IF(O187&lt;$C$4,"Put","Call"),O187,$C$4,$C$10*SQRT($C$7),,$C$11),"")</f>
        <v>5.0689337617954161E-3</v>
      </c>
      <c r="R187" s="40">
        <f>IFERROR(_xll.qlBachelierBlackFormula(IF(O187&lt;$C$4,"Put","Call"),O187,$C$4,$C$12*SQRT($C$7)),"")</f>
        <v>4.9510510657890545E-3</v>
      </c>
      <c r="S187" s="41" t="str">
        <f>IFERROR((_xll.qlBlackFormula(IF(O187&lt;$C$4,"Put","Call"),O187+$C$14,$C$4,$C$9*SQRT($C$7))-
2*_xll.qlBlackFormula(IF(O187&lt;$C$4,"Put","Call"),O187,$C$4,$C$9*SQRT($C$7))+
_xll.qlBlackFormula(IF(O187&lt;$C$4,"Put","Call"),O187-$C$14,$C$4,$C$9*SQRT($C$7)))/$C$14^2,"")</f>
        <v/>
      </c>
      <c r="T187" s="42">
        <f>IFERROR((_xll.qlBlackFormula(IF(O187&lt;$C$4,"Put","Call"),O187+$C$14,$C$4,$C$10*SQRT($C$7),,$C$11)-
2*_xll.qlBlackFormula(IF(O187&lt;$C$4,"Put","Call"),O187,$C$4,$C$10*SQRT($C$7),,$C$11)+
_xll.qlBlackFormula(IF(O187&lt;$C$4,"Put","Call"),O187-$C$14,$C$4,$C$10*SQRT($C$7),,$C$11))/$C$14^2,"")</f>
        <v>22.858888393262333</v>
      </c>
      <c r="U187" s="43">
        <f>IFERROR((_xll.qlBachelierBlackFormula(IF(O187&lt;$C$4,"Put","Call"),O187+$C$14,$C$4,$C$12*SQRT($C$7))-
2*_xll.qlBachelierBlackFormula(IF(O187&lt;$C$4,"Put","Call"),O187,$C$4,$C$12*SQRT($C$7))+
_xll.qlBachelierBlackFormula(IF(O187&lt;$C$4,"Put","Call"),O187-$C$14,$C$4,$C$12*SQRT($C$7)))/$C$14^2,"")</f>
        <v>24.288351711809764</v>
      </c>
      <c r="V187" s="61" t="str">
        <f>IFERROR(_xll.qlBachelierBlackFormulaImpliedVol(IF(O187&lt;$C$4,"Put","Call"),O187,$C$4,$C$7,P187),"")</f>
        <v/>
      </c>
      <c r="W187" s="61">
        <f>IFERROR(_xll.qlBachelierBlackFormulaImpliedVol(IF(O187&lt;$C$4,"Put","Call"),O187,$C$4,$C$7,Q187),"")</f>
        <v>7.3367322068524747E-3</v>
      </c>
      <c r="X187" s="61">
        <f>IFERROR(_xll.qlBachelierBlackFormulaImpliedVol(IF(O187&lt;$C$4,"Put","Call"),O187,$C$4,$C$7,R187),"")</f>
        <v>7.201999999999981E-3</v>
      </c>
      <c r="Y187" s="96">
        <f>_xll.qlSmileSectionVolatility($C$40,O187+$C$31)</f>
        <v>7.3561107033858278E-3</v>
      </c>
    </row>
    <row r="188" spans="15:25">
      <c r="O188" s="37">
        <f t="shared" si="2"/>
        <v>8.3000000000000001E-3</v>
      </c>
      <c r="P188" s="38" t="str">
        <f>IFERROR(_xll.qlBlackFormula(IF(O188&lt;$C$4,"Put","Call"),O188,$C$4,$C$9*SQRT($C$7)),"")</f>
        <v/>
      </c>
      <c r="Q188" s="39">
        <f>IFERROR(_xll.qlBlackFormula(IF(O188&lt;$C$4,"Put","Call"),O188,$C$4,$C$10*SQRT($C$7),,$C$11),"")</f>
        <v>5.0304432727069845E-3</v>
      </c>
      <c r="R188" s="40">
        <f>IFERROR(_xll.qlBachelierBlackFormula(IF(O188&lt;$C$4,"Put","Call"),O188,$C$4,$C$12*SQRT($C$7)),"")</f>
        <v>4.909047836428245E-3</v>
      </c>
      <c r="S188" s="41" t="str">
        <f>IFERROR((_xll.qlBlackFormula(IF(O188&lt;$C$4,"Put","Call"),O188+$C$14,$C$4,$C$9*SQRT($C$7))-
2*_xll.qlBlackFormula(IF(O188&lt;$C$4,"Put","Call"),O188,$C$4,$C$9*SQRT($C$7))+
_xll.qlBlackFormula(IF(O188&lt;$C$4,"Put","Call"),O188-$C$14,$C$4,$C$9*SQRT($C$7)))/$C$14^2,"")</f>
        <v/>
      </c>
      <c r="T188" s="42">
        <f>IFERROR((_xll.qlBlackFormula(IF(O188&lt;$C$4,"Put","Call"),O188+$C$14,$C$4,$C$10*SQRT($C$7),,$C$11)-
2*_xll.qlBlackFormula(IF(O188&lt;$C$4,"Put","Call"),O188,$C$4,$C$10*SQRT($C$7),,$C$11)+
_xll.qlBlackFormula(IF(O188&lt;$C$4,"Put","Call"),O188-$C$14,$C$4,$C$10*SQRT($C$7),,$C$11))/$C$14^2,"")</f>
        <v>22.793114617947197</v>
      </c>
      <c r="U188" s="43">
        <f>IFERROR((_xll.qlBachelierBlackFormula(IF(O188&lt;$C$4,"Put","Call"),O188+$C$14,$C$4,$C$12*SQRT($C$7))-
2*_xll.qlBachelierBlackFormula(IF(O188&lt;$C$4,"Put","Call"),O188,$C$4,$C$12*SQRT($C$7))+
_xll.qlBachelierBlackFormula(IF(O188&lt;$C$4,"Put","Call"),O188-$C$14,$C$4,$C$12*SQRT($C$7)))/$C$14^2,"")</f>
        <v>24.25793333565851</v>
      </c>
      <c r="V188" s="61" t="str">
        <f>IFERROR(_xll.qlBachelierBlackFormulaImpliedVol(IF(O188&lt;$C$4,"Put","Call"),O188,$C$4,$C$7,P188),"")</f>
        <v/>
      </c>
      <c r="W188" s="61">
        <f>IFERROR(_xll.qlBachelierBlackFormulaImpliedVol(IF(O188&lt;$C$4,"Put","Call"),O188,$C$4,$C$7,Q188),"")</f>
        <v>7.3409161911950791E-3</v>
      </c>
      <c r="X188" s="61">
        <f>IFERROR(_xll.qlBachelierBlackFormulaImpliedVol(IF(O188&lt;$C$4,"Put","Call"),O188,$C$4,$C$7,R188),"")</f>
        <v>7.2019999999999732E-3</v>
      </c>
      <c r="Y188" s="96">
        <f>_xll.qlSmileSectionVolatility($C$40,O188+$C$31)</f>
        <v>7.361203471329395E-3</v>
      </c>
    </row>
    <row r="189" spans="15:25">
      <c r="O189" s="37">
        <f t="shared" si="2"/>
        <v>8.3999999999999995E-3</v>
      </c>
      <c r="P189" s="38" t="str">
        <f>IFERROR(_xll.qlBlackFormula(IF(O189&lt;$C$4,"Put","Call"),O189,$C$4,$C$9*SQRT($C$7)),"")</f>
        <v/>
      </c>
      <c r="Q189" s="39">
        <f>IFERROR(_xll.qlBlackFormula(IF(O189&lt;$C$4,"Put","Call"),O189,$C$4,$C$10*SQRT($C$7),,$C$11),"")</f>
        <v>4.9921807142952954E-3</v>
      </c>
      <c r="R189" s="40">
        <f>IFERROR(_xll.qlBachelierBlackFormula(IF(O189&lt;$C$4,"Put","Call"),O189,$C$4,$C$12*SQRT($C$7)),"")</f>
        <v>4.8672871856622613E-3</v>
      </c>
      <c r="S189" s="41" t="str">
        <f>IFERROR((_xll.qlBlackFormula(IF(O189&lt;$C$4,"Put","Call"),O189+$C$14,$C$4,$C$9*SQRT($C$7))-
2*_xll.qlBlackFormula(IF(O189&lt;$C$4,"Put","Call"),O189,$C$4,$C$9*SQRT($C$7))+
_xll.qlBlackFormula(IF(O189&lt;$C$4,"Put","Call"),O189-$C$14,$C$4,$C$9*SQRT($C$7)))/$C$14^2,"")</f>
        <v/>
      </c>
      <c r="T189" s="42">
        <f>IFERROR((_xll.qlBlackFormula(IF(O189&lt;$C$4,"Put","Call"),O189+$C$14,$C$4,$C$10*SQRT($C$7),,$C$11)-
2*_xll.qlBlackFormula(IF(O189&lt;$C$4,"Put","Call"),O189,$C$4,$C$10*SQRT($C$7),,$C$11)+
_xll.qlBlackFormula(IF(O189&lt;$C$4,"Put","Call"),O189-$C$14,$C$4,$C$10*SQRT($C$7),,$C$11))/$C$14^2,"")</f>
        <v>22.726827364483171</v>
      </c>
      <c r="U189" s="43">
        <f>IFERROR((_xll.qlBachelierBlackFormula(IF(O189&lt;$C$4,"Put","Call"),O189+$C$14,$C$4,$C$12*SQRT($C$7))-
2*_xll.qlBachelierBlackFormula(IF(O189&lt;$C$4,"Put","Call"),O189,$C$4,$C$12*SQRT($C$7))+
_xll.qlBachelierBlackFormula(IF(O189&lt;$C$4,"Put","Call"),O189-$C$14,$C$4,$C$12*SQRT($C$7)))/$C$14^2,"")</f>
        <v>24.226621576917129</v>
      </c>
      <c r="V189" s="61" t="str">
        <f>IFERROR(_xll.qlBachelierBlackFormulaImpliedVol(IF(O189&lt;$C$4,"Put","Call"),O189,$C$4,$C$7,P189),"")</f>
        <v/>
      </c>
      <c r="W189" s="61">
        <f>IFERROR(_xll.qlBachelierBlackFormulaImpliedVol(IF(O189&lt;$C$4,"Put","Call"),O189,$C$4,$C$7,Q189),"")</f>
        <v>7.3450986066125939E-3</v>
      </c>
      <c r="X189" s="61">
        <f>IFERROR(_xll.qlBachelierBlackFormulaImpliedVol(IF(O189&lt;$C$4,"Put","Call"),O189,$C$4,$C$7,R189),"")</f>
        <v>7.2019999999999697E-3</v>
      </c>
      <c r="Y189" s="96">
        <f>_xll.qlSmileSectionVolatility($C$40,O189+$C$31)</f>
        <v>7.3663184972355194E-3</v>
      </c>
    </row>
    <row r="190" spans="15:25">
      <c r="O190" s="37">
        <f t="shared" si="2"/>
        <v>8.4999999999999989E-3</v>
      </c>
      <c r="P190" s="38" t="str">
        <f>IFERROR(_xll.qlBlackFormula(IF(O190&lt;$C$4,"Put","Call"),O190,$C$4,$C$9*SQRT($C$7)),"")</f>
        <v/>
      </c>
      <c r="Q190" s="39">
        <f>IFERROR(_xll.qlBlackFormula(IF(O190&lt;$C$4,"Put","Call"),O190,$C$4,$C$10*SQRT($C$7),,$C$11),"")</f>
        <v>4.9541454235664181E-3</v>
      </c>
      <c r="R190" s="40">
        <f>IFERROR(_xll.qlBachelierBlackFormula(IF(O190&lt;$C$4,"Put","Call"),O190,$C$4,$C$12*SQRT($C$7)),"")</f>
        <v>4.8257688003516489E-3</v>
      </c>
      <c r="S190" s="41" t="str">
        <f>IFERROR((_xll.qlBlackFormula(IF(O190&lt;$C$4,"Put","Call"),O190+$C$14,$C$4,$C$9*SQRT($C$7))-
2*_xll.qlBlackFormula(IF(O190&lt;$C$4,"Put","Call"),O190,$C$4,$C$9*SQRT($C$7))+
_xll.qlBlackFormula(IF(O190&lt;$C$4,"Put","Call"),O190-$C$14,$C$4,$C$9*SQRT($C$7)))/$C$14^2,"")</f>
        <v/>
      </c>
      <c r="T190" s="42">
        <f>IFERROR((_xll.qlBlackFormula(IF(O190&lt;$C$4,"Put","Call"),O190+$C$14,$C$4,$C$10*SQRT($C$7),,$C$11)-
2*_xll.qlBlackFormula(IF(O190&lt;$C$4,"Put","Call"),O190,$C$4,$C$10*SQRT($C$7),,$C$11)+
_xll.qlBlackFormula(IF(O190&lt;$C$4,"Put","Call"),O190-$C$14,$C$4,$C$10*SQRT($C$7),,$C$11))/$C$14^2,"")</f>
        <v>22.659978060612929</v>
      </c>
      <c r="U190" s="43">
        <f>IFERROR((_xll.qlBachelierBlackFormula(IF(O190&lt;$C$4,"Put","Call"),O190+$C$14,$C$4,$C$12*SQRT($C$7))-
2*_xll.qlBachelierBlackFormula(IF(O190&lt;$C$4,"Put","Call"),O190,$C$4,$C$12*SQRT($C$7))+
_xll.qlBachelierBlackFormula(IF(O190&lt;$C$4,"Put","Call"),O190-$C$14,$C$4,$C$12*SQRT($C$7)))/$C$14^2,"")</f>
        <v>24.194415568223882</v>
      </c>
      <c r="V190" s="61" t="str">
        <f>IFERROR(_xll.qlBachelierBlackFormulaImpliedVol(IF(O190&lt;$C$4,"Put","Call"),O190,$C$4,$C$7,P190),"")</f>
        <v/>
      </c>
      <c r="W190" s="61">
        <f>IFERROR(_xll.qlBachelierBlackFormulaImpliedVol(IF(O190&lt;$C$4,"Put","Call"),O190,$C$4,$C$7,Q190),"")</f>
        <v>7.3492794557630794E-3</v>
      </c>
      <c r="X190" s="61">
        <f>IFERROR(_xll.qlBachelierBlackFormulaImpliedVol(IF(O190&lt;$C$4,"Put","Call"),O190,$C$4,$C$7,R190),"")</f>
        <v>7.2019999999999636E-3</v>
      </c>
      <c r="Y190" s="96">
        <f>_xll.qlSmileSectionVolatility($C$40,O190+$C$31)</f>
        <v>7.3714557198054824E-3</v>
      </c>
    </row>
    <row r="191" spans="15:25">
      <c r="O191" s="37">
        <f t="shared" si="2"/>
        <v>8.5999999999999983E-3</v>
      </c>
      <c r="P191" s="38" t="str">
        <f>IFERROR(_xll.qlBlackFormula(IF(O191&lt;$C$4,"Put","Call"),O191,$C$4,$C$9*SQRT($C$7)),"")</f>
        <v/>
      </c>
      <c r="Q191" s="39">
        <f>IFERROR(_xll.qlBlackFormula(IF(O191&lt;$C$4,"Put","Call"),O191,$C$4,$C$10*SQRT($C$7),,$C$11),"")</f>
        <v>4.9163367321515411E-3</v>
      </c>
      <c r="R191" s="40">
        <f>IFERROR(_xll.qlBachelierBlackFormula(IF(O191&lt;$C$4,"Put","Call"),O191,$C$4,$C$12*SQRT($C$7)),"")</f>
        <v>4.784492358432005E-3</v>
      </c>
      <c r="S191" s="41" t="str">
        <f>IFERROR((_xll.qlBlackFormula(IF(O191&lt;$C$4,"Put","Call"),O191+$C$14,$C$4,$C$9*SQRT($C$7))-
2*_xll.qlBlackFormula(IF(O191&lt;$C$4,"Put","Call"),O191,$C$4,$C$9*SQRT($C$7))+
_xll.qlBlackFormula(IF(O191&lt;$C$4,"Put","Call"),O191-$C$14,$C$4,$C$9*SQRT($C$7)))/$C$14^2,"")</f>
        <v/>
      </c>
      <c r="T191" s="42">
        <f>IFERROR((_xll.qlBlackFormula(IF(O191&lt;$C$4,"Put","Call"),O191+$C$14,$C$4,$C$10*SQRT($C$7),,$C$11)-
2*_xll.qlBlackFormula(IF(O191&lt;$C$4,"Put","Call"),O191,$C$4,$C$10*SQRT($C$7),,$C$11)+
_xll.qlBlackFormula(IF(O191&lt;$C$4,"Put","Call"),O191-$C$14,$C$4,$C$10*SQRT($C$7),,$C$11))/$C$14^2,"")</f>
        <v>22.592594461912086</v>
      </c>
      <c r="U191" s="43">
        <f>IFERROR((_xll.qlBachelierBlackFormula(IF(O191&lt;$C$4,"Put","Call"),O191+$C$14,$C$4,$C$12*SQRT($C$7))-
2*_xll.qlBachelierBlackFormula(IF(O191&lt;$C$4,"Put","Call"),O191,$C$4,$C$12*SQRT($C$7))+
_xll.qlBachelierBlackFormula(IF(O191&lt;$C$4,"Put","Call"),O191-$C$14,$C$4,$C$12*SQRT($C$7)))/$C$14^2,"")</f>
        <v>24.161319646387458</v>
      </c>
      <c r="V191" s="61" t="str">
        <f>IFERROR(_xll.qlBachelierBlackFormulaImpliedVol(IF(O191&lt;$C$4,"Put","Call"),O191,$C$4,$C$7,P191),"")</f>
        <v/>
      </c>
      <c r="W191" s="61">
        <f>IFERROR(_xll.qlBachelierBlackFormulaImpliedVol(IF(O191&lt;$C$4,"Put","Call"),O191,$C$4,$C$7,Q191),"")</f>
        <v>7.3534587412969268E-3</v>
      </c>
      <c r="X191" s="61">
        <f>IFERROR(_xll.qlBachelierBlackFormulaImpliedVol(IF(O191&lt;$C$4,"Put","Call"),O191,$C$4,$C$7,R191),"")</f>
        <v>7.2019999999999619E-3</v>
      </c>
      <c r="Y191" s="96">
        <f>_xll.qlSmileSectionVolatility($C$40,O191+$C$31)</f>
        <v>7.3766150771268323E-3</v>
      </c>
    </row>
    <row r="192" spans="15:25">
      <c r="O192" s="37">
        <f t="shared" si="2"/>
        <v>8.6999999999999977E-3</v>
      </c>
      <c r="P192" s="38" t="str">
        <f>IFERROR(_xll.qlBlackFormula(IF(O192&lt;$C$4,"Put","Call"),O192,$C$4,$C$9*SQRT($C$7)),"")</f>
        <v/>
      </c>
      <c r="Q192" s="39">
        <f>IFERROR(_xll.qlBlackFormula(IF(O192&lt;$C$4,"Put","Call"),O192,$C$4,$C$10*SQRT($C$7),,$C$11),"")</f>
        <v>4.8787539663913901E-3</v>
      </c>
      <c r="R192" s="40">
        <f>IFERROR(_xll.qlBachelierBlackFormula(IF(O192&lt;$C$4,"Put","Call"),O192,$C$4,$C$12*SQRT($C$7)),"")</f>
        <v>4.7434575289506641E-3</v>
      </c>
      <c r="S192" s="41" t="str">
        <f>IFERROR((_xll.qlBlackFormula(IF(O192&lt;$C$4,"Put","Call"),O192+$C$14,$C$4,$C$9*SQRT($C$7))-
2*_xll.qlBlackFormula(IF(O192&lt;$C$4,"Put","Call"),O192,$C$4,$C$9*SQRT($C$7))+
_xll.qlBlackFormula(IF(O192&lt;$C$4,"Put","Call"),O192-$C$14,$C$4,$C$9*SQRT($C$7)))/$C$14^2,"")</f>
        <v/>
      </c>
      <c r="T192" s="42">
        <f>IFERROR((_xll.qlBlackFormula(IF(O192&lt;$C$4,"Put","Call"),O192+$C$14,$C$4,$C$10*SQRT($C$7),,$C$11)-
2*_xll.qlBlackFormula(IF(O192&lt;$C$4,"Put","Call"),O192,$C$4,$C$10*SQRT($C$7),,$C$11)+
_xll.qlBlackFormula(IF(O192&lt;$C$4,"Put","Call"),O192-$C$14,$C$4,$C$10*SQRT($C$7),,$C$11))/$C$14^2,"")</f>
        <v>22.524739018425777</v>
      </c>
      <c r="U192" s="43">
        <f>IFERROR((_xll.qlBachelierBlackFormula(IF(O192&lt;$C$4,"Put","Call"),O192+$C$14,$C$4,$C$12*SQRT($C$7))-
2*_xll.qlBachelierBlackFormula(IF(O192&lt;$C$4,"Put","Call"),O192,$C$4,$C$12*SQRT($C$7))+
_xll.qlBachelierBlackFormula(IF(O192&lt;$C$4,"Put","Call"),O192-$C$14,$C$4,$C$12*SQRT($C$7)))/$C$14^2,"")</f>
        <v>24.127336413493072</v>
      </c>
      <c r="V192" s="61" t="str">
        <f>IFERROR(_xll.qlBachelierBlackFormulaImpliedVol(IF(O192&lt;$C$4,"Put","Call"),O192,$C$4,$C$7,P192),"")</f>
        <v/>
      </c>
      <c r="W192" s="61">
        <f>IFERROR(_xll.qlBachelierBlackFormulaImpliedVol(IF(O192&lt;$C$4,"Put","Call"),O192,$C$4,$C$7,Q192),"")</f>
        <v>7.3576364658569917E-3</v>
      </c>
      <c r="X192" s="61">
        <f>IFERROR(_xll.qlBachelierBlackFormulaImpliedVol(IF(O192&lt;$C$4,"Put","Call"),O192,$C$4,$C$7,R192),"")</f>
        <v>7.2019999999999558E-3</v>
      </c>
      <c r="Y192" s="96">
        <f>_xll.qlSmileSectionVolatility($C$40,O192+$C$31)</f>
        <v>7.3817965066836763E-3</v>
      </c>
    </row>
    <row r="193" spans="15:25">
      <c r="O193" s="37">
        <f t="shared" si="2"/>
        <v>8.7999999999999971E-3</v>
      </c>
      <c r="P193" s="38" t="str">
        <f>IFERROR(_xll.qlBlackFormula(IF(O193&lt;$C$4,"Put","Call"),O193,$C$4,$C$9*SQRT($C$7)),"")</f>
        <v/>
      </c>
      <c r="Q193" s="39">
        <f>IFERROR(_xll.qlBlackFormula(IF(O193&lt;$C$4,"Put","Call"),O193,$C$4,$C$10*SQRT($C$7),,$C$11),"")</f>
        <v>4.8413964474204943E-3</v>
      </c>
      <c r="R193" s="40">
        <f>IFERROR(_xll.qlBachelierBlackFormula(IF(O193&lt;$C$4,"Put","Call"),O193,$C$4,$C$12*SQRT($C$7)),"")</f>
        <v>4.7026639721043598E-3</v>
      </c>
      <c r="S193" s="41" t="str">
        <f>IFERROR((_xll.qlBlackFormula(IF(O193&lt;$C$4,"Put","Call"),O193+$C$14,$C$4,$C$9*SQRT($C$7))-
2*_xll.qlBlackFormula(IF(O193&lt;$C$4,"Put","Call"),O193,$C$4,$C$9*SQRT($C$7))+
_xll.qlBlackFormula(IF(O193&lt;$C$4,"Put","Call"),O193-$C$14,$C$4,$C$9*SQRT($C$7)))/$C$14^2,"")</f>
        <v/>
      </c>
      <c r="T193" s="42">
        <f>IFERROR((_xll.qlBlackFormula(IF(O193&lt;$C$4,"Put","Call"),O193+$C$14,$C$4,$C$10*SQRT($C$7),,$C$11)-
2*_xll.qlBlackFormula(IF(O193&lt;$C$4,"Put","Call"),O193,$C$4,$C$10*SQRT($C$7),,$C$11)+
_xll.qlBlackFormula(IF(O193&lt;$C$4,"Put","Call"),O193-$C$14,$C$4,$C$10*SQRT($C$7),,$C$11))/$C$14^2,"")</f>
        <v>22.456328463427155</v>
      </c>
      <c r="U193" s="43">
        <f>IFERROR((_xll.qlBachelierBlackFormula(IF(O193&lt;$C$4,"Put","Call"),O193+$C$14,$C$4,$C$12*SQRT($C$7))-
2*_xll.qlBachelierBlackFormula(IF(O193&lt;$C$4,"Put","Call"),O193,$C$4,$C$12*SQRT($C$7))+
_xll.qlBachelierBlackFormula(IF(O193&lt;$C$4,"Put","Call"),O193-$C$14,$C$4,$C$12*SQRT($C$7)))/$C$14^2,"")</f>
        <v>24.092473675796366</v>
      </c>
      <c r="V193" s="61" t="str">
        <f>IFERROR(_xll.qlBachelierBlackFormulaImpliedVol(IF(O193&lt;$C$4,"Put","Call"),O193,$C$4,$C$7,P193),"")</f>
        <v/>
      </c>
      <c r="W193" s="61">
        <f>IFERROR(_xll.qlBachelierBlackFormulaImpliedVol(IF(O193&lt;$C$4,"Put","Call"),O193,$C$4,$C$7,Q193),"")</f>
        <v>7.3618126320786148E-3</v>
      </c>
      <c r="X193" s="61">
        <f>IFERROR(_xll.qlBachelierBlackFormulaImpliedVol(IF(O193&lt;$C$4,"Put","Call"),O193,$C$4,$C$7,R193),"")</f>
        <v>7.201999999999955E-3</v>
      </c>
      <c r="Y193" s="96">
        <f>_xll.qlSmileSectionVolatility($C$40,O193+$C$31)</f>
        <v>7.3869999453670199E-3</v>
      </c>
    </row>
    <row r="194" spans="15:25">
      <c r="O194" s="37">
        <f t="shared" si="2"/>
        <v>8.8999999999999965E-3</v>
      </c>
      <c r="P194" s="38" t="str">
        <f>IFERROR(_xll.qlBlackFormula(IF(O194&lt;$C$4,"Put","Call"),O194,$C$4,$C$9*SQRT($C$7)),"")</f>
        <v/>
      </c>
      <c r="Q194" s="39">
        <f>IFERROR(_xll.qlBlackFormula(IF(O194&lt;$C$4,"Put","Call"),O194,$C$4,$C$10*SQRT($C$7),,$C$11),"")</f>
        <v>4.8042634912512719E-3</v>
      </c>
      <c r="R194" s="40">
        <f>IFERROR(_xll.qlBachelierBlackFormula(IF(O194&lt;$C$4,"Put","Call"),O194,$C$4,$C$12*SQRT($C$7)),"")</f>
        <v>4.6621113392778584E-3</v>
      </c>
      <c r="S194" s="41" t="str">
        <f>IFERROR((_xll.qlBlackFormula(IF(O194&lt;$C$4,"Put","Call"),O194+$C$14,$C$4,$C$9*SQRT($C$7))-
2*_xll.qlBlackFormula(IF(O194&lt;$C$4,"Put","Call"),O194,$C$4,$C$9*SQRT($C$7))+
_xll.qlBlackFormula(IF(O194&lt;$C$4,"Put","Call"),O194-$C$14,$C$4,$C$9*SQRT($C$7)))/$C$14^2,"")</f>
        <v/>
      </c>
      <c r="T194" s="42">
        <f>IFERROR((_xll.qlBlackFormula(IF(O194&lt;$C$4,"Put","Call"),O194+$C$14,$C$4,$C$10*SQRT($C$7),,$C$11)-
2*_xll.qlBlackFormula(IF(O194&lt;$C$4,"Put","Call"),O194,$C$4,$C$10*SQRT($C$7),,$C$11)+
_xll.qlBlackFormula(IF(O194&lt;$C$4,"Put","Call"),O194-$C$14,$C$4,$C$10*SQRT($C$7),,$C$11))/$C$14^2,"")</f>
        <v>22.387425246961357</v>
      </c>
      <c r="U194" s="43">
        <f>IFERROR((_xll.qlBachelierBlackFormula(IF(O194&lt;$C$4,"Put","Call"),O194+$C$14,$C$4,$C$12*SQRT($C$7))-
2*_xll.qlBachelierBlackFormula(IF(O194&lt;$C$4,"Put","Call"),O194,$C$4,$C$12*SQRT($C$7))+
_xll.qlBachelierBlackFormula(IF(O194&lt;$C$4,"Put","Call"),O194-$C$14,$C$4,$C$12*SQRT($C$7)))/$C$14^2,"")</f>
        <v>24.056734035382554</v>
      </c>
      <c r="V194" s="61" t="str">
        <f>IFERROR(_xll.qlBachelierBlackFormulaImpliedVol(IF(O194&lt;$C$4,"Put","Call"),O194,$C$4,$C$7,P194),"")</f>
        <v/>
      </c>
      <c r="W194" s="61">
        <f>IFERROR(_xll.qlBachelierBlackFormulaImpliedVol(IF(O194&lt;$C$4,"Put","Call"),O194,$C$4,$C$7,Q194),"")</f>
        <v>7.3659872425895874E-3</v>
      </c>
      <c r="X194" s="61">
        <f>IFERROR(_xll.qlBachelierBlackFormulaImpliedVol(IF(O194&lt;$C$4,"Put","Call"),O194,$C$4,$C$7,R194),"")</f>
        <v>7.2019999999999541E-3</v>
      </c>
      <c r="Y194" s="96">
        <f>_xll.qlSmileSectionVolatility($C$40,O194+$C$31)</f>
        <v>7.3922253294849546E-3</v>
      </c>
    </row>
    <row r="195" spans="15:25">
      <c r="O195" s="37">
        <f t="shared" si="2"/>
        <v>8.9999999999999959E-3</v>
      </c>
      <c r="P195" s="38" t="str">
        <f>IFERROR(_xll.qlBlackFormula(IF(O195&lt;$C$4,"Put","Call"),O195,$C$4,$C$9*SQRT($C$7)),"")</f>
        <v/>
      </c>
      <c r="Q195" s="39">
        <f>IFERROR(_xll.qlBlackFormula(IF(O195&lt;$C$4,"Put","Call"),O195,$C$4,$C$10*SQRT($C$7),,$C$11),"")</f>
        <v>4.767354408858164E-3</v>
      </c>
      <c r="R195" s="40">
        <f>IFERROR(_xll.qlBachelierBlackFormula(IF(O195&lt;$C$4,"Put","Call"),O195,$C$4,$C$12*SQRT($C$7)),"")</f>
        <v>4.621799273083556E-3</v>
      </c>
      <c r="S195" s="41" t="str">
        <f>IFERROR((_xll.qlBlackFormula(IF(O195&lt;$C$4,"Put","Call"),O195+$C$14,$C$4,$C$9*SQRT($C$7))-
2*_xll.qlBlackFormula(IF(O195&lt;$C$4,"Put","Call"),O195,$C$4,$C$9*SQRT($C$7))+
_xll.qlBlackFormula(IF(O195&lt;$C$4,"Put","Call"),O195-$C$14,$C$4,$C$9*SQRT($C$7)))/$C$14^2,"")</f>
        <v/>
      </c>
      <c r="T195" s="42">
        <f>IFERROR((_xll.qlBlackFormula(IF(O195&lt;$C$4,"Put","Call"),O195+$C$14,$C$4,$C$10*SQRT($C$7),,$C$11)-
2*_xll.qlBlackFormula(IF(O195&lt;$C$4,"Put","Call"),O195,$C$4,$C$10*SQRT($C$7),,$C$11)+
_xll.qlBlackFormula(IF(O195&lt;$C$4,"Put","Call"),O195-$C$14,$C$4,$C$10*SQRT($C$7),,$C$11))/$C$14^2,"")</f>
        <v>22.318022430134477</v>
      </c>
      <c r="U195" s="43">
        <f>IFERROR((_xll.qlBachelierBlackFormula(IF(O195&lt;$C$4,"Put","Call"),O195+$C$14,$C$4,$C$12*SQRT($C$7))-
2*_xll.qlBachelierBlackFormula(IF(O195&lt;$C$4,"Put","Call"),O195,$C$4,$C$12*SQRT($C$7))+
_xll.qlBachelierBlackFormula(IF(O195&lt;$C$4,"Put","Call"),O195-$C$14,$C$4,$C$12*SQRT($C$7)))/$C$14^2,"")</f>
        <v>24.020121829060326</v>
      </c>
      <c r="V195" s="61" t="str">
        <f>IFERROR(_xll.qlBachelierBlackFormulaImpliedVol(IF(O195&lt;$C$4,"Put","Call"),O195,$C$4,$C$7,P195),"")</f>
        <v/>
      </c>
      <c r="W195" s="61">
        <f>IFERROR(_xll.qlBachelierBlackFormulaImpliedVol(IF(O195&lt;$C$4,"Put","Call"),O195,$C$4,$C$7,Q195),"")</f>
        <v>7.3701603000102325E-3</v>
      </c>
      <c r="X195" s="61">
        <f>IFERROR(_xll.qlBachelierBlackFormulaImpliedVol(IF(O195&lt;$C$4,"Put","Call"),O195,$C$4,$C$7,R195),"")</f>
        <v>7.2019999999999472E-3</v>
      </c>
      <c r="Y195" s="96">
        <f>_xll.qlSmileSectionVolatility($C$40,O195+$C$31)</f>
        <v>7.3974725947727835E-3</v>
      </c>
    </row>
    <row r="196" spans="15:25">
      <c r="O196" s="37">
        <f t="shared" si="2"/>
        <v>9.0999999999999952E-3</v>
      </c>
      <c r="P196" s="38" t="str">
        <f>IFERROR(_xll.qlBlackFormula(IF(O196&lt;$C$4,"Put","Call"),O196,$C$4,$C$9*SQRT($C$7)),"")</f>
        <v/>
      </c>
      <c r="Q196" s="39">
        <f>IFERROR(_xll.qlBlackFormula(IF(O196&lt;$C$4,"Put","Call"),O196,$C$4,$C$10*SQRT($C$7),,$C$11),"")</f>
        <v>4.7306685062615886E-3</v>
      </c>
      <c r="R196" s="40">
        <f>IFERROR(_xll.qlBachelierBlackFormula(IF(O196&lt;$C$4,"Put","Call"),O196,$C$4,$C$12*SQRT($C$7)),"")</f>
        <v>4.5817274074020312E-3</v>
      </c>
      <c r="S196" s="41" t="str">
        <f>IFERROR((_xll.qlBlackFormula(IF(O196&lt;$C$4,"Put","Call"),O196+$C$14,$C$4,$C$9*SQRT($C$7))-
2*_xll.qlBlackFormula(IF(O196&lt;$C$4,"Put","Call"),O196,$C$4,$C$9*SQRT($C$7))+
_xll.qlBlackFormula(IF(O196&lt;$C$4,"Put","Call"),O196-$C$14,$C$4,$C$9*SQRT($C$7)))/$C$14^2,"")</f>
        <v/>
      </c>
      <c r="T196" s="42">
        <f>IFERROR((_xll.qlBlackFormula(IF(O196&lt;$C$4,"Put","Call"),O196+$C$14,$C$4,$C$10*SQRT($C$7),,$C$11)-
2*_xll.qlBlackFormula(IF(O196&lt;$C$4,"Put","Call"),O196,$C$4,$C$10*SQRT($C$7),,$C$11)+
_xll.qlBlackFormula(IF(O196&lt;$C$4,"Put","Call"),O196-$C$14,$C$4,$C$10*SQRT($C$7),,$C$11))/$C$14^2,"")</f>
        <v>22.248133890734323</v>
      </c>
      <c r="U196" s="43">
        <f>IFERROR((_xll.qlBachelierBlackFormula(IF(O196&lt;$C$4,"Put","Call"),O196+$C$14,$C$4,$C$12*SQRT($C$7))-
2*_xll.qlBachelierBlackFormula(IF(O196&lt;$C$4,"Put","Call"),O196,$C$4,$C$12*SQRT($C$7))+
_xll.qlBachelierBlackFormula(IF(O196&lt;$C$4,"Put","Call"),O196-$C$14,$C$4,$C$12*SQRT($C$7)))/$C$14^2,"")</f>
        <v>23.982643128361847</v>
      </c>
      <c r="V196" s="61" t="str">
        <f>IFERROR(_xll.qlBachelierBlackFormulaImpliedVol(IF(O196&lt;$C$4,"Put","Call"),O196,$C$4,$C$7,P196),"")</f>
        <v/>
      </c>
      <c r="W196" s="61">
        <f>IFERROR(_xll.qlBachelierBlackFormulaImpliedVol(IF(O196&lt;$C$4,"Put","Call"),O196,$C$4,$C$7,Q196),"")</f>
        <v>7.3743318069534229E-3</v>
      </c>
      <c r="X196" s="61">
        <f>IFERROR(_xll.qlBachelierBlackFormulaImpliedVol(IF(O196&lt;$C$4,"Put","Call"),O196,$C$4,$C$7,R196),"")</f>
        <v>7.2019999999999489E-3</v>
      </c>
      <c r="Y196" s="96">
        <f>_xll.qlSmileSectionVolatility($C$40,O196+$C$31)</f>
        <v>7.4027416764036345E-3</v>
      </c>
    </row>
    <row r="197" spans="15:25">
      <c r="O197" s="37">
        <f t="shared" si="2"/>
        <v>9.1999999999999946E-3</v>
      </c>
      <c r="P197" s="38" t="str">
        <f>IFERROR(_xll.qlBlackFormula(IF(O197&lt;$C$4,"Put","Call"),O197,$C$4,$C$9*SQRT($C$7)),"")</f>
        <v/>
      </c>
      <c r="Q197" s="39">
        <f>IFERROR(_xll.qlBlackFormula(IF(O197&lt;$C$4,"Put","Call"),O197,$C$4,$C$10*SQRT($C$7),,$C$11),"")</f>
        <v>4.6942050846117689E-3</v>
      </c>
      <c r="R197" s="40">
        <f>IFERROR(_xll.qlBachelierBlackFormula(IF(O197&lt;$C$4,"Put","Call"),O197,$C$4,$C$12*SQRT($C$7)),"")</f>
        <v>4.5418953674235471E-3</v>
      </c>
      <c r="S197" s="41" t="str">
        <f>IFERROR((_xll.qlBlackFormula(IF(O197&lt;$C$4,"Put","Call"),O197+$C$14,$C$4,$C$9*SQRT($C$7))-
2*_xll.qlBlackFormula(IF(O197&lt;$C$4,"Put","Call"),O197,$C$4,$C$9*SQRT($C$7))+
_xll.qlBlackFormula(IF(O197&lt;$C$4,"Put","Call"),O197-$C$14,$C$4,$C$9*SQRT($C$7)))/$C$14^2,"")</f>
        <v/>
      </c>
      <c r="T197" s="42">
        <f>IFERROR((_xll.qlBlackFormula(IF(O197&lt;$C$4,"Put","Call"),O197+$C$14,$C$4,$C$10*SQRT($C$7),,$C$11)-
2*_xll.qlBlackFormula(IF(O197&lt;$C$4,"Put","Call"),O197,$C$4,$C$10*SQRT($C$7),,$C$11)+
_xll.qlBlackFormula(IF(O197&lt;$C$4,"Put","Call"),O197-$C$14,$C$4,$C$10*SQRT($C$7),,$C$11))/$C$14^2,"")</f>
        <v>22.177773506548704</v>
      </c>
      <c r="U197" s="43">
        <f>IFERROR((_xll.qlBachelierBlackFormula(IF(O197&lt;$C$4,"Put","Call"),O197+$C$14,$C$4,$C$12*SQRT($C$7))-
2*_xll.qlBachelierBlackFormula(IF(O197&lt;$C$4,"Put","Call"),O197,$C$4,$C$12*SQRT($C$7))+
_xll.qlBachelierBlackFormula(IF(O197&lt;$C$4,"Put","Call"),O197-$C$14,$C$4,$C$12*SQRT($C$7)))/$C$14^2,"")</f>
        <v>23.944297933287118</v>
      </c>
      <c r="V197" s="61" t="str">
        <f>IFERROR(_xll.qlBachelierBlackFormulaImpliedVol(IF(O197&lt;$C$4,"Put","Call"),O197,$C$4,$C$7,P197),"")</f>
        <v/>
      </c>
      <c r="W197" s="61">
        <f>IFERROR(_xll.qlBachelierBlackFormulaImpliedVol(IF(O197&lt;$C$4,"Put","Call"),O197,$C$4,$C$7,Q197),"")</f>
        <v>7.3785017660246231E-3</v>
      </c>
      <c r="X197" s="61">
        <f>IFERROR(_xll.qlBachelierBlackFormulaImpliedVol(IF(O197&lt;$C$4,"Put","Call"),O197,$C$4,$C$7,R197),"")</f>
        <v>7.2019999999999463E-3</v>
      </c>
      <c r="Y197" s="96">
        <f>_xll.qlSmileSectionVolatility($C$40,O197+$C$31)</f>
        <v>7.4080325089982422E-3</v>
      </c>
    </row>
    <row r="198" spans="15:25">
      <c r="O198" s="37">
        <f t="shared" si="2"/>
        <v>9.299999999999994E-3</v>
      </c>
      <c r="P198" s="38" t="str">
        <f>IFERROR(_xll.qlBlackFormula(IF(O198&lt;$C$4,"Put","Call"),O198,$C$4,$C$9*SQRT($C$7)),"")</f>
        <v/>
      </c>
      <c r="Q198" s="39">
        <f>IFERROR(_xll.qlBlackFormula(IF(O198&lt;$C$4,"Put","Call"),O198,$C$4,$C$10*SQRT($C$7),,$C$11),"")</f>
        <v>4.6579634402724446E-3</v>
      </c>
      <c r="R198" s="40">
        <f>IFERROR(_xll.qlBachelierBlackFormula(IF(O198&lt;$C$4,"Put","Call"),O198,$C$4,$C$12*SQRT($C$7)),"")</f>
        <v>4.5023027696904907E-3</v>
      </c>
      <c r="S198" s="41" t="str">
        <f>IFERROR((_xll.qlBlackFormula(IF(O198&lt;$C$4,"Put","Call"),O198+$C$14,$C$4,$C$9*SQRT($C$7))-
2*_xll.qlBlackFormula(IF(O198&lt;$C$4,"Put","Call"),O198,$C$4,$C$9*SQRT($C$7))+
_xll.qlBlackFormula(IF(O198&lt;$C$4,"Put","Call"),O198-$C$14,$C$4,$C$9*SQRT($C$7)))/$C$14^2,"")</f>
        <v/>
      </c>
      <c r="T198" s="42">
        <f>IFERROR((_xll.qlBlackFormula(IF(O198&lt;$C$4,"Put","Call"),O198+$C$14,$C$4,$C$10*SQRT($C$7),,$C$11)-
2*_xll.qlBlackFormula(IF(O198&lt;$C$4,"Put","Call"),O198,$C$4,$C$10*SQRT($C$7),,$C$11)+
_xll.qlBlackFormula(IF(O198&lt;$C$4,"Put","Call"),O198-$C$14,$C$4,$C$10*SQRT($C$7),,$C$11))/$C$14^2,"")</f>
        <v>22.106948216471523</v>
      </c>
      <c r="U198" s="43">
        <f>IFERROR((_xll.qlBachelierBlackFormula(IF(O198&lt;$C$4,"Put","Call"),O198+$C$14,$C$4,$C$12*SQRT($C$7))-
2*_xll.qlBachelierBlackFormula(IF(O198&lt;$C$4,"Put","Call"),O198,$C$4,$C$12*SQRT($C$7))+
_xll.qlBachelierBlackFormula(IF(O198&lt;$C$4,"Put","Call"),O198-$C$14,$C$4,$C$12*SQRT($C$7)))/$C$14^2,"")</f>
        <v>23.905087978559614</v>
      </c>
      <c r="V198" s="61" t="str">
        <f>IFERROR(_xll.qlBachelierBlackFormulaImpliedVol(IF(O198&lt;$C$4,"Put","Call"),O198,$C$4,$C$7,P198),"")</f>
        <v/>
      </c>
      <c r="W198" s="61">
        <f>IFERROR(_xll.qlBachelierBlackFormulaImpliedVol(IF(O198&lt;$C$4,"Put","Call"),O198,$C$4,$C$7,Q198),"")</f>
        <v>7.3826701798218953E-3</v>
      </c>
      <c r="X198" s="61">
        <f>IFERROR(_xll.qlBachelierBlackFormulaImpliedVol(IF(O198&lt;$C$4,"Put","Call"),O198,$C$4,$C$7,R198),"")</f>
        <v>7.2019999999999506E-3</v>
      </c>
      <c r="Y198" s="96">
        <f>_xll.qlSmileSectionVolatility($C$40,O198+$C$31)</f>
        <v>7.4133450266356616E-3</v>
      </c>
    </row>
    <row r="199" spans="15:25">
      <c r="O199" s="37">
        <f t="shared" ref="O199:O262" si="3">O198+0.01%</f>
        <v>9.3999999999999934E-3</v>
      </c>
      <c r="P199" s="38" t="str">
        <f>IFERROR(_xll.qlBlackFormula(IF(O199&lt;$C$4,"Put","Call"),O199,$C$4,$C$9*SQRT($C$7)),"")</f>
        <v/>
      </c>
      <c r="Q199" s="39">
        <f>IFERROR(_xll.qlBlackFormula(IF(O199&lt;$C$4,"Put","Call"),O199,$C$4,$C$10*SQRT($C$7),,$C$11),"")</f>
        <v>4.6219428649044228E-3</v>
      </c>
      <c r="R199" s="40">
        <f>IFERROR(_xll.qlBachelierBlackFormula(IF(O199&lt;$C$4,"Put","Call"),O199,$C$4,$C$12*SQRT($C$7)),"")</f>
        <v>4.4629492221407441E-3</v>
      </c>
      <c r="S199" s="41" t="str">
        <f>IFERROR((_xll.qlBlackFormula(IF(O199&lt;$C$4,"Put","Call"),O199+$C$14,$C$4,$C$9*SQRT($C$7))-
2*_xll.qlBlackFormula(IF(O199&lt;$C$4,"Put","Call"),O199,$C$4,$C$9*SQRT($C$7))+
_xll.qlBlackFormula(IF(O199&lt;$C$4,"Put","Call"),O199-$C$14,$C$4,$C$9*SQRT($C$7)))/$C$14^2,"")</f>
        <v/>
      </c>
      <c r="T199" s="42">
        <f>IFERROR((_xll.qlBlackFormula(IF(O199&lt;$C$4,"Put","Call"),O199+$C$14,$C$4,$C$10*SQRT($C$7),,$C$11)-
2*_xll.qlBlackFormula(IF(O199&lt;$C$4,"Put","Call"),O199,$C$4,$C$10*SQRT($C$7),,$C$11)+
_xll.qlBlackFormula(IF(O199&lt;$C$4,"Put","Call"),O199-$C$14,$C$4,$C$10*SQRT($C$7),,$C$11))/$C$14^2,"")</f>
        <v>22.035644142714972</v>
      </c>
      <c r="U199" s="43">
        <f>IFERROR((_xll.qlBachelierBlackFormula(IF(O199&lt;$C$4,"Put","Call"),O199+$C$14,$C$4,$C$12*SQRT($C$7))-
2*_xll.qlBachelierBlackFormula(IF(O199&lt;$C$4,"Put","Call"),O199,$C$4,$C$12*SQRT($C$7))+
_xll.qlBachelierBlackFormula(IF(O199&lt;$C$4,"Put","Call"),O199-$C$14,$C$4,$C$12*SQRT($C$7)))/$C$14^2,"")</f>
        <v>23.865027141967143</v>
      </c>
      <c r="V199" s="61" t="str">
        <f>IFERROR(_xll.qlBachelierBlackFormulaImpliedVol(IF(O199&lt;$C$4,"Put","Call"),O199,$C$4,$C$7,P199),"")</f>
        <v/>
      </c>
      <c r="W199" s="61">
        <f>IFERROR(_xll.qlBachelierBlackFormulaImpliedVol(IF(O199&lt;$C$4,"Put","Call"),O199,$C$4,$C$7,Q199),"")</f>
        <v>7.3868370509359285E-3</v>
      </c>
      <c r="X199" s="61">
        <f>IFERROR(_xll.qlBachelierBlackFormulaImpliedVol(IF(O199&lt;$C$4,"Put","Call"),O199,$C$4,$C$7,R199),"")</f>
        <v>7.2019999999999532E-3</v>
      </c>
      <c r="Y199" s="96">
        <f>_xll.qlSmileSectionVolatility($C$40,O199+$C$31)</f>
        <v>7.4186791628631614E-3</v>
      </c>
    </row>
    <row r="200" spans="15:25">
      <c r="O200" s="37">
        <f t="shared" si="3"/>
        <v>9.4999999999999928E-3</v>
      </c>
      <c r="P200" s="38" t="str">
        <f>IFERROR(_xll.qlBlackFormula(IF(O200&lt;$C$4,"Put","Call"),O200,$C$4,$C$9*SQRT($C$7)),"")</f>
        <v/>
      </c>
      <c r="Q200" s="39">
        <f>IFERROR(_xll.qlBlackFormula(IF(O200&lt;$C$4,"Put","Call"),O200,$C$4,$C$10*SQRT($C$7),,$C$11),"")</f>
        <v>4.5861426455490115E-3</v>
      </c>
      <c r="R200" s="40">
        <f>IFERROR(_xll.qlBachelierBlackFormula(IF(O200&lt;$C$4,"Put","Call"),O200,$C$4,$C$12*SQRT($C$7)),"")</f>
        <v>4.4238343241519923E-3</v>
      </c>
      <c r="S200" s="41" t="str">
        <f>IFERROR((_xll.qlBlackFormula(IF(O200&lt;$C$4,"Put","Call"),O200+$C$14,$C$4,$C$9*SQRT($C$7))-
2*_xll.qlBlackFormula(IF(O200&lt;$C$4,"Put","Call"),O200,$C$4,$C$9*SQRT($C$7))+
_xll.qlBlackFormula(IF(O200&lt;$C$4,"Put","Call"),O200-$C$14,$C$4,$C$9*SQRT($C$7)))/$C$14^2,"")</f>
        <v/>
      </c>
      <c r="T200" s="42">
        <f>IFERROR((_xll.qlBlackFormula(IF(O200&lt;$C$4,"Put","Call"),O200+$C$14,$C$4,$C$10*SQRT($C$7),,$C$11)-
2*_xll.qlBlackFormula(IF(O200&lt;$C$4,"Put","Call"),O200,$C$4,$C$10*SQRT($C$7),,$C$11)+
_xll.qlBlackFormula(IF(O200&lt;$C$4,"Put","Call"),O200-$C$14,$C$4,$C$10*SQRT($C$7),,$C$11))/$C$14^2,"")</f>
        <v>21.963875163066859</v>
      </c>
      <c r="U200" s="43">
        <f>IFERROR((_xll.qlBachelierBlackFormula(IF(O200&lt;$C$4,"Put","Call"),O200+$C$14,$C$4,$C$12*SQRT($C$7))-
2*_xll.qlBachelierBlackFormula(IF(O200&lt;$C$4,"Put","Call"),O200,$C$4,$C$12*SQRT($C$7))+
_xll.qlBachelierBlackFormula(IF(O200&lt;$C$4,"Put","Call"),O200-$C$14,$C$4,$C$12*SQRT($C$7)))/$C$14^2,"")</f>
        <v>23.824112821424492</v>
      </c>
      <c r="V200" s="61" t="str">
        <f>IFERROR(_xll.qlBachelierBlackFormulaImpliedVol(IF(O200&lt;$C$4,"Put","Call"),O200,$C$4,$C$7,P200),"")</f>
        <v/>
      </c>
      <c r="W200" s="61">
        <f>IFERROR(_xll.qlBachelierBlackFormulaImpliedVol(IF(O200&lt;$C$4,"Put","Call"),O200,$C$4,$C$7,Q200),"")</f>
        <v>7.3910023819501267E-3</v>
      </c>
      <c r="X200" s="61">
        <f>IFERROR(_xll.qlBachelierBlackFormulaImpliedVol(IF(O200&lt;$C$4,"Put","Call"),O200,$C$4,$C$7,R200),"")</f>
        <v>7.2019999999999576E-3</v>
      </c>
      <c r="Y200" s="96">
        <f>_xll.qlSmileSectionVolatility($C$40,O200+$C$31)</f>
        <v>7.4240348507067216E-3</v>
      </c>
    </row>
    <row r="201" spans="15:25">
      <c r="O201" s="37">
        <f t="shared" si="3"/>
        <v>9.5999999999999922E-3</v>
      </c>
      <c r="P201" s="38" t="str">
        <f>IFERROR(_xll.qlBlackFormula(IF(O201&lt;$C$4,"Put","Call"),O201,$C$4,$C$9*SQRT($C$7)),"")</f>
        <v/>
      </c>
      <c r="Q201" s="39">
        <f>IFERROR(_xll.qlBlackFormula(IF(O201&lt;$C$4,"Put","Call"),O201,$C$4,$C$10*SQRT($C$7),,$C$11),"")</f>
        <v>4.5505620647111958E-3</v>
      </c>
      <c r="R201" s="40">
        <f>IFERROR(_xll.qlBachelierBlackFormula(IF(O201&lt;$C$4,"Put","Call"),O201,$C$4,$C$12*SQRT($C$7)),"")</f>
        <v>4.384957666586929E-3</v>
      </c>
      <c r="S201" s="41" t="str">
        <f>IFERROR((_xll.qlBlackFormula(IF(O201&lt;$C$4,"Put","Call"),O201+$C$14,$C$4,$C$9*SQRT($C$7))-
2*_xll.qlBlackFormula(IF(O201&lt;$C$4,"Put","Call"),O201,$C$4,$C$9*SQRT($C$7))+
_xll.qlBlackFormula(IF(O201&lt;$C$4,"Put","Call"),O201-$C$14,$C$4,$C$9*SQRT($C$7)))/$C$14^2,"")</f>
        <v/>
      </c>
      <c r="T201" s="42">
        <f>IFERROR((_xll.qlBlackFormula(IF(O201&lt;$C$4,"Put","Call"),O201+$C$14,$C$4,$C$10*SQRT($C$7),,$C$11)-
2*_xll.qlBlackFormula(IF(O201&lt;$C$4,"Put","Call"),O201,$C$4,$C$10*SQRT($C$7),,$C$11)+
_xll.qlBlackFormula(IF(O201&lt;$C$4,"Put","Call"),O201-$C$14,$C$4,$C$10*SQRT($C$7),,$C$11))/$C$14^2,"")</f>
        <v>21.89170372757232</v>
      </c>
      <c r="U201" s="43">
        <f>IFERROR((_xll.qlBachelierBlackFormula(IF(O201&lt;$C$4,"Put","Call"),O201+$C$14,$C$4,$C$12*SQRT($C$7))-
2*_xll.qlBachelierBlackFormula(IF(O201&lt;$C$4,"Put","Call"),O201,$C$4,$C$12*SQRT($C$7))+
_xll.qlBachelierBlackFormula(IF(O201&lt;$C$4,"Put","Call"),O201-$C$14,$C$4,$C$12*SQRT($C$7)))/$C$14^2,"")</f>
        <v>23.782351088463827</v>
      </c>
      <c r="V201" s="61" t="str">
        <f>IFERROR(_xll.qlBachelierBlackFormulaImpliedVol(IF(O201&lt;$C$4,"Put","Call"),O201,$C$4,$C$7,P201),"")</f>
        <v/>
      </c>
      <c r="W201" s="61">
        <f>IFERROR(_xll.qlBachelierBlackFormulaImpliedVol(IF(O201&lt;$C$4,"Put","Call"),O201,$C$4,$C$7,Q201),"")</f>
        <v>7.3951661754405162E-3</v>
      </c>
      <c r="X201" s="61">
        <f>IFERROR(_xll.qlBachelierBlackFormulaImpliedVol(IF(O201&lt;$C$4,"Put","Call"),O201,$C$4,$C$7,R201),"")</f>
        <v>7.2019999999999602E-3</v>
      </c>
      <c r="Y201" s="96">
        <f>_xll.qlSmileSectionVolatility($C$40,O201+$C$31)</f>
        <v>7.4294120226810504E-3</v>
      </c>
    </row>
    <row r="202" spans="15:25">
      <c r="O202" s="37">
        <f t="shared" si="3"/>
        <v>9.6999999999999916E-3</v>
      </c>
      <c r="P202" s="38" t="str">
        <f>IFERROR(_xll.qlBlackFormula(IF(O202&lt;$C$4,"Put","Call"),O202,$C$4,$C$9*SQRT($C$7)),"")</f>
        <v/>
      </c>
      <c r="Q202" s="39">
        <f>IFERROR(_xll.qlBlackFormula(IF(O202&lt;$C$4,"Put","Call"),O202,$C$4,$C$10*SQRT($C$7),,$C$11),"")</f>
        <v>4.5152004004427801E-3</v>
      </c>
      <c r="R202" s="40">
        <f>IFERROR(_xll.qlBachelierBlackFormula(IF(O202&lt;$C$4,"Put","Call"),O202,$C$4,$C$12*SQRT($C$7)),"")</f>
        <v>4.3463188318393804E-3</v>
      </c>
      <c r="S202" s="41" t="str">
        <f>IFERROR((_xll.qlBlackFormula(IF(O202&lt;$C$4,"Put","Call"),O202+$C$14,$C$4,$C$9*SQRT($C$7))-
2*_xll.qlBlackFormula(IF(O202&lt;$C$4,"Put","Call"),O202,$C$4,$C$9*SQRT($C$7))+
_xll.qlBlackFormula(IF(O202&lt;$C$4,"Put","Call"),O202-$C$14,$C$4,$C$9*SQRT($C$7)))/$C$14^2,"")</f>
        <v/>
      </c>
      <c r="T202" s="42">
        <f>IFERROR((_xll.qlBlackFormula(IF(O202&lt;$C$4,"Put","Call"),O202+$C$14,$C$4,$C$10*SQRT($C$7),,$C$11)-
2*_xll.qlBlackFormula(IF(O202&lt;$C$4,"Put","Call"),O202,$C$4,$C$10*SQRT($C$7),,$C$11)+
_xll.qlBlackFormula(IF(O202&lt;$C$4,"Put","Call"),O202-$C$14,$C$4,$C$10*SQRT($C$7),,$C$11))/$C$14^2,"")</f>
        <v>21.819060447292316</v>
      </c>
      <c r="U202" s="43">
        <f>IFERROR((_xll.qlBachelierBlackFormula(IF(O202&lt;$C$4,"Put","Call"),O202+$C$14,$C$4,$C$12*SQRT($C$7))-
2*_xll.qlBachelierBlackFormula(IF(O202&lt;$C$4,"Put","Call"),O202,$C$4,$C$12*SQRT($C$7))+
_xll.qlBachelierBlackFormula(IF(O202&lt;$C$4,"Put","Call"),O202-$C$14,$C$4,$C$12*SQRT($C$7)))/$C$14^2,"")</f>
        <v>23.739749749340788</v>
      </c>
      <c r="V202" s="61" t="str">
        <f>IFERROR(_xll.qlBachelierBlackFormulaImpliedVol(IF(O202&lt;$C$4,"Put","Call"),O202,$C$4,$C$7,P202),"")</f>
        <v/>
      </c>
      <c r="W202" s="61">
        <f>IFERROR(_xll.qlBachelierBlackFormulaImpliedVol(IF(O202&lt;$C$4,"Put","Call"),O202,$C$4,$C$7,Q202),"")</f>
        <v>7.3993284339759161E-3</v>
      </c>
      <c r="X202" s="61">
        <f>IFERROR(_xll.qlBachelierBlackFormulaImpliedVol(IF(O202&lt;$C$4,"Put","Call"),O202,$C$4,$C$7,R202),"")</f>
        <v>7.2019999999999706E-3</v>
      </c>
      <c r="Y202" s="96">
        <f>_xll.qlSmileSectionVolatility($C$40,O202+$C$31)</f>
        <v>7.4348106107999818E-3</v>
      </c>
    </row>
    <row r="203" spans="15:25">
      <c r="O203" s="37">
        <f t="shared" si="3"/>
        <v>9.799999999999991E-3</v>
      </c>
      <c r="P203" s="38" t="str">
        <f>IFERROR(_xll.qlBlackFormula(IF(O203&lt;$C$4,"Put","Call"),O203,$C$4,$C$9*SQRT($C$7)),"")</f>
        <v/>
      </c>
      <c r="Q203" s="39">
        <f>IFERROR(_xll.qlBlackFormula(IF(O203&lt;$C$4,"Put","Call"),O203,$C$4,$C$10*SQRT($C$7),,$C$11),"")</f>
        <v>4.4800569264251897E-3</v>
      </c>
      <c r="R203" s="40">
        <f>IFERROR(_xll.qlBachelierBlackFormula(IF(O203&lt;$C$4,"Put","Call"),O203,$C$4,$C$12*SQRT($C$7)),"")</f>
        <v>4.30791739388133E-3</v>
      </c>
      <c r="S203" s="41" t="str">
        <f>IFERROR((_xll.qlBlackFormula(IF(O203&lt;$C$4,"Put","Call"),O203+$C$14,$C$4,$C$9*SQRT($C$7))-
2*_xll.qlBlackFormula(IF(O203&lt;$C$4,"Put","Call"),O203,$C$4,$C$9*SQRT($C$7))+
_xll.qlBlackFormula(IF(O203&lt;$C$4,"Put","Call"),O203-$C$14,$C$4,$C$9*SQRT($C$7)))/$C$14^2,"")</f>
        <v/>
      </c>
      <c r="T203" s="42">
        <f>IFERROR((_xll.qlBlackFormula(IF(O203&lt;$C$4,"Put","Call"),O203+$C$14,$C$4,$C$10*SQRT($C$7),,$C$11)-
2*_xll.qlBlackFormula(IF(O203&lt;$C$4,"Put","Call"),O203,$C$4,$C$10*SQRT($C$7),,$C$11)+
_xll.qlBlackFormula(IF(O203&lt;$C$4,"Put","Call"),O203-$C$14,$C$4,$C$10*SQRT($C$7),,$C$11))/$C$14^2,"")</f>
        <v>21.746014711165884</v>
      </c>
      <c r="U203" s="43">
        <f>IFERROR((_xll.qlBachelierBlackFormula(IF(O203&lt;$C$4,"Put","Call"),O203+$C$14,$C$4,$C$12*SQRT($C$7))-
2*_xll.qlBachelierBlackFormula(IF(O203&lt;$C$4,"Put","Call"),O203,$C$4,$C$12*SQRT($C$7))+
_xll.qlBachelierBlackFormula(IF(O203&lt;$C$4,"Put","Call"),O203-$C$14,$C$4,$C$12*SQRT($C$7)))/$C$14^2,"")</f>
        <v>23.696307936693639</v>
      </c>
      <c r="V203" s="61" t="str">
        <f>IFERROR(_xll.qlBachelierBlackFormulaImpliedVol(IF(O203&lt;$C$4,"Put","Call"),O203,$C$4,$C$7,P203),"")</f>
        <v/>
      </c>
      <c r="W203" s="61">
        <f>IFERROR(_xll.qlBachelierBlackFormulaImpliedVol(IF(O203&lt;$C$4,"Put","Call"),O203,$C$4,$C$7,Q203),"")</f>
        <v>7.4034891601178722E-3</v>
      </c>
      <c r="X203" s="61">
        <f>IFERROR(_xll.qlBachelierBlackFormulaImpliedVol(IF(O203&lt;$C$4,"Put","Call"),O203,$C$4,$C$7,R203),"")</f>
        <v>7.2019999999999775E-3</v>
      </c>
      <c r="Y203" s="96">
        <f>_xll.qlSmileSectionVolatility($C$40,O203+$C$31)</f>
        <v>7.4402305465864991E-3</v>
      </c>
    </row>
    <row r="204" spans="15:25">
      <c r="O204" s="37">
        <f t="shared" si="3"/>
        <v>9.8999999999999904E-3</v>
      </c>
      <c r="P204" s="38" t="str">
        <f>IFERROR(_xll.qlBlackFormula(IF(O204&lt;$C$4,"Put","Call"),O204,$C$4,$C$9*SQRT($C$7)),"")</f>
        <v/>
      </c>
      <c r="Q204" s="39">
        <f>IFERROR(_xll.qlBlackFormula(IF(O204&lt;$C$4,"Put","Call"),O204,$C$4,$C$10*SQRT($C$7),,$C$11),"")</f>
        <v>4.4451309120521754E-3</v>
      </c>
      <c r="R204" s="40">
        <f>IFERROR(_xll.qlBachelierBlackFormula(IF(O204&lt;$C$4,"Put","Call"),O204,$C$4,$C$12*SQRT($C$7)),"")</f>
        <v>4.2697529183108214E-3</v>
      </c>
      <c r="S204" s="41" t="str">
        <f>IFERROR((_xll.qlBlackFormula(IF(O204&lt;$C$4,"Put","Call"),O204+$C$14,$C$4,$C$9*SQRT($C$7))-
2*_xll.qlBlackFormula(IF(O204&lt;$C$4,"Put","Call"),O204,$C$4,$C$9*SQRT($C$7))+
_xll.qlBlackFormula(IF(O204&lt;$C$4,"Put","Call"),O204-$C$14,$C$4,$C$9*SQRT($C$7)))/$C$14^2,"")</f>
        <v/>
      </c>
      <c r="T204" s="42">
        <f>IFERROR((_xll.qlBlackFormula(IF(O204&lt;$C$4,"Put","Call"),O204+$C$14,$C$4,$C$10*SQRT($C$7),,$C$11)-
2*_xll.qlBlackFormula(IF(O204&lt;$C$4,"Put","Call"),O204,$C$4,$C$10*SQRT($C$7),,$C$11)+
_xll.qlBlackFormula(IF(O204&lt;$C$4,"Put","Call"),O204-$C$14,$C$4,$C$10*SQRT($C$7),,$C$11))/$C$14^2,"")</f>
        <v>21.672524885829603</v>
      </c>
      <c r="U204" s="43">
        <f>IFERROR((_xll.qlBachelierBlackFormula(IF(O204&lt;$C$4,"Put","Call"),O204+$C$14,$C$4,$C$12*SQRT($C$7))-
2*_xll.qlBachelierBlackFormula(IF(O204&lt;$C$4,"Put","Call"),O204,$C$4,$C$12*SQRT($C$7))+
_xll.qlBachelierBlackFormula(IF(O204&lt;$C$4,"Put","Call"),O204-$C$14,$C$4,$C$12*SQRT($C$7)))/$C$14^2,"")</f>
        <v>23.652036058863235</v>
      </c>
      <c r="V204" s="61" t="str">
        <f>IFERROR(_xll.qlBachelierBlackFormulaImpliedVol(IF(O204&lt;$C$4,"Put","Call"),O204,$C$4,$C$7,P204),"")</f>
        <v/>
      </c>
      <c r="W204" s="61">
        <f>IFERROR(_xll.qlBachelierBlackFormulaImpliedVol(IF(O204&lt;$C$4,"Put","Call"),O204,$C$4,$C$7,Q204),"")</f>
        <v>7.4076483564207152E-3</v>
      </c>
      <c r="X204" s="61">
        <f>IFERROR(_xll.qlBachelierBlackFormulaImpliedVol(IF(O204&lt;$C$4,"Put","Call"),O204,$C$4,$C$7,R204),"")</f>
        <v>7.2019999999999845E-3</v>
      </c>
      <c r="Y204" s="96">
        <f>_xll.qlSmileSectionVolatility($C$40,O204+$C$31)</f>
        <v>7.4456717610830291E-3</v>
      </c>
    </row>
    <row r="205" spans="15:25">
      <c r="O205" s="37">
        <f t="shared" si="3"/>
        <v>9.9999999999999898E-3</v>
      </c>
      <c r="P205" s="38" t="str">
        <f>IFERROR(_xll.qlBlackFormula(IF(O205&lt;$C$4,"Put","Call"),O205,$C$4,$C$9*SQRT($C$7)),"")</f>
        <v/>
      </c>
      <c r="Q205" s="39">
        <f>IFERROR(_xll.qlBlackFormula(IF(O205&lt;$C$4,"Put","Call"),O205,$C$4,$C$10*SQRT($C$7),,$C$11),"")</f>
        <v>4.4104216225122408E-3</v>
      </c>
      <c r="R205" s="40">
        <f>IFERROR(_xll.qlBachelierBlackFormula(IF(O205&lt;$C$4,"Put","Call"),O205,$C$4,$C$12*SQRT($C$7)),"")</f>
        <v>4.2318249624007584E-3</v>
      </c>
      <c r="S205" s="41" t="str">
        <f>IFERROR((_xll.qlBlackFormula(IF(O205&lt;$C$4,"Put","Call"),O205+$C$14,$C$4,$C$9*SQRT($C$7))-
2*_xll.qlBlackFormula(IF(O205&lt;$C$4,"Put","Call"),O205,$C$4,$C$9*SQRT($C$7))+
_xll.qlBlackFormula(IF(O205&lt;$C$4,"Put","Call"),O205-$C$14,$C$4,$C$9*SQRT($C$7)))/$C$14^2,"")</f>
        <v/>
      </c>
      <c r="T205" s="42">
        <f>IFERROR((_xll.qlBlackFormula(IF(O205&lt;$C$4,"Put","Call"),O205+$C$14,$C$4,$C$10*SQRT($C$7),,$C$11)-
2*_xll.qlBlackFormula(IF(O205&lt;$C$4,"Put","Call"),O205,$C$4,$C$10*SQRT($C$7),,$C$11)+
_xll.qlBlackFormula(IF(O205&lt;$C$4,"Put","Call"),O205-$C$14,$C$4,$C$10*SQRT($C$7),,$C$11))/$C$14^2,"")</f>
        <v>21.598622196306039</v>
      </c>
      <c r="U205" s="43">
        <f>IFERROR((_xll.qlBachelierBlackFormula(IF(O205&lt;$C$4,"Put","Call"),O205+$C$14,$C$4,$C$12*SQRT($C$7))-
2*_xll.qlBachelierBlackFormula(IF(O205&lt;$C$4,"Put","Call"),O205,$C$4,$C$12*SQRT($C$7))+
_xll.qlBachelierBlackFormula(IF(O205&lt;$C$4,"Put","Call"),O205-$C$14,$C$4,$C$12*SQRT($C$7)))/$C$14^2,"")</f>
        <v>23.606934983211314</v>
      </c>
      <c r="V205" s="61" t="str">
        <f>IFERROR(_xll.qlBachelierBlackFormulaImpliedVol(IF(O205&lt;$C$4,"Put","Call"),O205,$C$4,$C$7,P205),"")</f>
        <v/>
      </c>
      <c r="W205" s="61">
        <f>IFERROR(_xll.qlBachelierBlackFormulaImpliedVol(IF(O205&lt;$C$4,"Put","Call"),O205,$C$4,$C$7,Q205),"")</f>
        <v>7.4118060254315873E-3</v>
      </c>
      <c r="X205" s="61">
        <f>IFERROR(_xll.qlBachelierBlackFormulaImpliedVol(IF(O205&lt;$C$4,"Put","Call"),O205,$C$4,$C$7,R205),"")</f>
        <v>7.2019999999999888E-3</v>
      </c>
      <c r="Y205" s="96">
        <f>_xll.qlSmileSectionVolatility($C$40,O205+$C$31)</f>
        <v>7.4511341848614941E-3</v>
      </c>
    </row>
    <row r="206" spans="15:25">
      <c r="O206" s="37">
        <f t="shared" si="3"/>
        <v>1.0099999999999989E-2</v>
      </c>
      <c r="P206" s="38" t="str">
        <f>IFERROR(_xll.qlBlackFormula(IF(O206&lt;$C$4,"Put","Call"),O206,$C$4,$C$9*SQRT($C$7)),"")</f>
        <v/>
      </c>
      <c r="Q206" s="39">
        <f>IFERROR(_xll.qlBlackFormula(IF(O206&lt;$C$4,"Put","Call"),O206,$C$4,$C$10*SQRT($C$7),,$C$11),"")</f>
        <v>4.3759283188709204E-3</v>
      </c>
      <c r="R206" s="40">
        <f>IFERROR(_xll.qlBachelierBlackFormula(IF(O206&lt;$C$4,"Put","Call"),O206,$C$4,$C$12*SQRT($C$7)),"")</f>
        <v>4.1941330751485628E-3</v>
      </c>
      <c r="S206" s="41" t="str">
        <f>IFERROR((_xll.qlBlackFormula(IF(O206&lt;$C$4,"Put","Call"),O206+$C$14,$C$4,$C$9*SQRT($C$7))-
2*_xll.qlBlackFormula(IF(O206&lt;$C$4,"Put","Call"),O206,$C$4,$C$9*SQRT($C$7))+
_xll.qlBlackFormula(IF(O206&lt;$C$4,"Put","Call"),O206-$C$14,$C$4,$C$9*SQRT($C$7)))/$C$14^2,"")</f>
        <v/>
      </c>
      <c r="T206" s="42">
        <f>IFERROR((_xll.qlBlackFormula(IF(O206&lt;$C$4,"Put","Call"),O206+$C$14,$C$4,$C$10*SQRT($C$7),,$C$11)-
2*_xll.qlBlackFormula(IF(O206&lt;$C$4,"Put","Call"),O206,$C$4,$C$10*SQRT($C$7),,$C$11)+
_xll.qlBlackFormula(IF(O206&lt;$C$4,"Put","Call"),O206-$C$14,$C$4,$C$10*SQRT($C$7),,$C$11))/$C$14^2,"")</f>
        <v>21.524317050936048</v>
      </c>
      <c r="U206" s="43">
        <f>IFERROR((_xll.qlBachelierBlackFormula(IF(O206&lt;$C$4,"Put","Call"),O206+$C$14,$C$4,$C$12*SQRT($C$7))-
2*_xll.qlBachelierBlackFormula(IF(O206&lt;$C$4,"Put","Call"),O206,$C$4,$C$12*SQRT($C$7))+
_xll.qlBachelierBlackFormula(IF(O206&lt;$C$4,"Put","Call"),O206-$C$14,$C$4,$C$12*SQRT($C$7)))/$C$14^2,"")</f>
        <v>23.561010781270042</v>
      </c>
      <c r="V206" s="61" t="str">
        <f>IFERROR(_xll.qlBachelierBlackFormulaImpliedVol(IF(O206&lt;$C$4,"Put","Call"),O206,$C$4,$C$7,P206),"")</f>
        <v/>
      </c>
      <c r="W206" s="61">
        <f>IFERROR(_xll.qlBachelierBlackFormulaImpliedVol(IF(O206&lt;$C$4,"Put","Call"),O206,$C$4,$C$7,Q206),"")</f>
        <v>7.4159621696904786E-3</v>
      </c>
      <c r="X206" s="61">
        <f>IFERROR(_xll.qlBachelierBlackFormulaImpliedVol(IF(O206&lt;$C$4,"Put","Call"),O206,$C$4,$C$7,R206),"")</f>
        <v>7.2020000000000035E-3</v>
      </c>
      <c r="Y206" s="96">
        <f>_xll.qlSmileSectionVolatility($C$40,O206+$C$31)</f>
        <v>7.4566177480336346E-3</v>
      </c>
    </row>
    <row r="207" spans="15:25">
      <c r="O207" s="37">
        <f t="shared" si="3"/>
        <v>1.0199999999999989E-2</v>
      </c>
      <c r="P207" s="38" t="str">
        <f>IFERROR(_xll.qlBlackFormula(IF(O207&lt;$C$4,"Put","Call"),O207,$C$4,$C$9*SQRT($C$7)),"")</f>
        <v/>
      </c>
      <c r="Q207" s="39">
        <f>IFERROR(_xll.qlBlackFormula(IF(O207&lt;$C$4,"Put","Call"),O207,$C$4,$C$10*SQRT($C$7),,$C$11),"")</f>
        <v>4.3416502581527378E-3</v>
      </c>
      <c r="R207" s="40">
        <f>IFERROR(_xll.qlBachelierBlackFormula(IF(O207&lt;$C$4,"Put","Call"),O207,$C$4,$C$12*SQRT($C$7)),"")</f>
        <v>4.1566767973267018E-3</v>
      </c>
      <c r="S207" s="41" t="str">
        <f>IFERROR((_xll.qlBlackFormula(IF(O207&lt;$C$4,"Put","Call"),O207+$C$14,$C$4,$C$9*SQRT($C$7))-
2*_xll.qlBlackFormula(IF(O207&lt;$C$4,"Put","Call"),O207,$C$4,$C$9*SQRT($C$7))+
_xll.qlBlackFormula(IF(O207&lt;$C$4,"Put","Call"),O207-$C$14,$C$4,$C$9*SQRT($C$7)))/$C$14^2,"")</f>
        <v/>
      </c>
      <c r="T207" s="42">
        <f>IFERROR((_xll.qlBlackFormula(IF(O207&lt;$C$4,"Put","Call"),O207+$C$14,$C$4,$C$10*SQRT($C$7),,$C$11)-
2*_xll.qlBlackFormula(IF(O207&lt;$C$4,"Put","Call"),O207,$C$4,$C$10*SQRT($C$7),,$C$11)+
_xll.qlBlackFormula(IF(O207&lt;$C$4,"Put","Call"),O207-$C$14,$C$4,$C$10*SQRT($C$7),,$C$11))/$C$14^2,"")</f>
        <v>21.449623327507439</v>
      </c>
      <c r="U207" s="43">
        <f>IFERROR((_xll.qlBachelierBlackFormula(IF(O207&lt;$C$4,"Put","Call"),O207+$C$14,$C$4,$C$12*SQRT($C$7))-
2*_xll.qlBachelierBlackFormula(IF(O207&lt;$C$4,"Put","Call"),O207,$C$4,$C$12*SQRT($C$7))+
_xll.qlBachelierBlackFormula(IF(O207&lt;$C$4,"Put","Call"),O207-$C$14,$C$4,$C$12*SQRT($C$7)))/$C$14^2,"")</f>
        <v>23.514272126656799</v>
      </c>
      <c r="V207" s="61" t="str">
        <f>IFERROR(_xll.qlBachelierBlackFormulaImpliedVol(IF(O207&lt;$C$4,"Put","Call"),O207,$C$4,$C$7,P207),"")</f>
        <v/>
      </c>
      <c r="W207" s="61">
        <f>IFERROR(_xll.qlBachelierBlackFormulaImpliedVol(IF(O207&lt;$C$4,"Put","Call"),O207,$C$4,$C$7,Q207),"")</f>
        <v>7.4201167917302231E-3</v>
      </c>
      <c r="X207" s="61">
        <f>IFERROR(_xll.qlBachelierBlackFormulaImpliedVol(IF(O207&lt;$C$4,"Put","Call"),O207,$C$4,$C$7,R207),"")</f>
        <v>7.2020000000000131E-3</v>
      </c>
      <c r="Y207" s="96">
        <f>_xll.qlSmileSectionVolatility($C$40,O207+$C$31)</f>
        <v>7.4621223802607949E-3</v>
      </c>
    </row>
    <row r="208" spans="15:25">
      <c r="O208" s="37">
        <f t="shared" si="3"/>
        <v>1.0299999999999988E-2</v>
      </c>
      <c r="P208" s="38" t="str">
        <f>IFERROR(_xll.qlBlackFormula(IF(O208&lt;$C$4,"Put","Call"),O208,$C$4,$C$9*SQRT($C$7)),"")</f>
        <v/>
      </c>
      <c r="Q208" s="39">
        <f>IFERROR(_xll.qlBlackFormula(IF(O208&lt;$C$4,"Put","Call"),O208,$C$4,$C$10*SQRT($C$7),,$C$11),"")</f>
        <v>4.3075866934230191E-3</v>
      </c>
      <c r="R208" s="40">
        <f>IFERROR(_xll.qlBachelierBlackFormula(IF(O208&lt;$C$4,"Put","Call"),O208,$C$4,$C$12*SQRT($C$7)),"")</f>
        <v>4.1194556615340707E-3</v>
      </c>
      <c r="S208" s="41" t="str">
        <f>IFERROR((_xll.qlBlackFormula(IF(O208&lt;$C$4,"Put","Call"),O208+$C$14,$C$4,$C$9*SQRT($C$7))-
2*_xll.qlBlackFormula(IF(O208&lt;$C$4,"Put","Call"),O208,$C$4,$C$9*SQRT($C$7))+
_xll.qlBlackFormula(IF(O208&lt;$C$4,"Put","Call"),O208-$C$14,$C$4,$C$9*SQRT($C$7)))/$C$14^2,"")</f>
        <v/>
      </c>
      <c r="T208" s="42">
        <f>IFERROR((_xll.qlBlackFormula(IF(O208&lt;$C$4,"Put","Call"),O208+$C$14,$C$4,$C$10*SQRT($C$7),,$C$11)-
2*_xll.qlBlackFormula(IF(O208&lt;$C$4,"Put","Call"),O208,$C$4,$C$10*SQRT($C$7),,$C$11)+
_xll.qlBlackFormula(IF(O208&lt;$C$4,"Put","Call"),O208-$C$14,$C$4,$C$10*SQRT($C$7),,$C$11))/$C$14^2,"")</f>
        <v>21.37455837325497</v>
      </c>
      <c r="U208" s="43">
        <f>IFERROR((_xll.qlBachelierBlackFormula(IF(O208&lt;$C$4,"Put","Call"),O208+$C$14,$C$4,$C$12*SQRT($C$7))-
2*_xll.qlBachelierBlackFormula(IF(O208&lt;$C$4,"Put","Call"),O208,$C$4,$C$12*SQRT($C$7))+
_xll.qlBachelierBlackFormula(IF(O208&lt;$C$4,"Put","Call"),O208-$C$14,$C$4,$C$12*SQRT($C$7)))/$C$14^2,"")</f>
        <v>23.466716417286371</v>
      </c>
      <c r="V208" s="61" t="str">
        <f>IFERROR(_xll.qlBachelierBlackFormulaImpliedVol(IF(O208&lt;$C$4,"Put","Call"),O208,$C$4,$C$7,P208),"")</f>
        <v/>
      </c>
      <c r="W208" s="61">
        <f>IFERROR(_xll.qlBachelierBlackFormulaImpliedVol(IF(O208&lt;$C$4,"Put","Call"),O208,$C$4,$C$7,Q208),"")</f>
        <v>7.4242698940765782E-3</v>
      </c>
      <c r="X208" s="61">
        <f>IFERROR(_xll.qlBachelierBlackFormulaImpliedVol(IF(O208&lt;$C$4,"Put","Call"),O208,$C$4,$C$7,R208),"")</f>
        <v>7.2020000000000287E-3</v>
      </c>
      <c r="Y208" s="96">
        <f>_xll.qlSmileSectionVolatility($C$40,O208+$C$31)</f>
        <v>7.4676480107643394E-3</v>
      </c>
    </row>
    <row r="209" spans="15:25">
      <c r="O209" s="37">
        <f t="shared" si="3"/>
        <v>1.0399999999999987E-2</v>
      </c>
      <c r="P209" s="38" t="str">
        <f>IFERROR(_xll.qlBlackFormula(IF(O209&lt;$C$4,"Put","Call"),O209,$C$4,$C$9*SQRT($C$7)),"")</f>
        <v/>
      </c>
      <c r="Q209" s="39">
        <f>IFERROR(_xll.qlBlackFormula(IF(O209&lt;$C$4,"Put","Call"),O209,$C$4,$C$10*SQRT($C$7),,$C$11),"")</f>
        <v>4.2737368738693833E-3</v>
      </c>
      <c r="R209" s="40">
        <f>IFERROR(_xll.qlBachelierBlackFormula(IF(O209&lt;$C$4,"Put","Call"),O209,$C$4,$C$12*SQRT($C$7)),"")</f>
        <v>4.082469192248207E-3</v>
      </c>
      <c r="S209" s="41" t="str">
        <f>IFERROR((_xll.qlBlackFormula(IF(O209&lt;$C$4,"Put","Call"),O209+$C$14,$C$4,$C$9*SQRT($C$7))-
2*_xll.qlBlackFormula(IF(O209&lt;$C$4,"Put","Call"),O209,$C$4,$C$9*SQRT($C$7))+
_xll.qlBlackFormula(IF(O209&lt;$C$4,"Put","Call"),O209-$C$14,$C$4,$C$9*SQRT($C$7)))/$C$14^2,"")</f>
        <v/>
      </c>
      <c r="T209" s="42">
        <f>IFERROR((_xll.qlBlackFormula(IF(O209&lt;$C$4,"Put","Call"),O209+$C$14,$C$4,$C$10*SQRT($C$7),,$C$11)-
2*_xll.qlBlackFormula(IF(O209&lt;$C$4,"Put","Call"),O209,$C$4,$C$10*SQRT($C$7),,$C$11)+
_xll.qlBlackFormula(IF(O209&lt;$C$4,"Put","Call"),O209-$C$14,$C$4,$C$10*SQRT($C$7),,$C$11))/$C$14^2,"")</f>
        <v>21.299094432603027</v>
      </c>
      <c r="U209" s="43">
        <f>IFERROR((_xll.qlBachelierBlackFormula(IF(O209&lt;$C$4,"Put","Call"),O209+$C$14,$C$4,$C$12*SQRT($C$7))-
2*_xll.qlBachelierBlackFormula(IF(O209&lt;$C$4,"Put","Call"),O209,$C$4,$C$12*SQRT($C$7))+
_xll.qlBachelierBlackFormula(IF(O209&lt;$C$4,"Put","Call"),O209-$C$14,$C$4,$C$12*SQRT($C$7)))/$C$14^2,"")</f>
        <v>23.418359265670041</v>
      </c>
      <c r="V209" s="61" t="str">
        <f>IFERROR(_xll.qlBachelierBlackFormulaImpliedVol(IF(O209&lt;$C$4,"Put","Call"),O209,$C$4,$C$7,P209),"")</f>
        <v/>
      </c>
      <c r="W209" s="61">
        <f>IFERROR(_xll.qlBachelierBlackFormulaImpliedVol(IF(O209&lt;$C$4,"Put","Call"),O209,$C$4,$C$7,Q209),"")</f>
        <v>7.4284214792482194E-3</v>
      </c>
      <c r="X209" s="61">
        <f>IFERROR(_xll.qlBachelierBlackFormulaImpliedVol(IF(O209&lt;$C$4,"Put","Call"),O209,$C$4,$C$7,R209),"")</f>
        <v>7.2020000000000348E-3</v>
      </c>
      <c r="Y209" s="96">
        <f>_xll.qlSmileSectionVolatility($C$40,O209+$C$31)</f>
        <v>7.4731945683354185E-3</v>
      </c>
    </row>
    <row r="210" spans="15:25">
      <c r="O210" s="37">
        <f t="shared" si="3"/>
        <v>1.0499999999999987E-2</v>
      </c>
      <c r="P210" s="38" t="str">
        <f>IFERROR(_xll.qlBlackFormula(IF(O210&lt;$C$4,"Put","Call"),O210,$C$4,$C$9*SQRT($C$7)),"")</f>
        <v/>
      </c>
      <c r="Q210" s="39">
        <f>IFERROR(_xll.qlBlackFormula(IF(O210&lt;$C$4,"Put","Call"),O210,$C$4,$C$10*SQRT($C$7),,$C$11),"")</f>
        <v>4.2401000448830072E-3</v>
      </c>
      <c r="R210" s="40">
        <f>IFERROR(_xll.qlBachelierBlackFormula(IF(O210&lt;$C$4,"Put","Call"),O210,$C$4,$C$12*SQRT($C$7)),"")</f>
        <v>4.0457169058783615E-3</v>
      </c>
      <c r="S210" s="41" t="str">
        <f>IFERROR((_xll.qlBlackFormula(IF(O210&lt;$C$4,"Put","Call"),O210+$C$14,$C$4,$C$9*SQRT($C$7))-
2*_xll.qlBlackFormula(IF(O210&lt;$C$4,"Put","Call"),O210,$C$4,$C$9*SQRT($C$7))+
_xll.qlBlackFormula(IF(O210&lt;$C$4,"Put","Call"),O210-$C$14,$C$4,$C$9*SQRT($C$7)))/$C$14^2,"")</f>
        <v/>
      </c>
      <c r="T210" s="42">
        <f>IFERROR((_xll.qlBlackFormula(IF(O210&lt;$C$4,"Put","Call"),O210+$C$14,$C$4,$C$10*SQRT($C$7),,$C$11)-
2*_xll.qlBlackFormula(IF(O210&lt;$C$4,"Put","Call"),O210,$C$4,$C$10*SQRT($C$7),,$C$11)+
_xll.qlBlackFormula(IF(O210&lt;$C$4,"Put","Call"),O210-$C$14,$C$4,$C$10*SQRT($C$7),,$C$11))/$C$14^2,"")</f>
        <v>21.223238444445514</v>
      </c>
      <c r="U210" s="43">
        <f>IFERROR((_xll.qlBachelierBlackFormula(IF(O210&lt;$C$4,"Put","Call"),O210+$C$14,$C$4,$C$12*SQRT($C$7))-
2*_xll.qlBachelierBlackFormula(IF(O210&lt;$C$4,"Put","Call"),O210,$C$4,$C$12*SQRT($C$7))+
_xll.qlBachelierBlackFormula(IF(O210&lt;$C$4,"Put","Call"),O210-$C$14,$C$4,$C$12*SQRT($C$7)))/$C$14^2,"")</f>
        <v>23.369195467637383</v>
      </c>
      <c r="V210" s="61" t="str">
        <f>IFERROR(_xll.qlBachelierBlackFormulaImpliedVol(IF(O210&lt;$C$4,"Put","Call"),O210,$C$4,$C$7,P210),"")</f>
        <v/>
      </c>
      <c r="W210" s="61">
        <f>IFERROR(_xll.qlBachelierBlackFormulaImpliedVol(IF(O210&lt;$C$4,"Put","Call"),O210,$C$4,$C$7,Q210),"")</f>
        <v>7.432571549756785E-3</v>
      </c>
      <c r="X210" s="61">
        <f>IFERROR(_xll.qlBachelierBlackFormulaImpliedVol(IF(O210&lt;$C$4,"Put","Call"),O210,$C$4,$C$7,R210),"")</f>
        <v>7.2020000000000521E-3</v>
      </c>
      <c r="Y210" s="96">
        <f>_xll.qlSmileSectionVolatility($C$40,O210+$C$31)</f>
        <v>7.4787619813451479E-3</v>
      </c>
    </row>
    <row r="211" spans="15:25">
      <c r="O211" s="37">
        <f t="shared" si="3"/>
        <v>1.0599999999999986E-2</v>
      </c>
      <c r="P211" s="38" t="str">
        <f>IFERROR(_xll.qlBlackFormula(IF(O211&lt;$C$4,"Put","Call"),O211,$C$4,$C$9*SQRT($C$7)),"")</f>
        <v/>
      </c>
      <c r="Q211" s="39">
        <f>IFERROR(_xll.qlBlackFormula(IF(O211&lt;$C$4,"Put","Call"),O211,$C$4,$C$10*SQRT($C$7),,$C$11),"")</f>
        <v>4.2066754481395602E-3</v>
      </c>
      <c r="R211" s="40">
        <f>IFERROR(_xll.qlBachelierBlackFormula(IF(O211&lt;$C$4,"Put","Call"),O211,$C$4,$C$12*SQRT($C$7)),"")</f>
        <v>4.0091983108193618E-3</v>
      </c>
      <c r="S211" s="41" t="str">
        <f>IFERROR((_xll.qlBlackFormula(IF(O211&lt;$C$4,"Put","Call"),O211+$C$14,$C$4,$C$9*SQRT($C$7))-
2*_xll.qlBlackFormula(IF(O211&lt;$C$4,"Put","Call"),O211,$C$4,$C$9*SQRT($C$7))+
_xll.qlBlackFormula(IF(O211&lt;$C$4,"Put","Call"),O211-$C$14,$C$4,$C$9*SQRT($C$7)))/$C$14^2,"")</f>
        <v/>
      </c>
      <c r="T211" s="42">
        <f>IFERROR((_xll.qlBlackFormula(IF(O211&lt;$C$4,"Put","Call"),O211+$C$14,$C$4,$C$10*SQRT($C$7),,$C$11)-
2*_xll.qlBlackFormula(IF(O211&lt;$C$4,"Put","Call"),O211,$C$4,$C$10*SQRT($C$7),,$C$11)+
_xll.qlBlackFormula(IF(O211&lt;$C$4,"Put","Call"),O211-$C$14,$C$4,$C$10*SQRT($C$7),,$C$11))/$C$14^2,"")</f>
        <v>21.147059797721468</v>
      </c>
      <c r="U211" s="43">
        <f>IFERROR((_xll.qlBachelierBlackFormula(IF(O211&lt;$C$4,"Put","Call"),O211+$C$14,$C$4,$C$12*SQRT($C$7))-
2*_xll.qlBachelierBlackFormula(IF(O211&lt;$C$4,"Put","Call"),O211,$C$4,$C$12*SQRT($C$7))+
_xll.qlBachelierBlackFormula(IF(O211&lt;$C$4,"Put","Call"),O211-$C$14,$C$4,$C$12*SQRT($C$7)))/$C$14^2,"")</f>
        <v>23.319238900976202</v>
      </c>
      <c r="V211" s="61" t="str">
        <f>IFERROR(_xll.qlBachelierBlackFormulaImpliedVol(IF(O211&lt;$C$4,"Put","Call"),O211,$C$4,$C$7,P211),"")</f>
        <v/>
      </c>
      <c r="W211" s="61">
        <f>IFERROR(_xll.qlBachelierBlackFormulaImpliedVol(IF(O211&lt;$C$4,"Put","Call"),O211,$C$4,$C$7,Q211),"")</f>
        <v>7.4367201081068568E-3</v>
      </c>
      <c r="X211" s="61">
        <f>IFERROR(_xll.qlBachelierBlackFormulaImpliedVol(IF(O211&lt;$C$4,"Put","Call"),O211,$C$4,$C$7,R211),"")</f>
        <v>7.2020000000000625E-3</v>
      </c>
      <c r="Y211" s="96">
        <f>_xll.qlSmileSectionVolatility($C$40,O211+$C$31)</f>
        <v>7.4843501777545783E-3</v>
      </c>
    </row>
    <row r="212" spans="15:25">
      <c r="O212" s="37">
        <f t="shared" si="3"/>
        <v>1.0699999999999986E-2</v>
      </c>
      <c r="P212" s="38" t="str">
        <f>IFERROR(_xll.qlBlackFormula(IF(O212&lt;$C$4,"Put","Call"),O212,$C$4,$C$9*SQRT($C$7)),"")</f>
        <v/>
      </c>
      <c r="Q212" s="39">
        <f>IFERROR(_xll.qlBlackFormula(IF(O212&lt;$C$4,"Put","Call"),O212,$C$4,$C$10*SQRT($C$7),,$C$11),"")</f>
        <v>4.1734623216799875E-3</v>
      </c>
      <c r="R212" s="40">
        <f>IFERROR(_xll.qlBachelierBlackFormula(IF(O212&lt;$C$4,"Put","Call"),O212,$C$4,$C$12*SQRT($C$7)),"")</f>
        <v>3.9729129075063213E-3</v>
      </c>
      <c r="S212" s="41" t="str">
        <f>IFERROR((_xll.qlBlackFormula(IF(O212&lt;$C$4,"Put","Call"),O212+$C$14,$C$4,$C$9*SQRT($C$7))-
2*_xll.qlBlackFormula(IF(O212&lt;$C$4,"Put","Call"),O212,$C$4,$C$9*SQRT($C$7))+
_xll.qlBlackFormula(IF(O212&lt;$C$4,"Put","Call"),O212-$C$14,$C$4,$C$9*SQRT($C$7)))/$C$14^2,"")</f>
        <v/>
      </c>
      <c r="T212" s="42">
        <f>IFERROR((_xll.qlBlackFormula(IF(O212&lt;$C$4,"Put","Call"),O212+$C$14,$C$4,$C$10*SQRT($C$7),,$C$11)-
2*_xll.qlBlackFormula(IF(O212&lt;$C$4,"Put","Call"),O212,$C$4,$C$10*SQRT($C$7),,$C$11)+
_xll.qlBlackFormula(IF(O212&lt;$C$4,"Put","Call"),O212-$C$14,$C$4,$C$10*SQRT($C$7),,$C$11))/$C$14^2,"")</f>
        <v>21.070496042385756</v>
      </c>
      <c r="U212" s="43">
        <f>IFERROR((_xll.qlBachelierBlackFormula(IF(O212&lt;$C$4,"Put","Call"),O212+$C$14,$C$4,$C$12*SQRT($C$7))-
2*_xll.qlBachelierBlackFormula(IF(O212&lt;$C$4,"Put","Call"),O212,$C$4,$C$12*SQRT($C$7))+
_xll.qlBachelierBlackFormula(IF(O212&lt;$C$4,"Put","Call"),O212-$C$14,$C$4,$C$12*SQRT($C$7)))/$C$14^2,"")</f>
        <v>23.268494769856929</v>
      </c>
      <c r="V212" s="61" t="str">
        <f>IFERROR(_xll.qlBachelierBlackFormulaImpliedVol(IF(O212&lt;$C$4,"Put","Call"),O212,$C$4,$C$7,P212),"")</f>
        <v/>
      </c>
      <c r="W212" s="61">
        <f>IFERROR(_xll.qlBachelierBlackFormulaImpliedVol(IF(O212&lt;$C$4,"Put","Call"),O212,$C$4,$C$7,Q212),"")</f>
        <v>7.44086715679606E-3</v>
      </c>
      <c r="X212" s="61">
        <f>IFERROR(_xll.qlBachelierBlackFormulaImpliedVol(IF(O212&lt;$C$4,"Put","Call"),O212,$C$4,$C$7,R212),"")</f>
        <v>7.2020000000000729E-3</v>
      </c>
      <c r="Y212" s="96">
        <f>_xll.qlSmileSectionVolatility($C$40,O212+$C$31)</f>
        <v>7.4899590851244639E-3</v>
      </c>
    </row>
    <row r="213" spans="15:25">
      <c r="O213" s="37">
        <f t="shared" si="3"/>
        <v>1.0799999999999985E-2</v>
      </c>
      <c r="P213" s="38" t="str">
        <f>IFERROR(_xll.qlBlackFormula(IF(O213&lt;$C$4,"Put","Call"),O213,$C$4,$C$9*SQRT($C$7)),"")</f>
        <v/>
      </c>
      <c r="Q213" s="39">
        <f>IFERROR(_xll.qlBlackFormula(IF(O213&lt;$C$4,"Put","Call"),O213,$C$4,$C$10*SQRT($C$7),,$C$11),"")</f>
        <v>4.1404598999908483E-3</v>
      </c>
      <c r="R213" s="40">
        <f>IFERROR(_xll.qlBachelierBlackFormula(IF(O213&lt;$C$4,"Put","Call"),O213,$C$4,$C$12*SQRT($C$7)),"")</f>
        <v>3.936860188470134E-3</v>
      </c>
      <c r="S213" s="41" t="str">
        <f>IFERROR((_xll.qlBlackFormula(IF(O213&lt;$C$4,"Put","Call"),O213+$C$14,$C$4,$C$9*SQRT($C$7))-
2*_xll.qlBlackFormula(IF(O213&lt;$C$4,"Put","Call"),O213,$C$4,$C$9*SQRT($C$7))+
_xll.qlBlackFormula(IF(O213&lt;$C$4,"Put","Call"),O213-$C$14,$C$4,$C$9*SQRT($C$7)))/$C$14^2,"")</f>
        <v/>
      </c>
      <c r="T213" s="42">
        <f>IFERROR((_xll.qlBlackFormula(IF(O213&lt;$C$4,"Put","Call"),O213+$C$14,$C$4,$C$10*SQRT($C$7),,$C$11)-
2*_xll.qlBlackFormula(IF(O213&lt;$C$4,"Put","Call"),O213,$C$4,$C$10*SQRT($C$7),,$C$11)+
_xll.qlBlackFormula(IF(O213&lt;$C$4,"Put","Call"),O213-$C$14,$C$4,$C$10*SQRT($C$7),,$C$11))/$C$14^2,"")</f>
        <v>20.993620036824368</v>
      </c>
      <c r="U213" s="43">
        <f>IFERROR((_xll.qlBachelierBlackFormula(IF(O213&lt;$C$4,"Put","Call"),O213+$C$14,$C$4,$C$12*SQRT($C$7))-
2*_xll.qlBachelierBlackFormula(IF(O213&lt;$C$4,"Put","Call"),O213,$C$4,$C$12*SQRT($C$7))+
_xll.qlBachelierBlackFormula(IF(O213&lt;$C$4,"Put","Call"),O213-$C$14,$C$4,$C$12*SQRT($C$7)))/$C$14^2,"")</f>
        <v>23.216961339556086</v>
      </c>
      <c r="V213" s="61" t="str">
        <f>IFERROR(_xll.qlBachelierBlackFormulaImpliedVol(IF(O213&lt;$C$4,"Put","Call"),O213,$C$4,$C$7,P213),"")</f>
        <v/>
      </c>
      <c r="W213" s="61">
        <f>IFERROR(_xll.qlBachelierBlackFormulaImpliedVol(IF(O213&lt;$C$4,"Put","Call"),O213,$C$4,$C$7,Q213),"")</f>
        <v>7.4450126983150108E-3</v>
      </c>
      <c r="X213" s="61">
        <f>IFERROR(_xll.qlBachelierBlackFormulaImpliedVol(IF(O213&lt;$C$4,"Put","Call"),O213,$C$4,$C$7,R213),"")</f>
        <v>7.2020000000000894E-3</v>
      </c>
      <c r="Y213" s="96">
        <f>_xll.qlSmileSectionVolatility($C$40,O213+$C$31)</f>
        <v>7.4955886306254747E-3</v>
      </c>
    </row>
    <row r="214" spans="15:25">
      <c r="O214" s="37">
        <f t="shared" si="3"/>
        <v>1.0899999999999984E-2</v>
      </c>
      <c r="P214" s="38" t="str">
        <f>IFERROR(_xll.qlBlackFormula(IF(O214&lt;$C$4,"Put","Call"),O214,$C$4,$C$9*SQRT($C$7)),"")</f>
        <v/>
      </c>
      <c r="Q214" s="39">
        <f>IFERROR(_xll.qlBlackFormula(IF(O214&lt;$C$4,"Put","Call"),O214,$C$4,$C$10*SQRT($C$7),,$C$11),"")</f>
        <v>4.1076674140845364E-3</v>
      </c>
      <c r="R214" s="40">
        <f>IFERROR(_xll.qlBachelierBlackFormula(IF(O214&lt;$C$4,"Put","Call"),O214,$C$4,$C$12*SQRT($C$7)),"")</f>
        <v>3.90103963839376E-3</v>
      </c>
      <c r="S214" s="41" t="str">
        <f>IFERROR((_xll.qlBlackFormula(IF(O214&lt;$C$4,"Put","Call"),O214+$C$14,$C$4,$C$9*SQRT($C$7))-
2*_xll.qlBlackFormula(IF(O214&lt;$C$4,"Put","Call"),O214,$C$4,$C$9*SQRT($C$7))+
_xll.qlBlackFormula(IF(O214&lt;$C$4,"Put","Call"),O214-$C$14,$C$4,$C$9*SQRT($C$7)))/$C$14^2,"")</f>
        <v/>
      </c>
      <c r="T214" s="42">
        <f>IFERROR((_xll.qlBlackFormula(IF(O214&lt;$C$4,"Put","Call"),O214+$C$14,$C$4,$C$10*SQRT($C$7),,$C$11)-
2*_xll.qlBlackFormula(IF(O214&lt;$C$4,"Put","Call"),O214,$C$4,$C$10*SQRT($C$7),,$C$11)+
_xll.qlBlackFormula(IF(O214&lt;$C$4,"Put","Call"),O214-$C$14,$C$4,$C$10*SQRT($C$7),,$C$11))/$C$14^2,"")</f>
        <v>20.916365861545216</v>
      </c>
      <c r="U214" s="43">
        <f>IFERROR((_xll.qlBachelierBlackFormula(IF(O214&lt;$C$4,"Put","Call"),O214+$C$14,$C$4,$C$12*SQRT($C$7))-
2*_xll.qlBachelierBlackFormula(IF(O214&lt;$C$4,"Put","Call"),O214,$C$4,$C$12*SQRT($C$7))+
_xll.qlBachelierBlackFormula(IF(O214&lt;$C$4,"Put","Call"),O214-$C$14,$C$4,$C$12*SQRT($C$7)))/$C$14^2,"")</f>
        <v>23.164652054180614</v>
      </c>
      <c r="V214" s="61" t="str">
        <f>IFERROR(_xll.qlBachelierBlackFormulaImpliedVol(IF(O214&lt;$C$4,"Put","Call"),O214,$C$4,$C$7,P214),"")</f>
        <v/>
      </c>
      <c r="W214" s="61">
        <f>IFERROR(_xll.qlBachelierBlackFormulaImpliedVol(IF(O214&lt;$C$4,"Put","Call"),O214,$C$4,$C$7,Q214),"")</f>
        <v>7.4491567351474769E-3</v>
      </c>
      <c r="X214" s="61">
        <f>IFERROR(_xll.qlBachelierBlackFormulaImpliedVol(IF(O214&lt;$C$4,"Put","Call"),O214,$C$4,$C$7,R214),"")</f>
        <v>7.2020000000001015E-3</v>
      </c>
      <c r="Y214" s="96">
        <f>_xll.qlSmileSectionVolatility($C$40,O214+$C$31)</f>
        <v>7.5012387410476862E-3</v>
      </c>
    </row>
    <row r="215" spans="15:25">
      <c r="O215" s="37">
        <f t="shared" si="3"/>
        <v>1.0999999999999984E-2</v>
      </c>
      <c r="P215" s="38" t="str">
        <f>IFERROR(_xll.qlBlackFormula(IF(O215&lt;$C$4,"Put","Call"),O215,$C$4,$C$9*SQRT($C$7)),"")</f>
        <v/>
      </c>
      <c r="Q215" s="39">
        <f>IFERROR(_xll.qlBlackFormula(IF(O215&lt;$C$4,"Put","Call"),O215,$C$4,$C$10*SQRT($C$7),,$C$11),"")</f>
        <v>4.0750840915789246E-3</v>
      </c>
      <c r="R215" s="40">
        <f>IFERROR(_xll.qlBachelierBlackFormula(IF(O215&lt;$C$4,"Put","Call"),O215,$C$4,$C$12*SQRT($C$7)),"")</f>
        <v>3.865450734169312E-3</v>
      </c>
      <c r="S215" s="41" t="str">
        <f>IFERROR((_xll.qlBlackFormula(IF(O215&lt;$C$4,"Put","Call"),O215+$C$14,$C$4,$C$9*SQRT($C$7))-
2*_xll.qlBlackFormula(IF(O215&lt;$C$4,"Put","Call"),O215,$C$4,$C$9*SQRT($C$7))+
_xll.qlBlackFormula(IF(O215&lt;$C$4,"Put","Call"),O215-$C$14,$C$4,$C$9*SQRT($C$7)))/$C$14^2,"")</f>
        <v/>
      </c>
      <c r="T215" s="42">
        <f>IFERROR((_xll.qlBlackFormula(IF(O215&lt;$C$4,"Put","Call"),O215+$C$14,$C$4,$C$10*SQRT($C$7),,$C$11)-
2*_xll.qlBlackFormula(IF(O215&lt;$C$4,"Put","Call"),O215,$C$4,$C$10*SQRT($C$7),,$C$11)+
_xll.qlBlackFormula(IF(O215&lt;$C$4,"Put","Call"),O215-$C$14,$C$4,$C$10*SQRT($C$7),,$C$11))/$C$14^2,"")</f>
        <v>20.838792497146486</v>
      </c>
      <c r="U215" s="43">
        <f>IFERROR((_xll.qlBachelierBlackFormula(IF(O215&lt;$C$4,"Put","Call"),O215+$C$14,$C$4,$C$12*SQRT($C$7))-
2*_xll.qlBachelierBlackFormula(IF(O215&lt;$C$4,"Put","Call"),O215,$C$4,$C$12*SQRT($C$7))+
_xll.qlBachelierBlackFormula(IF(O215&lt;$C$4,"Put","Call"),O215-$C$14,$C$4,$C$12*SQRT($C$7)))/$C$14^2,"")</f>
        <v>23.111566046368772</v>
      </c>
      <c r="V215" s="61" t="str">
        <f>IFERROR(_xll.qlBachelierBlackFormulaImpliedVol(IF(O215&lt;$C$4,"Put","Call"),O215,$C$4,$C$7,P215),"")</f>
        <v/>
      </c>
      <c r="W215" s="61">
        <f>IFERROR(_xll.qlBachelierBlackFormulaImpliedVol(IF(O215&lt;$C$4,"Put","Call"),O215,$C$4,$C$7,Q215),"")</f>
        <v>7.4532992697701949E-3</v>
      </c>
      <c r="X215" s="61">
        <f>IFERROR(_xll.qlBachelierBlackFormulaImpliedVol(IF(O215&lt;$C$4,"Put","Call"),O215,$C$4,$C$7,R215),"")</f>
        <v>7.2020000000001128E-3</v>
      </c>
      <c r="Y215" s="96">
        <f>_xll.qlSmileSectionVolatility($C$40,O215+$C$31)</f>
        <v>7.5069093428107043E-3</v>
      </c>
    </row>
    <row r="216" spans="15:25">
      <c r="O216" s="37">
        <f t="shared" si="3"/>
        <v>1.1099999999999983E-2</v>
      </c>
      <c r="P216" s="38" t="str">
        <f>IFERROR(_xll.qlBlackFormula(IF(O216&lt;$C$4,"Put","Call"),O216,$C$4,$C$9*SQRT($C$7)),"")</f>
        <v/>
      </c>
      <c r="Q216" s="39">
        <f>IFERROR(_xll.qlBlackFormula(IF(O216&lt;$C$4,"Put","Call"),O216,$C$4,$C$10*SQRT($C$7),,$C$11),"")</f>
        <v>4.0427091567770412E-3</v>
      </c>
      <c r="R216" s="40">
        <f>IFERROR(_xll.qlBachelierBlackFormula(IF(O216&lt;$C$4,"Put","Call"),O216,$C$4,$C$12*SQRT($C$7)),"")</f>
        <v>3.8300929449558937E-3</v>
      </c>
      <c r="S216" s="41" t="str">
        <f>IFERROR((_xll.qlBlackFormula(IF(O216&lt;$C$4,"Put","Call"),O216+$C$14,$C$4,$C$9*SQRT($C$7))-
2*_xll.qlBlackFormula(IF(O216&lt;$C$4,"Put","Call"),O216,$C$4,$C$9*SQRT($C$7))+
_xll.qlBlackFormula(IF(O216&lt;$C$4,"Put","Call"),O216-$C$14,$C$4,$C$9*SQRT($C$7)))/$C$14^2,"")</f>
        <v/>
      </c>
      <c r="T216" s="42">
        <f>IFERROR((_xll.qlBlackFormula(IF(O216&lt;$C$4,"Put","Call"),O216+$C$14,$C$4,$C$10*SQRT($C$7),,$C$11)-
2*_xll.qlBlackFormula(IF(O216&lt;$C$4,"Put","Call"),O216,$C$4,$C$10*SQRT($C$7),,$C$11)+
_xll.qlBlackFormula(IF(O216&lt;$C$4,"Put","Call"),O216-$C$14,$C$4,$C$10*SQRT($C$7),,$C$11))/$C$14^2,"")</f>
        <v>20.760903413075127</v>
      </c>
      <c r="U216" s="43">
        <f>IFERROR((_xll.qlBachelierBlackFormula(IF(O216&lt;$C$4,"Put","Call"),O216+$C$14,$C$4,$C$12*SQRT($C$7))-
2*_xll.qlBachelierBlackFormula(IF(O216&lt;$C$4,"Put","Call"),O216,$C$4,$C$12*SQRT($C$7))+
_xll.qlBachelierBlackFormula(IF(O216&lt;$C$4,"Put","Call"),O216-$C$14,$C$4,$C$12*SQRT($C$7)))/$C$14^2,"")</f>
        <v>23.057714591823153</v>
      </c>
      <c r="V216" s="61" t="str">
        <f>IFERROR(_xll.qlBachelierBlackFormulaImpliedVol(IF(O216&lt;$C$4,"Put","Call"),O216,$C$4,$C$7,P216),"")</f>
        <v/>
      </c>
      <c r="W216" s="61">
        <f>IFERROR(_xll.qlBachelierBlackFormulaImpliedVol(IF(O216&lt;$C$4,"Put","Call"),O216,$C$4,$C$7,Q216),"")</f>
        <v>7.4574403046531092E-3</v>
      </c>
      <c r="X216" s="61">
        <f>IFERROR(_xll.qlBachelierBlackFormulaImpliedVol(IF(O216&lt;$C$4,"Put","Call"),O216,$C$4,$C$7,R216),"")</f>
        <v>7.2020000000001258E-3</v>
      </c>
      <c r="Y216" s="96">
        <f>_xll.qlSmileSectionVolatility($C$40,O216+$C$31)</f>
        <v>7.512600361973285E-3</v>
      </c>
    </row>
    <row r="217" spans="15:25">
      <c r="O217" s="37">
        <f t="shared" si="3"/>
        <v>1.1199999999999983E-2</v>
      </c>
      <c r="P217" s="38" t="str">
        <f>IFERROR(_xll.qlBlackFormula(IF(O217&lt;$C$4,"Put","Call"),O217,$C$4,$C$9*SQRT($C$7)),"")</f>
        <v/>
      </c>
      <c r="Q217" s="39">
        <f>IFERROR(_xll.qlBlackFormula(IF(O217&lt;$C$4,"Put","Call"),O217,$C$4,$C$10*SQRT($C$7),,$C$11),"")</f>
        <v>4.0105418307461171E-3</v>
      </c>
      <c r="R217" s="40">
        <f>IFERROR(_xll.qlBachelierBlackFormula(IF(O217&lt;$C$4,"Put","Call"),O217,$C$4,$C$12*SQRT($C$7)),"")</f>
        <v>3.7949657322382179E-3</v>
      </c>
      <c r="S217" s="41" t="str">
        <f>IFERROR((_xll.qlBlackFormula(IF(O217&lt;$C$4,"Put","Call"),O217+$C$14,$C$4,$C$9*SQRT($C$7))-
2*_xll.qlBlackFormula(IF(O217&lt;$C$4,"Put","Call"),O217,$C$4,$C$9*SQRT($C$7))+
_xll.qlBlackFormula(IF(O217&lt;$C$4,"Put","Call"),O217-$C$14,$C$4,$C$9*SQRT($C$7)))/$C$14^2,"")</f>
        <v/>
      </c>
      <c r="T217" s="42">
        <f>IFERROR((_xll.qlBlackFormula(IF(O217&lt;$C$4,"Put","Call"),O217+$C$14,$C$4,$C$10*SQRT($C$7),,$C$11)-
2*_xll.qlBlackFormula(IF(O217&lt;$C$4,"Put","Call"),O217,$C$4,$C$10*SQRT($C$7),,$C$11)+
_xll.qlBlackFormula(IF(O217&lt;$C$4,"Put","Call"),O217-$C$14,$C$4,$C$10*SQRT($C$7),,$C$11))/$C$14^2,"")</f>
        <v>20.682695139884189</v>
      </c>
      <c r="U217" s="43">
        <f>IFERROR((_xll.qlBachelierBlackFormula(IF(O217&lt;$C$4,"Put","Call"),O217+$C$14,$C$4,$C$12*SQRT($C$7))-
2*_xll.qlBachelierBlackFormula(IF(O217&lt;$C$4,"Put","Call"),O217,$C$4,$C$12*SQRT($C$7))+
_xll.qlBachelierBlackFormula(IF(O217&lt;$C$4,"Put","Call"),O217-$C$14,$C$4,$C$12*SQRT($C$7)))/$C$14^2,"")</f>
        <v>23.003097256862894</v>
      </c>
      <c r="V217" s="61" t="str">
        <f>IFERROR(_xll.qlBachelierBlackFormulaImpliedVol(IF(O217&lt;$C$4,"Put","Call"),O217,$C$4,$C$7,P217),"")</f>
        <v/>
      </c>
      <c r="W217" s="61">
        <f>IFERROR(_xll.qlBachelierBlackFormulaImpliedVol(IF(O217&lt;$C$4,"Put","Call"),O217,$C$4,$C$7,Q217),"")</f>
        <v>7.4615798422592696E-3</v>
      </c>
      <c r="X217" s="61">
        <f>IFERROR(_xll.qlBachelierBlackFormulaImpliedVol(IF(O217&lt;$C$4,"Put","Call"),O217,$C$4,$C$7,R217),"")</f>
        <v>7.2020000000001345E-3</v>
      </c>
      <c r="Y217" s="96">
        <f>_xll.qlSmileSectionVolatility($C$40,O217+$C$31)</f>
        <v>7.5183117242430542E-3</v>
      </c>
    </row>
    <row r="218" spans="15:25">
      <c r="O218" s="37">
        <f t="shared" si="3"/>
        <v>1.1299999999999982E-2</v>
      </c>
      <c r="P218" s="38" t="str">
        <f>IFERROR(_xll.qlBlackFormula(IF(O218&lt;$C$4,"Put","Call"),O218,$C$4,$C$9*SQRT($C$7)),"")</f>
        <v/>
      </c>
      <c r="Q218" s="39">
        <f>IFERROR(_xll.qlBlackFormula(IF(O218&lt;$C$4,"Put","Call"),O218,$C$4,$C$10*SQRT($C$7),,$C$11),"")</f>
        <v>3.9785813313964816E-3</v>
      </c>
      <c r="R218" s="40">
        <f>IFERROR(_xll.qlBachelierBlackFormula(IF(O218&lt;$C$4,"Put","Call"),O218,$C$4,$C$12*SQRT($C$7)),"")</f>
        <v>3.7600685498859572E-3</v>
      </c>
      <c r="S218" s="41" t="str">
        <f>IFERROR((_xll.qlBlackFormula(IF(O218&lt;$C$4,"Put","Call"),O218+$C$14,$C$4,$C$9*SQRT($C$7))-
2*_xll.qlBlackFormula(IF(O218&lt;$C$4,"Put","Call"),O218,$C$4,$C$9*SQRT($C$7))+
_xll.qlBlackFormula(IF(O218&lt;$C$4,"Put","Call"),O218-$C$14,$C$4,$C$9*SQRT($C$7)))/$C$14^2,"")</f>
        <v/>
      </c>
      <c r="T218" s="42">
        <f>IFERROR((_xll.qlBlackFormula(IF(O218&lt;$C$4,"Put","Call"),O218+$C$14,$C$4,$C$10*SQRT($C$7),,$C$11)-
2*_xll.qlBlackFormula(IF(O218&lt;$C$4,"Put","Call"),O218,$C$4,$C$10*SQRT($C$7),,$C$11)+
_xll.qlBlackFormula(IF(O218&lt;$C$4,"Put","Call"),O218-$C$14,$C$4,$C$10*SQRT($C$7),,$C$11))/$C$14^2,"")</f>
        <v>20.604153799785863</v>
      </c>
      <c r="U218" s="43">
        <f>IFERROR((_xll.qlBachelierBlackFormula(IF(O218&lt;$C$4,"Put","Call"),O218+$C$14,$C$4,$C$12*SQRT($C$7))-
2*_xll.qlBachelierBlackFormula(IF(O218&lt;$C$4,"Put","Call"),O218,$C$4,$C$12*SQRT($C$7))+
_xll.qlBachelierBlackFormula(IF(O218&lt;$C$4,"Put","Call"),O218-$C$14,$C$4,$C$12*SQRT($C$7)))/$C$14^2,"")</f>
        <v>22.947731388722747</v>
      </c>
      <c r="V218" s="61" t="str">
        <f>IFERROR(_xll.qlBachelierBlackFormulaImpliedVol(IF(O218&lt;$C$4,"Put","Call"),O218,$C$4,$C$7,P218),"")</f>
        <v/>
      </c>
      <c r="W218" s="61">
        <f>IFERROR(_xll.qlBachelierBlackFormulaImpliedVol(IF(O218&lt;$C$4,"Put","Call"),O218,$C$4,$C$7,Q218),"")</f>
        <v>7.4657178850449056E-3</v>
      </c>
      <c r="X218" s="61">
        <f>IFERROR(_xll.qlBachelierBlackFormulaImpliedVol(IF(O218&lt;$C$4,"Put","Call"),O218,$C$4,$C$7,R218),"")</f>
        <v>7.2020000000001467E-3</v>
      </c>
      <c r="Y218" s="96">
        <f>_xll.qlSmileSectionVolatility($C$40,O218+$C$31)</f>
        <v>7.5240433549862984E-3</v>
      </c>
    </row>
    <row r="219" spans="15:25">
      <c r="O219" s="37">
        <f t="shared" si="3"/>
        <v>1.1399999999999981E-2</v>
      </c>
      <c r="P219" s="38" t="str">
        <f>IFERROR(_xll.qlBlackFormula(IF(O219&lt;$C$4,"Put","Call"),O219,$C$4,$C$9*SQRT($C$7)),"")</f>
        <v/>
      </c>
      <c r="Q219" s="39">
        <f>IFERROR(_xll.qlBlackFormula(IF(O219&lt;$C$4,"Put","Call"),O219,$C$4,$C$10*SQRT($C$7),,$C$11),"")</f>
        <v>3.9468268735600165E-3</v>
      </c>
      <c r="R219" s="40">
        <f>IFERROR(_xll.qlBachelierBlackFormula(IF(O219&lt;$C$4,"Put","Call"),O219,$C$4,$C$12*SQRT($C$7)),"")</f>
        <v>3.7254008442138644E-3</v>
      </c>
      <c r="S219" s="41" t="str">
        <f>IFERROR((_xll.qlBlackFormula(IF(O219&lt;$C$4,"Put","Call"),O219+$C$14,$C$4,$C$9*SQRT($C$7))-
2*_xll.qlBlackFormula(IF(O219&lt;$C$4,"Put","Call"),O219,$C$4,$C$9*SQRT($C$7))+
_xll.qlBlackFormula(IF(O219&lt;$C$4,"Put","Call"),O219-$C$14,$C$4,$C$9*SQRT($C$7)))/$C$14^2,"")</f>
        <v/>
      </c>
      <c r="T219" s="42">
        <f>IFERROR((_xll.qlBlackFormula(IF(O219&lt;$C$4,"Put","Call"),O219+$C$14,$C$4,$C$10*SQRT($C$7),,$C$11)-
2*_xll.qlBlackFormula(IF(O219&lt;$C$4,"Put","Call"),O219,$C$4,$C$10*SQRT($C$7),,$C$11)+
_xll.qlBlackFormula(IF(O219&lt;$C$4,"Put","Call"),O219-$C$14,$C$4,$C$10*SQRT($C$7),,$C$11))/$C$14^2,"")</f>
        <v>20.525355720613092</v>
      </c>
      <c r="U219" s="43">
        <f>IFERROR((_xll.qlBachelierBlackFormula(IF(O219&lt;$C$4,"Put","Call"),O219+$C$14,$C$4,$C$12*SQRT($C$7))-
2*_xll.qlBachelierBlackFormula(IF(O219&lt;$C$4,"Put","Call"),O219,$C$4,$C$12*SQRT($C$7))+
_xll.qlBachelierBlackFormula(IF(O219&lt;$C$4,"Put","Call"),O219-$C$14,$C$4,$C$12*SQRT($C$7)))/$C$14^2,"")</f>
        <v>22.891611349551422</v>
      </c>
      <c r="V219" s="61" t="str">
        <f>IFERROR(_xll.qlBachelierBlackFormulaImpliedVol(IF(O219&lt;$C$4,"Put","Call"),O219,$C$4,$C$7,P219),"")</f>
        <v/>
      </c>
      <c r="W219" s="61">
        <f>IFERROR(_xll.qlBachelierBlackFormulaImpliedVol(IF(O219&lt;$C$4,"Put","Call"),O219,$C$4,$C$7,Q219),"")</f>
        <v>7.46985443545942E-3</v>
      </c>
      <c r="X219" s="61">
        <f>IFERROR(_xll.qlBachelierBlackFormulaImpliedVol(IF(O219&lt;$C$4,"Put","Call"),O219,$C$4,$C$7,R219),"")</f>
        <v>7.2020000000001536E-3</v>
      </c>
      <c r="Y219" s="96">
        <f>_xll.qlSmileSectionVolatility($C$40,O219+$C$31)</f>
        <v>7.5297951792374675E-3</v>
      </c>
    </row>
    <row r="220" spans="15:25">
      <c r="O220" s="37">
        <f t="shared" si="3"/>
        <v>1.1499999999999981E-2</v>
      </c>
      <c r="P220" s="38" t="str">
        <f>IFERROR(_xll.qlBlackFormula(IF(O220&lt;$C$4,"Put","Call"),O220,$C$4,$C$9*SQRT($C$7)),"")</f>
        <v/>
      </c>
      <c r="Q220" s="39">
        <f>IFERROR(_xll.qlBlackFormula(IF(O220&lt;$C$4,"Put","Call"),O220,$C$4,$C$10*SQRT($C$7),,$C$11),"")</f>
        <v>3.9152776690683753E-3</v>
      </c>
      <c r="R220" s="40">
        <f>IFERROR(_xll.qlBachelierBlackFormula(IF(O220&lt;$C$4,"Put","Call"),O220,$C$4,$C$12*SQRT($C$7)),"")</f>
        <v>3.6909620540425824E-3</v>
      </c>
      <c r="S220" s="41" t="str">
        <f>IFERROR((_xll.qlBlackFormula(IF(O220&lt;$C$4,"Put","Call"),O220+$C$14,$C$4,$C$9*SQRT($C$7))-
2*_xll.qlBlackFormula(IF(O220&lt;$C$4,"Put","Call"),O220,$C$4,$C$9*SQRT($C$7))+
_xll.qlBlackFormula(IF(O220&lt;$C$4,"Put","Call"),O220-$C$14,$C$4,$C$9*SQRT($C$7)))/$C$14^2,"")</f>
        <v/>
      </c>
      <c r="T220" s="42">
        <f>IFERROR((_xll.qlBlackFormula(IF(O220&lt;$C$4,"Put","Call"),O220+$C$14,$C$4,$C$10*SQRT($C$7),,$C$11)-
2*_xll.qlBlackFormula(IF(O220&lt;$C$4,"Put","Call"),O220,$C$4,$C$10*SQRT($C$7),,$C$11)+
_xll.qlBlackFormula(IF(O220&lt;$C$4,"Put","Call"),O220-$C$14,$C$4,$C$10*SQRT($C$7),,$C$11))/$C$14^2,"")</f>
        <v>20.446238452320742</v>
      </c>
      <c r="U220" s="43">
        <f>IFERROR((_xll.qlBachelierBlackFormula(IF(O220&lt;$C$4,"Put","Call"),O220+$C$14,$C$4,$C$12*SQRT($C$7))-
2*_xll.qlBachelierBlackFormula(IF(O220&lt;$C$4,"Put","Call"),O220,$C$4,$C$12*SQRT($C$7))+
_xll.qlBachelierBlackFormula(IF(O220&lt;$C$4,"Put","Call"),O220-$C$14,$C$4,$C$12*SQRT($C$7)))/$C$14^2,"")</f>
        <v>22.834749282413249</v>
      </c>
      <c r="V220" s="61" t="str">
        <f>IFERROR(_xll.qlBachelierBlackFormulaImpliedVol(IF(O220&lt;$C$4,"Put","Call"),O220,$C$4,$C$7,P220),"")</f>
        <v/>
      </c>
      <c r="W220" s="61">
        <f>IFERROR(_xll.qlBachelierBlackFormulaImpliedVol(IF(O220&lt;$C$4,"Put","Call"),O220,$C$4,$C$7,Q220),"")</f>
        <v>7.4739894959454734E-3</v>
      </c>
      <c r="X220" s="61">
        <f>IFERROR(_xll.qlBachelierBlackFormulaImpliedVol(IF(O220&lt;$C$4,"Put","Call"),O220,$C$4,$C$7,R220),"")</f>
        <v>7.2020000000001605E-3</v>
      </c>
      <c r="Y220" s="96">
        <f>_xll.qlSmileSectionVolatility($C$40,O220+$C$31)</f>
        <v>7.5355671217088105E-3</v>
      </c>
    </row>
    <row r="221" spans="15:25">
      <c r="O221" s="37">
        <f t="shared" si="3"/>
        <v>1.159999999999998E-2</v>
      </c>
      <c r="P221" s="38" t="str">
        <f>IFERROR(_xll.qlBlackFormula(IF(O221&lt;$C$4,"Put","Call"),O221,$C$4,$C$9*SQRT($C$7)),"")</f>
        <v/>
      </c>
      <c r="Q221" s="39">
        <f>IFERROR(_xll.qlBlackFormula(IF(O221&lt;$C$4,"Put","Call"),O221,$C$4,$C$10*SQRT($C$7),,$C$11),"")</f>
        <v>3.8839329268306848E-3</v>
      </c>
      <c r="R221" s="40">
        <f>IFERROR(_xll.qlBachelierBlackFormula(IF(O221&lt;$C$4,"Put","Call"),O221,$C$4,$C$12*SQRT($C$7)),"")</f>
        <v>3.6567516107602074E-3</v>
      </c>
      <c r="S221" s="41" t="str">
        <f>IFERROR((_xll.qlBlackFormula(IF(O221&lt;$C$4,"Put","Call"),O221+$C$14,$C$4,$C$9*SQRT($C$7))-
2*_xll.qlBlackFormula(IF(O221&lt;$C$4,"Put","Call"),O221,$C$4,$C$9*SQRT($C$7))+
_xll.qlBlackFormula(IF(O221&lt;$C$4,"Put","Call"),O221-$C$14,$C$4,$C$9*SQRT($C$7)))/$C$14^2,"")</f>
        <v/>
      </c>
      <c r="T221" s="42">
        <f>IFERROR((_xll.qlBlackFormula(IF(O221&lt;$C$4,"Put","Call"),O221+$C$14,$C$4,$C$10*SQRT($C$7),,$C$11)-
2*_xll.qlBlackFormula(IF(O221&lt;$C$4,"Put","Call"),O221,$C$4,$C$10*SQRT($C$7),,$C$11)+
_xll.qlBlackFormula(IF(O221&lt;$C$4,"Put","Call"),O221-$C$14,$C$4,$C$10*SQRT($C$7),,$C$11))/$C$14^2,"")</f>
        <v>20.366857506060043</v>
      </c>
      <c r="U221" s="43">
        <f>IFERROR((_xll.qlBachelierBlackFormula(IF(O221&lt;$C$4,"Put","Call"),O221+$C$14,$C$4,$C$12*SQRT($C$7))-
2*_xll.qlBachelierBlackFormula(IF(O221&lt;$C$4,"Put","Call"),O221,$C$4,$C$12*SQRT($C$7))+
_xll.qlBachelierBlackFormula(IF(O221&lt;$C$4,"Put","Call"),O221-$C$14,$C$4,$C$12*SQRT($C$7)))/$C$14^2,"")</f>
        <v>22.777151692521258</v>
      </c>
      <c r="V221" s="61" t="str">
        <f>IFERROR(_xll.qlBachelierBlackFormulaImpliedVol(IF(O221&lt;$C$4,"Put","Call"),O221,$C$4,$C$7,P221),"")</f>
        <v/>
      </c>
      <c r="W221" s="61">
        <f>IFERROR(_xll.qlBachelierBlackFormulaImpliedVol(IF(O221&lt;$C$4,"Put","Call"),O221,$C$4,$C$7,Q221),"")</f>
        <v>7.4781230689389428E-3</v>
      </c>
      <c r="X221" s="61">
        <f>IFERROR(_xll.qlBachelierBlackFormulaImpliedVol(IF(O221&lt;$C$4,"Put","Call"),O221,$C$4,$C$7,R221),"")</f>
        <v>7.2020000000001666E-3</v>
      </c>
      <c r="Y221" s="96">
        <f>_xll.qlSmileSectionVolatility($C$40,O221+$C$31)</f>
        <v>7.5413591067999162E-3</v>
      </c>
    </row>
    <row r="222" spans="15:25">
      <c r="O222" s="37">
        <f t="shared" si="3"/>
        <v>1.169999999999998E-2</v>
      </c>
      <c r="P222" s="38" t="str">
        <f>IFERROR(_xll.qlBlackFormula(IF(O222&lt;$C$4,"Put","Call"),O222,$C$4,$C$9*SQRT($C$7)),"")</f>
        <v/>
      </c>
      <c r="Q222" s="39">
        <f>IFERROR(_xll.qlBlackFormula(IF(O222&lt;$C$4,"Put","Call"),O222,$C$4,$C$10*SQRT($C$7),,$C$11),"")</f>
        <v>3.8527918529110625E-3</v>
      </c>
      <c r="R222" s="40">
        <f>IFERROR(_xll.qlBachelierBlackFormula(IF(O222&lt;$C$4,"Put","Call"),O222,$C$4,$C$12*SQRT($C$7)),"")</f>
        <v>3.6227689383845421E-3</v>
      </c>
      <c r="S222" s="41" t="str">
        <f>IFERROR((_xll.qlBlackFormula(IF(O222&lt;$C$4,"Put","Call"),O222+$C$14,$C$4,$C$9*SQRT($C$7))-
2*_xll.qlBlackFormula(IF(O222&lt;$C$4,"Put","Call"),O222,$C$4,$C$9*SQRT($C$7))+
_xll.qlBlackFormula(IF(O222&lt;$C$4,"Put","Call"),O222-$C$14,$C$4,$C$9*SQRT($C$7)))/$C$14^2,"")</f>
        <v/>
      </c>
      <c r="T222" s="42">
        <f>IFERROR((_xll.qlBlackFormula(IF(O222&lt;$C$4,"Put","Call"),O222+$C$14,$C$4,$C$10*SQRT($C$7),,$C$11)-
2*_xll.qlBlackFormula(IF(O222&lt;$C$4,"Put","Call"),O222,$C$4,$C$10*SQRT($C$7),,$C$11)+
_xll.qlBlackFormula(IF(O222&lt;$C$4,"Put","Call"),O222-$C$14,$C$4,$C$10*SQRT($C$7),,$C$11))/$C$14^2,"")</f>
        <v>20.287188595702332</v>
      </c>
      <c r="U222" s="43">
        <f>IFERROR((_xll.qlBachelierBlackFormula(IF(O222&lt;$C$4,"Put","Call"),O222+$C$14,$C$4,$C$12*SQRT($C$7))-
2*_xll.qlBachelierBlackFormula(IF(O222&lt;$C$4,"Put","Call"),O222,$C$4,$C$12*SQRT($C$7))+
_xll.qlBachelierBlackFormula(IF(O222&lt;$C$4,"Put","Call"),O222-$C$14,$C$4,$C$12*SQRT($C$7)))/$C$14^2,"")</f>
        <v>22.718823784045885</v>
      </c>
      <c r="V222" s="61" t="str">
        <f>IFERROR(_xll.qlBachelierBlackFormulaImpliedVol(IF(O222&lt;$C$4,"Put","Call"),O222,$C$4,$C$7,P222),"")</f>
        <v/>
      </c>
      <c r="W222" s="61">
        <f>IFERROR(_xll.qlBachelierBlackFormulaImpliedVol(IF(O222&lt;$C$4,"Put","Call"),O222,$C$4,$C$7,Q222),"")</f>
        <v>7.4822551568690119E-3</v>
      </c>
      <c r="X222" s="61">
        <f>IFERROR(_xll.qlBachelierBlackFormulaImpliedVol(IF(O222&lt;$C$4,"Put","Call"),O222,$C$4,$C$7,R222),"")</f>
        <v>7.2020000000001718E-3</v>
      </c>
      <c r="Y222" s="96">
        <f>_xll.qlSmileSectionVolatility($C$40,O222+$C$31)</f>
        <v>7.5471710586071409E-3</v>
      </c>
    </row>
    <row r="223" spans="15:25">
      <c r="O223" s="37">
        <f t="shared" si="3"/>
        <v>1.1799999999999979E-2</v>
      </c>
      <c r="P223" s="38" t="str">
        <f>IFERROR(_xll.qlBlackFormula(IF(O223&lt;$C$4,"Put","Call"),O223,$C$4,$C$9*SQRT($C$7)),"")</f>
        <v/>
      </c>
      <c r="Q223" s="39">
        <f>IFERROR(_xll.qlBlackFormula(IF(O223&lt;$C$4,"Put","Call"),O223,$C$4,$C$10*SQRT($C$7),,$C$11),"")</f>
        <v>3.8218536506056111E-3</v>
      </c>
      <c r="R223" s="40">
        <f>IFERROR(_xll.qlBachelierBlackFormula(IF(O223&lt;$C$4,"Put","Call"),O223,$C$4,$C$12*SQRT($C$7)),"")</f>
        <v>3.5890134536260476E-3</v>
      </c>
      <c r="S223" s="41" t="str">
        <f>IFERROR((_xll.qlBlackFormula(IF(O223&lt;$C$4,"Put","Call"),O223+$C$14,$C$4,$C$9*SQRT($C$7))-
2*_xll.qlBlackFormula(IF(O223&lt;$C$4,"Put","Call"),O223,$C$4,$C$9*SQRT($C$7))+
_xll.qlBlackFormula(IF(O223&lt;$C$4,"Put","Call"),O223-$C$14,$C$4,$C$9*SQRT($C$7)))/$C$14^2,"")</f>
        <v/>
      </c>
      <c r="T223" s="42">
        <f>IFERROR((_xll.qlBlackFormula(IF(O223&lt;$C$4,"Put","Call"),O223+$C$14,$C$4,$C$10*SQRT($C$7),,$C$11)-
2*_xll.qlBlackFormula(IF(O223&lt;$C$4,"Put","Call"),O223,$C$4,$C$10*SQRT($C$7),,$C$11)+
_xll.qlBlackFormula(IF(O223&lt;$C$4,"Put","Call"),O223-$C$14,$C$4,$C$10*SQRT($C$7),,$C$11))/$C$14^2,"")</f>
        <v>20.207245599035417</v>
      </c>
      <c r="U223" s="43">
        <f>IFERROR((_xll.qlBachelierBlackFormula(IF(O223&lt;$C$4,"Put","Call"),O223+$C$14,$C$4,$C$12*SQRT($C$7))-
2*_xll.qlBachelierBlackFormula(IF(O223&lt;$C$4,"Put","Call"),O223,$C$4,$C$12*SQRT($C$7))+
_xll.qlBachelierBlackFormula(IF(O223&lt;$C$4,"Put","Call"),O223-$C$14,$C$4,$C$12*SQRT($C$7)))/$C$14^2,"")</f>
        <v>22.659768159072335</v>
      </c>
      <c r="V223" s="61" t="str">
        <f>IFERROR(_xll.qlBachelierBlackFormulaImpliedVol(IF(O223&lt;$C$4,"Put","Call"),O223,$C$4,$C$7,P223),"")</f>
        <v/>
      </c>
      <c r="W223" s="61">
        <f>IFERROR(_xll.qlBachelierBlackFormulaImpliedVol(IF(O223&lt;$C$4,"Put","Call"),O223,$C$4,$C$7,Q223),"")</f>
        <v>7.4863857621581291E-3</v>
      </c>
      <c r="X223" s="61">
        <f>IFERROR(_xll.qlBachelierBlackFormulaImpliedVol(IF(O223&lt;$C$4,"Put","Call"),O223,$C$4,$C$7,R223),"")</f>
        <v>7.2020000000001683E-3</v>
      </c>
      <c r="Y223" s="96">
        <f>_xll.qlSmileSectionVolatility($C$40,O223+$C$31)</f>
        <v>7.5530029009330361E-3</v>
      </c>
    </row>
    <row r="224" spans="15:25">
      <c r="O224" s="37">
        <f t="shared" si="3"/>
        <v>1.1899999999999978E-2</v>
      </c>
      <c r="P224" s="38" t="str">
        <f>IFERROR(_xll.qlBlackFormula(IF(O224&lt;$C$4,"Put","Call"),O224,$C$4,$C$9*SQRT($C$7)),"")</f>
        <v/>
      </c>
      <c r="Q224" s="39">
        <f>IFERROR(_xll.qlBlackFormula(IF(O224&lt;$C$4,"Put","Call"),O224,$C$4,$C$10*SQRT($C$7),,$C$11),"")</f>
        <v>3.7911175205191175E-3</v>
      </c>
      <c r="R224" s="40">
        <f>IFERROR(_xll.qlBachelierBlackFormula(IF(O224&lt;$C$4,"Put","Call"),O224,$C$4,$C$12*SQRT($C$7)),"")</f>
        <v>3.5554845659514765E-3</v>
      </c>
      <c r="S224" s="41" t="str">
        <f>IFERROR((_xll.qlBlackFormula(IF(O224&lt;$C$4,"Put","Call"),O224+$C$14,$C$4,$C$9*SQRT($C$7))-
2*_xll.qlBlackFormula(IF(O224&lt;$C$4,"Put","Call"),O224,$C$4,$C$9*SQRT($C$7))+
_xll.qlBlackFormula(IF(O224&lt;$C$4,"Put","Call"),O224-$C$14,$C$4,$C$9*SQRT($C$7)))/$C$14^2,"")</f>
        <v/>
      </c>
      <c r="T224" s="42">
        <f>IFERROR((_xll.qlBlackFormula(IF(O224&lt;$C$4,"Put","Call"),O224+$C$14,$C$4,$C$10*SQRT($C$7),,$C$11)-
2*_xll.qlBlackFormula(IF(O224&lt;$C$4,"Put","Call"),O224,$C$4,$C$10*SQRT($C$7),,$C$11)+
_xll.qlBlackFormula(IF(O224&lt;$C$4,"Put","Call"),O224-$C$14,$C$4,$C$10*SQRT($C$7),,$C$11))/$C$14^2,"")</f>
        <v>20.127035454953202</v>
      </c>
      <c r="U224" s="43">
        <f>IFERROR((_xll.qlBachelierBlackFormula(IF(O224&lt;$C$4,"Put","Call"),O224+$C$14,$C$4,$C$12*SQRT($C$7))-
2*_xll.qlBachelierBlackFormula(IF(O224&lt;$C$4,"Put","Call"),O224,$C$4,$C$12*SQRT($C$7))+
_xll.qlBachelierBlackFormula(IF(O224&lt;$C$4,"Put","Call"),O224-$C$14,$C$4,$C$12*SQRT($C$7)))/$C$14^2,"")</f>
        <v>22.599996960664949</v>
      </c>
      <c r="V224" s="61" t="str">
        <f>IFERROR(_xll.qlBachelierBlackFormulaImpliedVol(IF(O224&lt;$C$4,"Put","Call"),O224,$C$4,$C$7,P224),"")</f>
        <v/>
      </c>
      <c r="W224" s="61">
        <f>IFERROR(_xll.qlBachelierBlackFormulaImpliedVol(IF(O224&lt;$C$4,"Put","Call"),O224,$C$4,$C$7,Q224),"")</f>
        <v>7.4905148872221093E-3</v>
      </c>
      <c r="X224" s="61">
        <f>IFERROR(_xll.qlBachelierBlackFormulaImpliedVol(IF(O224&lt;$C$4,"Put","Call"),O224,$C$4,$C$7,R224),"")</f>
        <v>7.202000000000164E-3</v>
      </c>
      <c r="Y224" s="96">
        <f>_xll.qlSmileSectionVolatility($C$40,O224+$C$31)</f>
        <v>7.5588545572956847E-3</v>
      </c>
    </row>
    <row r="225" spans="15:25">
      <c r="O225" s="37">
        <f t="shared" si="3"/>
        <v>1.1999999999999978E-2</v>
      </c>
      <c r="P225" s="38" t="str">
        <f>IFERROR(_xll.qlBlackFormula(IF(O225&lt;$C$4,"Put","Call"),O225,$C$4,$C$9*SQRT($C$7)),"")</f>
        <v/>
      </c>
      <c r="Q225" s="39">
        <f>IFERROR(_xll.qlBlackFormula(IF(O225&lt;$C$4,"Put","Call"),O225,$C$4,$C$10*SQRT($C$7),,$C$11),"")</f>
        <v>3.7605826606413387E-3</v>
      </c>
      <c r="R225" s="40">
        <f>IFERROR(_xll.qlBachelierBlackFormula(IF(O225&lt;$C$4,"Put","Call"),O225,$C$4,$C$12*SQRT($C$7)),"")</f>
        <v>3.5221816776481859E-3</v>
      </c>
      <c r="S225" s="41" t="str">
        <f>IFERROR((_xll.qlBlackFormula(IF(O225&lt;$C$4,"Put","Call"),O225+$C$14,$C$4,$C$9*SQRT($C$7))-
2*_xll.qlBlackFormula(IF(O225&lt;$C$4,"Put","Call"),O225,$C$4,$C$9*SQRT($C$7))+
_xll.qlBlackFormula(IF(O225&lt;$C$4,"Put","Call"),O225-$C$14,$C$4,$C$9*SQRT($C$7)))/$C$14^2,"")</f>
        <v/>
      </c>
      <c r="T225" s="42">
        <f>IFERROR((_xll.qlBlackFormula(IF(O225&lt;$C$4,"Put","Call"),O225+$C$14,$C$4,$C$10*SQRT($C$7),,$C$11)-
2*_xll.qlBlackFormula(IF(O225&lt;$C$4,"Put","Call"),O225,$C$4,$C$10*SQRT($C$7),,$C$11)+
_xll.qlBlackFormula(IF(O225&lt;$C$4,"Put","Call"),O225-$C$14,$C$4,$C$10*SQRT($C$7),,$C$11))/$C$14^2,"")</f>
        <v>20.046589388478253</v>
      </c>
      <c r="U225" s="43">
        <f>IFERROR((_xll.qlBachelierBlackFormula(IF(O225&lt;$C$4,"Put","Call"),O225+$C$14,$C$4,$C$12*SQRT($C$7))-
2*_xll.qlBachelierBlackFormula(IF(O225&lt;$C$4,"Put","Call"),O225,$C$4,$C$12*SQRT($C$7))+
_xll.qlBachelierBlackFormula(IF(O225&lt;$C$4,"Put","Call"),O225-$C$14,$C$4,$C$12*SQRT($C$7)))/$C$14^2,"")</f>
        <v>22.539514091951542</v>
      </c>
      <c r="V225" s="61" t="str">
        <f>IFERROR(_xll.qlBachelierBlackFormulaImpliedVol(IF(O225&lt;$C$4,"Put","Call"),O225,$C$4,$C$7,P225),"")</f>
        <v/>
      </c>
      <c r="W225" s="61">
        <f>IFERROR(_xll.qlBachelierBlackFormulaImpliedVol(IF(O225&lt;$C$4,"Put","Call"),O225,$C$4,$C$7,Q225),"")</f>
        <v>7.4946425344700742E-3</v>
      </c>
      <c r="X225" s="61">
        <f>IFERROR(_xll.qlBachelierBlackFormulaImpliedVol(IF(O225&lt;$C$4,"Put","Call"),O225,$C$4,$C$7,R225),"")</f>
        <v>7.2020000000001597E-3</v>
      </c>
      <c r="Y225" s="96">
        <f>_xll.qlSmileSectionVolatility($C$40,O225+$C$31)</f>
        <v>7.5647259509381056E-3</v>
      </c>
    </row>
    <row r="226" spans="15:25">
      <c r="O226" s="37">
        <f t="shared" si="3"/>
        <v>1.2099999999999977E-2</v>
      </c>
      <c r="P226" s="38" t="str">
        <f>IFERROR(_xll.qlBlackFormula(IF(O226&lt;$C$4,"Put","Call"),O226,$C$4,$C$9*SQRT($C$7)),"")</f>
        <v/>
      </c>
      <c r="Q226" s="39">
        <f>IFERROR(_xll.qlBlackFormula(IF(O226&lt;$C$4,"Put","Call"),O226,$C$4,$C$10*SQRT($C$7),,$C$11),"")</f>
        <v>3.73024826642291E-3</v>
      </c>
      <c r="R226" s="40">
        <f>IFERROR(_xll.qlBachelierBlackFormula(IF(O226&lt;$C$4,"Put","Call"),O226,$C$4,$C$12*SQRT($C$7)),"")</f>
        <v>3.4891041838891073E-3</v>
      </c>
      <c r="S226" s="41" t="str">
        <f>IFERROR((_xll.qlBlackFormula(IF(O226&lt;$C$4,"Put","Call"),O226+$C$14,$C$4,$C$9*SQRT($C$7))-
2*_xll.qlBlackFormula(IF(O226&lt;$C$4,"Put","Call"),O226,$C$4,$C$9*SQRT($C$7))+
_xll.qlBlackFormula(IF(O226&lt;$C$4,"Put","Call"),O226-$C$14,$C$4,$C$9*SQRT($C$7)))/$C$14^2,"")</f>
        <v/>
      </c>
      <c r="T226" s="42">
        <f>IFERROR((_xll.qlBlackFormula(IF(O226&lt;$C$4,"Put","Call"),O226+$C$14,$C$4,$C$10*SQRT($C$7),,$C$11)-
2*_xll.qlBlackFormula(IF(O226&lt;$C$4,"Put","Call"),O226,$C$4,$C$10*SQRT($C$7),,$C$11)+
_xll.qlBlackFormula(IF(O226&lt;$C$4,"Put","Call"),O226-$C$14,$C$4,$C$10*SQRT($C$7),,$C$11))/$C$14^2,"")</f>
        <v>19.965876174588004</v>
      </c>
      <c r="U226" s="43">
        <f>IFERROR((_xll.qlBachelierBlackFormula(IF(O226&lt;$C$4,"Put","Call"),O226+$C$14,$C$4,$C$12*SQRT($C$7))-
2*_xll.qlBachelierBlackFormula(IF(O226&lt;$C$4,"Put","Call"),O226,$C$4,$C$12*SQRT($C$7))+
_xll.qlBachelierBlackFormula(IF(O226&lt;$C$4,"Put","Call"),O226-$C$14,$C$4,$C$12*SQRT($C$7)))/$C$14^2,"")</f>
        <v>22.478325190783412</v>
      </c>
      <c r="V226" s="61" t="str">
        <f>IFERROR(_xll.qlBachelierBlackFormulaImpliedVol(IF(O226&lt;$C$4,"Put","Call"),O226,$C$4,$C$7,P226),"")</f>
        <v/>
      </c>
      <c r="W226" s="61">
        <f>IFERROR(_xll.qlBachelierBlackFormulaImpliedVol(IF(O226&lt;$C$4,"Put","Call"),O226,$C$4,$C$7,Q226),"")</f>
        <v>7.4987687063045629E-3</v>
      </c>
      <c r="X226" s="61">
        <f>IFERROR(_xll.qlBachelierBlackFormulaImpliedVol(IF(O226&lt;$C$4,"Put","Call"),O226,$C$4,$C$7,R226),"")</f>
        <v>7.2020000000001597E-3</v>
      </c>
      <c r="Y226" s="96">
        <f>_xll.qlSmileSectionVolatility($C$40,O226+$C$31)</f>
        <v>7.5706170048372929E-3</v>
      </c>
    </row>
    <row r="227" spans="15:25">
      <c r="O227" s="37">
        <f t="shared" si="3"/>
        <v>1.2199999999999976E-2</v>
      </c>
      <c r="P227" s="38" t="str">
        <f>IFERROR(_xll.qlBlackFormula(IF(O227&lt;$C$4,"Put","Call"),O227,$C$4,$C$9*SQRT($C$7)),"")</f>
        <v/>
      </c>
      <c r="Q227" s="39">
        <f>IFERROR(_xll.qlBlackFormula(IF(O227&lt;$C$4,"Put","Call"),O227,$C$4,$C$10*SQRT($C$7),,$C$11),"")</f>
        <v>3.700113530850823E-3</v>
      </c>
      <c r="R227" s="40">
        <f>IFERROR(_xll.qlBachelierBlackFormula(IF(O227&lt;$C$4,"Put","Call"),O227,$C$4,$C$12*SQRT($C$7)),"")</f>
        <v>3.4562514727983608E-3</v>
      </c>
      <c r="S227" s="41" t="str">
        <f>IFERROR((_xll.qlBlackFormula(IF(O227&lt;$C$4,"Put","Call"),O227+$C$14,$C$4,$C$9*SQRT($C$7))-
2*_xll.qlBlackFormula(IF(O227&lt;$C$4,"Put","Call"),O227,$C$4,$C$9*SQRT($C$7))+
_xll.qlBlackFormula(IF(O227&lt;$C$4,"Put","Call"),O227-$C$14,$C$4,$C$9*SQRT($C$7)))/$C$14^2,"")</f>
        <v/>
      </c>
      <c r="T227" s="42">
        <f>IFERROR((_xll.qlBlackFormula(IF(O227&lt;$C$4,"Put","Call"),O227+$C$14,$C$4,$C$10*SQRT($C$7),,$C$11)-
2*_xll.qlBlackFormula(IF(O227&lt;$C$4,"Put","Call"),O227,$C$4,$C$10*SQRT($C$7),,$C$11)+
_xll.qlBlackFormula(IF(O227&lt;$C$4,"Put","Call"),O227-$C$14,$C$4,$C$10*SQRT($C$7),,$C$11))/$C$14^2,"")</f>
        <v>19.884944385539782</v>
      </c>
      <c r="U227" s="43">
        <f>IFERROR((_xll.qlBachelierBlackFormula(IF(O227&lt;$C$4,"Put","Call"),O227+$C$14,$C$4,$C$12*SQRT($C$7))-
2*_xll.qlBachelierBlackFormula(IF(O227&lt;$C$4,"Put","Call"),O227,$C$4,$C$12*SQRT($C$7))+
_xll.qlBachelierBlackFormula(IF(O227&lt;$C$4,"Put","Call"),O227-$C$14,$C$4,$C$12*SQRT($C$7)))/$C$14^2,"")</f>
        <v>22.416438497097069</v>
      </c>
      <c r="V227" s="61" t="str">
        <f>IFERROR(_xll.qlBachelierBlackFormulaImpliedVol(IF(O227&lt;$C$4,"Put","Call"),O227,$C$4,$C$7,P227),"")</f>
        <v/>
      </c>
      <c r="W227" s="61">
        <f>IFERROR(_xll.qlBachelierBlackFormulaImpliedVol(IF(O227&lt;$C$4,"Put","Call"),O227,$C$4,$C$7,Q227),"")</f>
        <v>7.5028934051214972E-3</v>
      </c>
      <c r="X227" s="61">
        <f>IFERROR(_xll.qlBachelierBlackFormulaImpliedVol(IF(O227&lt;$C$4,"Put","Call"),O227,$C$4,$C$7,R227),"")</f>
        <v>7.2020000000001493E-3</v>
      </c>
      <c r="Y227" s="96">
        <f>_xll.qlSmileSectionVolatility($C$40,O227+$C$31)</f>
        <v>7.5765276417135291E-3</v>
      </c>
    </row>
    <row r="228" spans="15:25">
      <c r="O228" s="37">
        <f t="shared" si="3"/>
        <v>1.2299999999999976E-2</v>
      </c>
      <c r="P228" s="38" t="str">
        <f>IFERROR(_xll.qlBlackFormula(IF(O228&lt;$C$4,"Put","Call"),O228,$C$4,$C$9*SQRT($C$7)),"")</f>
        <v/>
      </c>
      <c r="Q228" s="39">
        <f>IFERROR(_xll.qlBlackFormula(IF(O228&lt;$C$4,"Put","Call"),O228,$C$4,$C$10*SQRT($C$7),,$C$11),"")</f>
        <v>3.6701776445235319E-3</v>
      </c>
      <c r="R228" s="40">
        <f>IFERROR(_xll.qlBachelierBlackFormula(IF(O228&lt;$C$4,"Put","Call"),O228,$C$4,$C$12*SQRT($C$7)),"")</f>
        <v>3.4236229255175184E-3</v>
      </c>
      <c r="S228" s="41" t="str">
        <f>IFERROR((_xll.qlBlackFormula(IF(O228&lt;$C$4,"Put","Call"),O228+$C$14,$C$4,$C$9*SQRT($C$7))-
2*_xll.qlBlackFormula(IF(O228&lt;$C$4,"Put","Call"),O228,$C$4,$C$9*SQRT($C$7))+
_xll.qlBlackFormula(IF(O228&lt;$C$4,"Put","Call"),O228-$C$14,$C$4,$C$9*SQRT($C$7)))/$C$14^2,"")</f>
        <v/>
      </c>
      <c r="T228" s="42">
        <f>IFERROR((_xll.qlBlackFormula(IF(O228&lt;$C$4,"Put","Call"),O228+$C$14,$C$4,$C$10*SQRT($C$7),,$C$11)-
2*_xll.qlBlackFormula(IF(O228&lt;$C$4,"Put","Call"),O228,$C$4,$C$10*SQRT($C$7),,$C$11)+
_xll.qlBlackFormula(IF(O228&lt;$C$4,"Put","Call"),O228-$C$14,$C$4,$C$10*SQRT($C$7),,$C$11))/$C$14^2,"")</f>
        <v>19.803769735204924</v>
      </c>
      <c r="U228" s="43">
        <f>IFERROR((_xll.qlBachelierBlackFormula(IF(O228&lt;$C$4,"Put","Call"),O228+$C$14,$C$4,$C$12*SQRT($C$7))-
2*_xll.qlBachelierBlackFormula(IF(O228&lt;$C$4,"Put","Call"),O228,$C$4,$C$12*SQRT($C$7))+
_xll.qlBachelierBlackFormula(IF(O228&lt;$C$4,"Put","Call"),O228-$C$14,$C$4,$C$12*SQRT($C$7)))/$C$14^2,"")</f>
        <v>22.353861817148157</v>
      </c>
      <c r="V228" s="61" t="str">
        <f>IFERROR(_xll.qlBachelierBlackFormulaImpliedVol(IF(O228&lt;$C$4,"Put","Call"),O228,$C$4,$C$7,P228),"")</f>
        <v/>
      </c>
      <c r="W228" s="61">
        <f>IFERROR(_xll.qlBachelierBlackFormulaImpliedVol(IF(O228&lt;$C$4,"Put","Call"),O228,$C$4,$C$7,Q228),"")</f>
        <v>7.5070166333102281E-3</v>
      </c>
      <c r="X228" s="61">
        <f>IFERROR(_xll.qlBachelierBlackFormulaImpliedVol(IF(O228&lt;$C$4,"Put","Call"),O228,$C$4,$C$7,R228),"")</f>
        <v>7.2020000000001397E-3</v>
      </c>
      <c r="Y228" s="96">
        <f>_xll.qlSmileSectionVolatility($C$40,O228+$C$31)</f>
        <v>7.5824577840394695E-3</v>
      </c>
    </row>
    <row r="229" spans="15:25">
      <c r="O229" s="37">
        <f t="shared" si="3"/>
        <v>1.2399999999999975E-2</v>
      </c>
      <c r="P229" s="38" t="str">
        <f>IFERROR(_xll.qlBlackFormula(IF(O229&lt;$C$4,"Put","Call"),O229,$C$4,$C$9*SQRT($C$7)),"")</f>
        <v/>
      </c>
      <c r="Q229" s="39">
        <f>IFERROR(_xll.qlBlackFormula(IF(O229&lt;$C$4,"Put","Call"),O229,$C$4,$C$10*SQRT($C$7),,$C$11),"")</f>
        <v>3.6404397957256196E-3</v>
      </c>
      <c r="R229" s="40">
        <f>IFERROR(_xll.qlBachelierBlackFormula(IF(O229&lt;$C$4,"Put","Call"),O229,$C$4,$C$12*SQRT($C$7)),"")</f>
        <v>3.3912179162724817E-3</v>
      </c>
      <c r="S229" s="41" t="str">
        <f>IFERROR((_xll.qlBlackFormula(IF(O229&lt;$C$4,"Put","Call"),O229+$C$14,$C$4,$C$9*SQRT($C$7))-
2*_xll.qlBlackFormula(IF(O229&lt;$C$4,"Put","Call"),O229,$C$4,$C$9*SQRT($C$7))+
_xll.qlBlackFormula(IF(O229&lt;$C$4,"Put","Call"),O229-$C$14,$C$4,$C$9*SQRT($C$7)))/$C$14^2,"")</f>
        <v/>
      </c>
      <c r="T229" s="42">
        <f>IFERROR((_xll.qlBlackFormula(IF(O229&lt;$C$4,"Put","Call"),O229+$C$14,$C$4,$C$10*SQRT($C$7),,$C$11)-
2*_xll.qlBlackFormula(IF(O229&lt;$C$4,"Put","Call"),O229,$C$4,$C$10*SQRT($C$7),,$C$11)+
_xll.qlBlackFormula(IF(O229&lt;$C$4,"Put","Call"),O229-$C$14,$C$4,$C$10*SQRT($C$7),,$C$11))/$C$14^2,"")</f>
        <v>19.722383448605996</v>
      </c>
      <c r="U229" s="43">
        <f>IFERROR((_xll.qlBachelierBlackFormula(IF(O229&lt;$C$4,"Put","Call"),O229+$C$14,$C$4,$C$12*SQRT($C$7))-
2*_xll.qlBachelierBlackFormula(IF(O229&lt;$C$4,"Put","Call"),O229,$C$4,$C$12*SQRT($C$7))+
_xll.qlBachelierBlackFormula(IF(O229&lt;$C$4,"Put","Call"),O229-$C$14,$C$4,$C$12*SQRT($C$7)))/$C$14^2,"")</f>
        <v>22.290596885660154</v>
      </c>
      <c r="V229" s="61" t="str">
        <f>IFERROR(_xll.qlBachelierBlackFormulaImpliedVol(IF(O229&lt;$C$4,"Put","Call"),O229,$C$4,$C$7,P229),"")</f>
        <v/>
      </c>
      <c r="W229" s="61">
        <f>IFERROR(_xll.qlBachelierBlackFormulaImpliedVol(IF(O229&lt;$C$4,"Put","Call"),O229,$C$4,$C$7,Q229),"")</f>
        <v>7.51113839325357E-3</v>
      </c>
      <c r="X229" s="61">
        <f>IFERROR(_xll.qlBachelierBlackFormulaImpliedVol(IF(O229&lt;$C$4,"Put","Call"),O229,$C$4,$C$7,R229),"")</f>
        <v>7.2020000000001293E-3</v>
      </c>
      <c r="Y229" s="96">
        <f>_xll.qlSmileSectionVolatility($C$40,O229+$C$31)</f>
        <v>7.5884073540491547E-3</v>
      </c>
    </row>
    <row r="230" spans="15:25">
      <c r="O230" s="37">
        <f t="shared" si="3"/>
        <v>1.2499999999999975E-2</v>
      </c>
      <c r="P230" s="38" t="str">
        <f>IFERROR(_xll.qlBlackFormula(IF(O230&lt;$C$4,"Put","Call"),O230,$C$4,$C$9*SQRT($C$7)),"")</f>
        <v/>
      </c>
      <c r="Q230" s="39">
        <f>IFERROR(_xll.qlBlackFormula(IF(O230&lt;$C$4,"Put","Call"),O230,$C$4,$C$10*SQRT($C$7),,$C$11),"")</f>
        <v>3.6108991705020646E-3</v>
      </c>
      <c r="R230" s="40">
        <f>IFERROR(_xll.qlBachelierBlackFormula(IF(O230&lt;$C$4,"Put","Call"),O230,$C$4,$C$12*SQRT($C$7)),"")</f>
        <v>3.359035812440975E-3</v>
      </c>
      <c r="S230" s="41" t="str">
        <f>IFERROR((_xll.qlBlackFormula(IF(O230&lt;$C$4,"Put","Call"),O230+$C$14,$C$4,$C$9*SQRT($C$7))-
2*_xll.qlBlackFormula(IF(O230&lt;$C$4,"Put","Call"),O230,$C$4,$C$9*SQRT($C$7))+
_xll.qlBlackFormula(IF(O230&lt;$C$4,"Put","Call"),O230-$C$14,$C$4,$C$9*SQRT($C$7)))/$C$14^2,"")</f>
        <v/>
      </c>
      <c r="T230" s="42">
        <f>IFERROR((_xll.qlBlackFormula(IF(O230&lt;$C$4,"Put","Call"),O230+$C$14,$C$4,$C$10*SQRT($C$7),,$C$11)-
2*_xll.qlBlackFormula(IF(O230&lt;$C$4,"Put","Call"),O230,$C$4,$C$10*SQRT($C$7),,$C$11)+
_xll.qlBlackFormula(IF(O230&lt;$C$4,"Put","Call"),O230-$C$14,$C$4,$C$10*SQRT($C$7),,$C$11))/$C$14^2,"")</f>
        <v>19.640764709061287</v>
      </c>
      <c r="U230" s="43">
        <f>IFERROR((_xll.qlBachelierBlackFormula(IF(O230&lt;$C$4,"Put","Call"),O230+$C$14,$C$4,$C$12*SQRT($C$7))-
2*_xll.qlBachelierBlackFormula(IF(O230&lt;$C$4,"Put","Call"),O230,$C$4,$C$12*SQRT($C$7))+
_xll.qlBachelierBlackFormula(IF(O230&lt;$C$4,"Put","Call"),O230-$C$14,$C$4,$C$12*SQRT($C$7)))/$C$14^2,"")</f>
        <v>22.226657580420863</v>
      </c>
      <c r="V230" s="61" t="str">
        <f>IFERROR(_xll.qlBachelierBlackFormulaImpliedVol(IF(O230&lt;$C$4,"Put","Call"),O230,$C$4,$C$7,P230),"")</f>
        <v/>
      </c>
      <c r="W230" s="61">
        <f>IFERROR(_xll.qlBachelierBlackFormulaImpliedVol(IF(O230&lt;$C$4,"Put","Call"),O230,$C$4,$C$7,Q230),"")</f>
        <v>7.5152586873278304E-3</v>
      </c>
      <c r="X230" s="61">
        <f>IFERROR(_xll.qlBachelierBlackFormulaImpliedVol(IF(O230&lt;$C$4,"Put","Call"),O230,$C$4,$C$7,R230),"")</f>
        <v>7.2020000000001137E-3</v>
      </c>
      <c r="Y230" s="96">
        <f>_xll.qlSmileSectionVolatility($C$40,O230+$C$31)</f>
        <v>7.594376273747018E-3</v>
      </c>
    </row>
    <row r="231" spans="15:25">
      <c r="O231" s="37">
        <f t="shared" si="3"/>
        <v>1.2599999999999974E-2</v>
      </c>
      <c r="P231" s="38" t="str">
        <f>IFERROR(_xll.qlBlackFormula(IF(O231&lt;$C$4,"Put","Call"),O231,$C$4,$C$9*SQRT($C$7)),"")</f>
        <v/>
      </c>
      <c r="Q231" s="39">
        <f>IFERROR(_xll.qlBlackFormula(IF(O231&lt;$C$4,"Put","Call"),O231,$C$4,$C$10*SQRT($C$7),,$C$11),"")</f>
        <v>3.5815549527320294E-3</v>
      </c>
      <c r="R231" s="40">
        <f>IFERROR(_xll.qlBachelierBlackFormula(IF(O231&lt;$C$4,"Put","Call"),O231,$C$4,$C$12*SQRT($C$7)),"")</f>
        <v>3.3270759746206512E-3</v>
      </c>
      <c r="S231" s="41" t="str">
        <f>IFERROR((_xll.qlBlackFormula(IF(O231&lt;$C$4,"Put","Call"),O231+$C$14,$C$4,$C$9*SQRT($C$7))-
2*_xll.qlBlackFormula(IF(O231&lt;$C$4,"Put","Call"),O231,$C$4,$C$9*SQRT($C$7))+
_xll.qlBlackFormula(IF(O231&lt;$C$4,"Put","Call"),O231-$C$14,$C$4,$C$9*SQRT($C$7)))/$C$14^2,"")</f>
        <v/>
      </c>
      <c r="T231" s="42">
        <f>IFERROR((_xll.qlBlackFormula(IF(O231&lt;$C$4,"Put","Call"),O231+$C$14,$C$4,$C$10*SQRT($C$7),,$C$11)-
2*_xll.qlBlackFormula(IF(O231&lt;$C$4,"Put","Call"),O231,$C$4,$C$10*SQRT($C$7),,$C$11)+
_xll.qlBlackFormula(IF(O231&lt;$C$4,"Put","Call"),O231-$C$14,$C$4,$C$10*SQRT($C$7),,$C$11))/$C$14^2,"")</f>
        <v>19.558944741593365</v>
      </c>
      <c r="U231" s="43">
        <f>IFERROR((_xll.qlBachelierBlackFormula(IF(O231&lt;$C$4,"Put","Call"),O231+$C$14,$C$4,$C$12*SQRT($C$7))-
2*_xll.qlBachelierBlackFormula(IF(O231&lt;$C$4,"Put","Call"),O231,$C$4,$C$12*SQRT($C$7))+
_xll.qlBachelierBlackFormula(IF(O231&lt;$C$4,"Put","Call"),O231-$C$14,$C$4,$C$12*SQRT($C$7)))/$C$14^2,"")</f>
        <v>22.162044768792022</v>
      </c>
      <c r="V231" s="61" t="str">
        <f>IFERROR(_xll.qlBachelierBlackFormulaImpliedVol(IF(O231&lt;$C$4,"Put","Call"),O231,$C$4,$C$7,P231),"")</f>
        <v/>
      </c>
      <c r="W231" s="61">
        <f>IFERROR(_xll.qlBachelierBlackFormulaImpliedVol(IF(O231&lt;$C$4,"Put","Call"),O231,$C$4,$C$7,Q231),"")</f>
        <v>7.5193775179027839E-3</v>
      </c>
      <c r="X231" s="61">
        <f>IFERROR(_xll.qlBachelierBlackFormulaImpliedVol(IF(O231&lt;$C$4,"Put","Call"),O231,$C$4,$C$7,R231),"")</f>
        <v>7.2020000000000989E-3</v>
      </c>
      <c r="Y231" s="96">
        <f>_xll.qlSmileSectionVolatility($C$40,O231+$C$31)</f>
        <v>7.6003644649167154E-3</v>
      </c>
    </row>
    <row r="232" spans="15:25">
      <c r="O232" s="37">
        <f t="shared" si="3"/>
        <v>1.2699999999999973E-2</v>
      </c>
      <c r="P232" s="38" t="str">
        <f>IFERROR(_xll.qlBlackFormula(IF(O232&lt;$C$4,"Put","Call"),O232,$C$4,$C$9*SQRT($C$7)),"")</f>
        <v/>
      </c>
      <c r="Q232" s="39">
        <f>IFERROR(_xll.qlBlackFormula(IF(O232&lt;$C$4,"Put","Call"),O232,$C$4,$C$10*SQRT($C$7),,$C$11),"")</f>
        <v>3.5524063242023049E-3</v>
      </c>
      <c r="R232" s="40">
        <f>IFERROR(_xll.qlBachelierBlackFormula(IF(O232&lt;$C$4,"Put","Call"),O232,$C$4,$C$12*SQRT($C$7)),"")</f>
        <v>3.295337756697765E-3</v>
      </c>
      <c r="S232" s="41" t="str">
        <f>IFERROR((_xll.qlBlackFormula(IF(O232&lt;$C$4,"Put","Call"),O232+$C$14,$C$4,$C$9*SQRT($C$7))-
2*_xll.qlBlackFormula(IF(O232&lt;$C$4,"Put","Call"),O232,$C$4,$C$9*SQRT($C$7))+
_xll.qlBlackFormula(IF(O232&lt;$C$4,"Put","Call"),O232-$C$14,$C$4,$C$9*SQRT($C$7)))/$C$14^2,"")</f>
        <v/>
      </c>
      <c r="T232" s="42">
        <f>IFERROR((_xll.qlBlackFormula(IF(O232&lt;$C$4,"Put","Call"),O232+$C$14,$C$4,$C$10*SQRT($C$7),,$C$11)-
2*_xll.qlBlackFormula(IF(O232&lt;$C$4,"Put","Call"),O232,$C$4,$C$10*SQRT($C$7),,$C$11)+
_xll.qlBlackFormula(IF(O232&lt;$C$4,"Put","Call"),O232-$C$14,$C$4,$C$10*SQRT($C$7),,$C$11))/$C$14^2,"")</f>
        <v>19.476916607308326</v>
      </c>
      <c r="U232" s="43">
        <f>IFERROR((_xll.qlBachelierBlackFormula(IF(O232&lt;$C$4,"Put","Call"),O232+$C$14,$C$4,$C$12*SQRT($C$7))-
2*_xll.qlBachelierBlackFormula(IF(O232&lt;$C$4,"Put","Call"),O232,$C$4,$C$12*SQRT($C$7))+
_xll.qlBachelierBlackFormula(IF(O232&lt;$C$4,"Put","Call"),O232-$C$14,$C$4,$C$12*SQRT($C$7)))/$C$14^2,"")</f>
        <v>22.096769292795361</v>
      </c>
      <c r="V232" s="61" t="str">
        <f>IFERROR(_xll.qlBachelierBlackFormulaImpliedVol(IF(O232&lt;$C$4,"Put","Call"),O232,$C$4,$C$7,P232),"")</f>
        <v/>
      </c>
      <c r="W232" s="61">
        <f>IFERROR(_xll.qlBachelierBlackFormulaImpliedVol(IF(O232&lt;$C$4,"Put","Call"),O232,$C$4,$C$7,Q232),"")</f>
        <v>7.5234948873417569E-3</v>
      </c>
      <c r="X232" s="61">
        <f>IFERROR(_xll.qlBachelierBlackFormulaImpliedVol(IF(O232&lt;$C$4,"Put","Call"),O232,$C$4,$C$7,R232),"")</f>
        <v>7.2020000000000773E-3</v>
      </c>
      <c r="Y232" s="96">
        <f>_xll.qlSmileSectionVolatility($C$40,O232+$C$31)</f>
        <v>7.6063718491301627E-3</v>
      </c>
    </row>
    <row r="233" spans="15:25">
      <c r="O233" s="37">
        <f t="shared" si="3"/>
        <v>1.2799999999999973E-2</v>
      </c>
      <c r="P233" s="38" t="str">
        <f>IFERROR(_xll.qlBlackFormula(IF(O233&lt;$C$4,"Put","Call"),O233,$C$4,$C$9*SQRT($C$7)),"")</f>
        <v/>
      </c>
      <c r="Q233" s="39">
        <f>IFERROR(_xll.qlBlackFormula(IF(O233&lt;$C$4,"Put","Call"),O233,$C$4,$C$10*SQRT($C$7),,$C$11),"")</f>
        <v>3.523452464680242E-3</v>
      </c>
      <c r="R233" s="40">
        <f>IFERROR(_xll.qlBachelierBlackFormula(IF(O233&lt;$C$4,"Put","Call"),O233,$C$4,$C$12*SQRT($C$7)),"")</f>
        <v>3.2638205059164478E-3</v>
      </c>
      <c r="S233" s="41" t="str">
        <f>IFERROR((_xll.qlBlackFormula(IF(O233&lt;$C$4,"Put","Call"),O233+$C$14,$C$4,$C$9*SQRT($C$7))-
2*_xll.qlBlackFormula(IF(O233&lt;$C$4,"Put","Call"),O233,$C$4,$C$9*SQRT($C$7))+
_xll.qlBlackFormula(IF(O233&lt;$C$4,"Put","Call"),O233-$C$14,$C$4,$C$9*SQRT($C$7)))/$C$14^2,"")</f>
        <v/>
      </c>
      <c r="T233" s="42">
        <f>IFERROR((_xll.qlBlackFormula(IF(O233&lt;$C$4,"Put","Call"),O233+$C$14,$C$4,$C$10*SQRT($C$7),,$C$11)-
2*_xll.qlBlackFormula(IF(O233&lt;$C$4,"Put","Call"),O233,$C$4,$C$10*SQRT($C$7),,$C$11)+
_xll.qlBlackFormula(IF(O233&lt;$C$4,"Put","Call"),O233-$C$14,$C$4,$C$10*SQRT($C$7),,$C$11))/$C$14^2,"")</f>
        <v>19.394694183993977</v>
      </c>
      <c r="U233" s="43">
        <f>IFERROR((_xll.qlBachelierBlackFormula(IF(O233&lt;$C$4,"Put","Call"),O233+$C$14,$C$4,$C$12*SQRT($C$7))-
2*_xll.qlBachelierBlackFormula(IF(O233&lt;$C$4,"Put","Call"),O233,$C$4,$C$12*SQRT($C$7))+
_xll.qlBachelierBlackFormula(IF(O233&lt;$C$4,"Put","Call"),O233-$C$14,$C$4,$C$12*SQRT($C$7)))/$C$14^2,"")</f>
        <v>22.030833754516088</v>
      </c>
      <c r="V233" s="61" t="str">
        <f>IFERROR(_xll.qlBachelierBlackFormulaImpliedVol(IF(O233&lt;$C$4,"Put","Call"),O233,$C$4,$C$7,P233),"")</f>
        <v/>
      </c>
      <c r="W233" s="61">
        <f>IFERROR(_xll.qlBachelierBlackFormulaImpliedVol(IF(O233&lt;$C$4,"Put","Call"),O233,$C$4,$C$7,Q233),"")</f>
        <v>7.5276107980016323E-3</v>
      </c>
      <c r="X233" s="61">
        <f>IFERROR(_xll.qlBachelierBlackFormulaImpliedVol(IF(O233&lt;$C$4,"Put","Call"),O233,$C$4,$C$7,R233),"")</f>
        <v>7.2020000000000564E-3</v>
      </c>
      <c r="Y233" s="96">
        <f>_xll.qlSmileSectionVolatility($C$40,O233+$C$31)</f>
        <v>7.6123983477560152E-3</v>
      </c>
    </row>
    <row r="234" spans="15:25">
      <c r="O234" s="37">
        <f t="shared" si="3"/>
        <v>1.2899999999999972E-2</v>
      </c>
      <c r="P234" s="38" t="str">
        <f>IFERROR(_xll.qlBlackFormula(IF(O234&lt;$C$4,"Put","Call"),O234,$C$4,$C$9*SQRT($C$7)),"")</f>
        <v/>
      </c>
      <c r="Q234" s="39">
        <f>IFERROR(_xll.qlBlackFormula(IF(O234&lt;$C$4,"Put","Call"),O234,$C$4,$C$10*SQRT($C$7),,$C$11),"")</f>
        <v>3.4946925519862421E-3</v>
      </c>
      <c r="R234" s="40">
        <f>IFERROR(_xll.qlBachelierBlackFormula(IF(O234&lt;$C$4,"Put","Call"),O234,$C$4,$C$12*SQRT($C$7)),"")</f>
        <v>3.2325235629485239E-3</v>
      </c>
      <c r="S234" s="41" t="str">
        <f>IFERROR((_xll.qlBlackFormula(IF(O234&lt;$C$4,"Put","Call"),O234+$C$14,$C$4,$C$9*SQRT($C$7))-
2*_xll.qlBlackFormula(IF(O234&lt;$C$4,"Put","Call"),O234,$C$4,$C$9*SQRT($C$7))+
_xll.qlBlackFormula(IF(O234&lt;$C$4,"Put","Call"),O234-$C$14,$C$4,$C$9*SQRT($C$7)))/$C$14^2,"")</f>
        <v/>
      </c>
      <c r="T234" s="42">
        <f>IFERROR((_xll.qlBlackFormula(IF(O234&lt;$C$4,"Put","Call"),O234+$C$14,$C$4,$C$10*SQRT($C$7),,$C$11)-
2*_xll.qlBlackFormula(IF(O234&lt;$C$4,"Put","Call"),O234,$C$4,$C$10*SQRT($C$7),,$C$11)+
_xll.qlBlackFormula(IF(O234&lt;$C$4,"Put","Call"),O234-$C$14,$C$4,$C$10*SQRT($C$7),,$C$11))/$C$14^2,"")</f>
        <v>19.312301757778982</v>
      </c>
      <c r="U234" s="43">
        <f>IFERROR((_xll.qlBachelierBlackFormula(IF(O234&lt;$C$4,"Put","Call"),O234+$C$14,$C$4,$C$12*SQRT($C$7))-
2*_xll.qlBachelierBlackFormula(IF(O234&lt;$C$4,"Put","Call"),O234,$C$4,$C$12*SQRT($C$7))+
_xll.qlBachelierBlackFormula(IF(O234&lt;$C$4,"Put","Call"),O234-$C$14,$C$4,$C$12*SQRT($C$7)))/$C$14^2,"")</f>
        <v>21.964252465422884</v>
      </c>
      <c r="V234" s="61" t="str">
        <f>IFERROR(_xll.qlBachelierBlackFormulaImpliedVol(IF(O234&lt;$C$4,"Put","Call"),O234,$C$4,$C$7,P234),"")</f>
        <v/>
      </c>
      <c r="W234" s="61">
        <f>IFERROR(_xll.qlBachelierBlackFormulaImpliedVol(IF(O234&lt;$C$4,"Put","Call"),O234,$C$4,$C$7,Q234),"")</f>
        <v>7.5317252522328513E-3</v>
      </c>
      <c r="X234" s="61">
        <f>IFERROR(_xll.qlBachelierBlackFormulaImpliedVol(IF(O234&lt;$C$4,"Put","Call"),O234,$C$4,$C$7,R234),"")</f>
        <v>7.202000000000033E-3</v>
      </c>
      <c r="Y234" s="96">
        <f>_xll.qlSmileSectionVolatility($C$40,O234+$C$31)</f>
        <v>7.6184438819686577E-3</v>
      </c>
    </row>
    <row r="235" spans="15:25">
      <c r="O235" s="37">
        <f t="shared" si="3"/>
        <v>1.2999999999999972E-2</v>
      </c>
      <c r="P235" s="38" t="str">
        <f>IFERROR(_xll.qlBlackFormula(IF(O235&lt;$C$4,"Put","Call"),O235,$C$4,$C$9*SQRT($C$7)),"")</f>
        <v/>
      </c>
      <c r="Q235" s="39">
        <f>IFERROR(_xll.qlBlackFormula(IF(O235&lt;$C$4,"Put","Call"),O235,$C$4,$C$10*SQRT($C$7),,$C$11),"")</f>
        <v>3.4661257620658865E-3</v>
      </c>
      <c r="R235" s="40">
        <f>IFERROR(_xll.qlBachelierBlackFormula(IF(O235&lt;$C$4,"Put","Call"),O235,$C$4,$C$12*SQRT($C$7)),"")</f>
        <v>3.2014462619638986E-3</v>
      </c>
      <c r="S235" s="41" t="str">
        <f>IFERROR((_xll.qlBlackFormula(IF(O235&lt;$C$4,"Put","Call"),O235+$C$14,$C$4,$C$9*SQRT($C$7))-
2*_xll.qlBlackFormula(IF(O235&lt;$C$4,"Put","Call"),O235,$C$4,$C$9*SQRT($C$7))+
_xll.qlBlackFormula(IF(O235&lt;$C$4,"Put","Call"),O235-$C$14,$C$4,$C$9*SQRT($C$7)))/$C$14^2,"")</f>
        <v/>
      </c>
      <c r="T235" s="42">
        <f>IFERROR((_xll.qlBlackFormula(IF(O235&lt;$C$4,"Put","Call"),O235+$C$14,$C$4,$C$10*SQRT($C$7),,$C$11)-
2*_xll.qlBlackFormula(IF(O235&lt;$C$4,"Put","Call"),O235,$C$4,$C$10*SQRT($C$7),,$C$11)+
_xll.qlBlackFormula(IF(O235&lt;$C$4,"Put","Call"),O235-$C$14,$C$4,$C$10*SQRT($C$7),,$C$11))/$C$14^2,"")</f>
        <v>19.229711573087727</v>
      </c>
      <c r="U235" s="43">
        <f>IFERROR((_xll.qlBachelierBlackFormula(IF(O235&lt;$C$4,"Put","Call"),O235+$C$14,$C$4,$C$12*SQRT($C$7))-
2*_xll.qlBachelierBlackFormula(IF(O235&lt;$C$4,"Put","Call"),O235,$C$4,$C$12*SQRT($C$7))+
_xll.qlBachelierBlackFormula(IF(O235&lt;$C$4,"Put","Call"),O235-$C$14,$C$4,$C$12*SQRT($C$7)))/$C$14^2,"")</f>
        <v>21.897026726558355</v>
      </c>
      <c r="V235" s="61" t="str">
        <f>IFERROR(_xll.qlBachelierBlackFormulaImpliedVol(IF(O235&lt;$C$4,"Put","Call"),O235,$C$4,$C$7,P235),"")</f>
        <v/>
      </c>
      <c r="W235" s="61">
        <f>IFERROR(_xll.qlBachelierBlackFormulaImpliedVol(IF(O235&lt;$C$4,"Put","Call"),O235,$C$4,$C$7,Q235),"")</f>
        <v>7.5358382523794988E-3</v>
      </c>
      <c r="X235" s="61">
        <f>IFERROR(_xll.qlBachelierBlackFormulaImpliedVol(IF(O235&lt;$C$4,"Put","Call"),O235,$C$4,$C$7,R235),"")</f>
        <v>7.2020000000000079E-3</v>
      </c>
      <c r="Y235" s="96">
        <f>_xll.qlSmileSectionVolatility($C$40,O235+$C$31)</f>
        <v>7.6245083727565751E-3</v>
      </c>
    </row>
    <row r="236" spans="15:25">
      <c r="O236" s="37">
        <f t="shared" si="3"/>
        <v>1.3099999999999971E-2</v>
      </c>
      <c r="P236" s="38" t="str">
        <f>IFERROR(_xll.qlBlackFormula(IF(O236&lt;$C$4,"Put","Call"),O236,$C$4,$C$9*SQRT($C$7)),"")</f>
        <v/>
      </c>
      <c r="Q236" s="39">
        <f>IFERROR(_xll.qlBlackFormula(IF(O236&lt;$C$4,"Put","Call"),O236,$C$4,$C$10*SQRT($C$7),,$C$11),"")</f>
        <v>3.4377512690614391E-3</v>
      </c>
      <c r="R236" s="40">
        <f>IFERROR(_xll.qlBachelierBlackFormula(IF(O236&lt;$C$4,"Put","Call"),O236,$C$4,$C$12*SQRT($C$7)),"")</f>
        <v>3.1705879307014732E-3</v>
      </c>
      <c r="S236" s="41" t="str">
        <f>IFERROR((_xll.qlBlackFormula(IF(O236&lt;$C$4,"Put","Call"),O236+$C$14,$C$4,$C$9*SQRT($C$7))-
2*_xll.qlBlackFormula(IF(O236&lt;$C$4,"Put","Call"),O236,$C$4,$C$9*SQRT($C$7))+
_xll.qlBlackFormula(IF(O236&lt;$C$4,"Put","Call"),O236-$C$14,$C$4,$C$9*SQRT($C$7)))/$C$14^2,"")</f>
        <v/>
      </c>
      <c r="T236" s="42">
        <f>IFERROR((_xll.qlBlackFormula(IF(O236&lt;$C$4,"Put","Call"),O236+$C$14,$C$4,$C$10*SQRT($C$7),,$C$11)-
2*_xll.qlBlackFormula(IF(O236&lt;$C$4,"Put","Call"),O236,$C$4,$C$10*SQRT($C$7),,$C$11)+
_xll.qlBlackFormula(IF(O236&lt;$C$4,"Put","Call"),O236-$C$14,$C$4,$C$10*SQRT($C$7),,$C$11))/$C$14^2,"")</f>
        <v>19.146951385495825</v>
      </c>
      <c r="U236" s="43">
        <f>IFERROR((_xll.qlBachelierBlackFormula(IF(O236&lt;$C$4,"Put","Call"),O236+$C$14,$C$4,$C$12*SQRT($C$7))-
2*_xll.qlBachelierBlackFormula(IF(O236&lt;$C$4,"Put","Call"),O236,$C$4,$C$12*SQRT($C$7))+
_xll.qlBachelierBlackFormula(IF(O236&lt;$C$4,"Put","Call"),O236-$C$14,$C$4,$C$12*SQRT($C$7)))/$C$14^2,"")</f>
        <v>21.829164344178142</v>
      </c>
      <c r="V236" s="61" t="str">
        <f>IFERROR(_xll.qlBachelierBlackFormulaImpliedVol(IF(O236&lt;$C$4,"Put","Call"),O236,$C$4,$C$7,P236),"")</f>
        <v/>
      </c>
      <c r="W236" s="61">
        <f>IFERROR(_xll.qlBachelierBlackFormulaImpliedVol(IF(O236&lt;$C$4,"Put","Call"),O236,$C$4,$C$7,Q236),"")</f>
        <v>7.5399498007792292E-3</v>
      </c>
      <c r="X236" s="61">
        <f>IFERROR(_xll.qlBachelierBlackFormulaImpliedVol(IF(O236&lt;$C$4,"Put","Call"),O236,$C$4,$C$7,R236),"")</f>
        <v>7.2019999999999853E-3</v>
      </c>
      <c r="Y236" s="96">
        <f>_xll.qlSmileSectionVolatility($C$40,O236+$C$31)</f>
        <v>7.6305917409310942E-3</v>
      </c>
    </row>
    <row r="237" spans="15:25">
      <c r="O237" s="37">
        <f t="shared" si="3"/>
        <v>1.319999999999997E-2</v>
      </c>
      <c r="P237" s="38" t="str">
        <f>IFERROR(_xll.qlBlackFormula(IF(O237&lt;$C$4,"Put","Call"),O237,$C$4,$C$9*SQRT($C$7)),"")</f>
        <v/>
      </c>
      <c r="Q237" s="39">
        <f>IFERROR(_xll.qlBlackFormula(IF(O237&lt;$C$4,"Put","Call"),O237,$C$4,$C$10*SQRT($C$7),,$C$11),"")</f>
        <v>3.4095682453830975E-3</v>
      </c>
      <c r="R237" s="40">
        <f>IFERROR(_xll.qlBachelierBlackFormula(IF(O237&lt;$C$4,"Put","Call"),O237,$C$4,$C$12*SQRT($C$7)),"")</f>
        <v>3.1399478905405906E-3</v>
      </c>
      <c r="S237" s="41" t="str">
        <f>IFERROR((_xll.qlBlackFormula(IF(O237&lt;$C$4,"Put","Call"),O237+$C$14,$C$4,$C$9*SQRT($C$7))-
2*_xll.qlBlackFormula(IF(O237&lt;$C$4,"Put","Call"),O237,$C$4,$C$9*SQRT($C$7))+
_xll.qlBlackFormula(IF(O237&lt;$C$4,"Put","Call"),O237-$C$14,$C$4,$C$9*SQRT($C$7)))/$C$14^2,"")</f>
        <v/>
      </c>
      <c r="T237" s="42">
        <f>IFERROR((_xll.qlBlackFormula(IF(O237&lt;$C$4,"Put","Call"),O237+$C$14,$C$4,$C$10*SQRT($C$7),,$C$11)-
2*_xll.qlBlackFormula(IF(O237&lt;$C$4,"Put","Call"),O237,$C$4,$C$10*SQRT($C$7),,$C$11)+
_xll.qlBlackFormula(IF(O237&lt;$C$4,"Put","Call"),O237-$C$14,$C$4,$C$10*SQRT($C$7),,$C$11))/$C$14^2,"")</f>
        <v>19.06400731721547</v>
      </c>
      <c r="U237" s="43">
        <f>IFERROR((_xll.qlBachelierBlackFormula(IF(O237&lt;$C$4,"Put","Call"),O237+$C$14,$C$4,$C$12*SQRT($C$7))-
2*_xll.qlBachelierBlackFormula(IF(O237&lt;$C$4,"Put","Call"),O237,$C$4,$C$12*SQRT($C$7))+
_xll.qlBachelierBlackFormula(IF(O237&lt;$C$4,"Put","Call"),O237-$C$14,$C$4,$C$12*SQRT($C$7)))/$C$14^2,"")</f>
        <v>21.760673124537888</v>
      </c>
      <c r="V237" s="61" t="str">
        <f>IFERROR(_xll.qlBachelierBlackFormulaImpliedVol(IF(O237&lt;$C$4,"Put","Call"),O237,$C$4,$C$7,P237),"")</f>
        <v/>
      </c>
      <c r="W237" s="61">
        <f>IFERROR(_xll.qlBachelierBlackFormulaImpliedVol(IF(O237&lt;$C$4,"Put","Call"),O237,$C$4,$C$7,Q237),"")</f>
        <v>7.5440598997634232E-3</v>
      </c>
      <c r="X237" s="61">
        <f>IFERROR(_xll.qlBachelierBlackFormulaImpliedVol(IF(O237&lt;$C$4,"Put","Call"),O237,$C$4,$C$7,R237),"")</f>
        <v>7.2019999999999576E-3</v>
      </c>
      <c r="Y237" s="96">
        <f>_xll.qlSmileSectionVolatility($C$40,O237+$C$31)</f>
        <v>7.6366939071347839E-3</v>
      </c>
    </row>
    <row r="238" spans="15:25">
      <c r="O238" s="37">
        <f t="shared" si="3"/>
        <v>1.329999999999997E-2</v>
      </c>
      <c r="P238" s="38" t="str">
        <f>IFERROR(_xll.qlBlackFormula(IF(O238&lt;$C$4,"Put","Call"),O238,$C$4,$C$9*SQRT($C$7)),"")</f>
        <v/>
      </c>
      <c r="Q238" s="39">
        <f>IFERROR(_xll.qlBlackFormula(IF(O238&lt;$C$4,"Put","Call"),O238,$C$4,$C$10*SQRT($C$7),,$C$11),"")</f>
        <v>3.3815758617795726E-3</v>
      </c>
      <c r="R238" s="40">
        <f>IFERROR(_xll.qlBachelierBlackFormula(IF(O238&lt;$C$4,"Put","Call"),O238,$C$4,$C$12*SQRT($C$7)),"")</f>
        <v>3.109525456572997E-3</v>
      </c>
      <c r="S238" s="41" t="str">
        <f>IFERROR((_xll.qlBlackFormula(IF(O238&lt;$C$4,"Put","Call"),O238+$C$14,$C$4,$C$9*SQRT($C$7))-
2*_xll.qlBlackFormula(IF(O238&lt;$C$4,"Put","Call"),O238,$C$4,$C$9*SQRT($C$7))+
_xll.qlBlackFormula(IF(O238&lt;$C$4,"Put","Call"),O238-$C$14,$C$4,$C$9*SQRT($C$7)))/$C$14^2,"")</f>
        <v/>
      </c>
      <c r="T238" s="42">
        <f>IFERROR((_xll.qlBlackFormula(IF(O238&lt;$C$4,"Put","Call"),O238+$C$14,$C$4,$C$10*SQRT($C$7),,$C$11)-
2*_xll.qlBlackFormula(IF(O238&lt;$C$4,"Put","Call"),O238,$C$4,$C$10*SQRT($C$7),,$C$11)+
_xll.qlBlackFormula(IF(O238&lt;$C$4,"Put","Call"),O238-$C$14,$C$4,$C$10*SQRT($C$7),,$C$11))/$C$14^2,"")</f>
        <v>18.980931409950941</v>
      </c>
      <c r="U238" s="43">
        <f>IFERROR((_xll.qlBachelierBlackFormula(IF(O238&lt;$C$4,"Put","Call"),O238+$C$14,$C$4,$C$12*SQRT($C$7))-
2*_xll.qlBachelierBlackFormula(IF(O238&lt;$C$4,"Put","Call"),O238,$C$4,$C$12*SQRT($C$7))+
_xll.qlBachelierBlackFormula(IF(O238&lt;$C$4,"Put","Call"),O238-$C$14,$C$4,$C$12*SQRT($C$7)))/$C$14^2,"")</f>
        <v>21.69155827180802</v>
      </c>
      <c r="V238" s="61" t="str">
        <f>IFERROR(_xll.qlBachelierBlackFormulaImpliedVol(IF(O238&lt;$C$4,"Put","Call"),O238,$C$4,$C$7,P238),"")</f>
        <v/>
      </c>
      <c r="W238" s="61">
        <f>IFERROR(_xll.qlBachelierBlackFormulaImpliedVol(IF(O238&lt;$C$4,"Put","Call"),O238,$C$4,$C$7,Q238),"")</f>
        <v>7.5481685516570569E-3</v>
      </c>
      <c r="X238" s="61">
        <f>IFERROR(_xll.qlBachelierBlackFormulaImpliedVol(IF(O238&lt;$C$4,"Put","Call"),O238,$C$4,$C$7,R238),"")</f>
        <v>7.2019999999999289E-3</v>
      </c>
      <c r="Y238" s="96">
        <f>_xll.qlSmileSectionVolatility($C$40,O238+$C$31)</f>
        <v>7.6428147918498942E-3</v>
      </c>
    </row>
    <row r="239" spans="15:25">
      <c r="O239" s="37">
        <f t="shared" si="3"/>
        <v>1.3399999999999969E-2</v>
      </c>
      <c r="P239" s="38" t="str">
        <f>IFERROR(_xll.qlBlackFormula(IF(O239&lt;$C$4,"Put","Call"),O239,$C$4,$C$9*SQRT($C$7)),"")</f>
        <v/>
      </c>
      <c r="Q239" s="39">
        <f>IFERROR(_xll.qlBlackFormula(IF(O239&lt;$C$4,"Put","Call"),O239,$C$4,$C$10*SQRT($C$7),,$C$11),"")</f>
        <v>3.3537732874083515E-3</v>
      </c>
      <c r="R239" s="40">
        <f>IFERROR(_xll.qlBachelierBlackFormula(IF(O239&lt;$C$4,"Put","Call"),O239,$C$4,$C$12*SQRT($C$7)),"")</f>
        <v>3.0793199376753025E-3</v>
      </c>
      <c r="S239" s="41" t="str">
        <f>IFERROR((_xll.qlBlackFormula(IF(O239&lt;$C$4,"Put","Call"),O239+$C$14,$C$4,$C$9*SQRT($C$7))-
2*_xll.qlBlackFormula(IF(O239&lt;$C$4,"Put","Call"),O239,$C$4,$C$9*SQRT($C$7))+
_xll.qlBlackFormula(IF(O239&lt;$C$4,"Put","Call"),O239-$C$14,$C$4,$C$9*SQRT($C$7)))/$C$14^2,"")</f>
        <v/>
      </c>
      <c r="T239" s="42">
        <f>IFERROR((_xll.qlBlackFormula(IF(O239&lt;$C$4,"Put","Call"),O239+$C$14,$C$4,$C$10*SQRT($C$7),,$C$11)-
2*_xll.qlBlackFormula(IF(O239&lt;$C$4,"Put","Call"),O239,$C$4,$C$10*SQRT($C$7),,$C$11)+
_xll.qlBlackFormula(IF(O239&lt;$C$4,"Put","Call"),O239-$C$14,$C$4,$C$10*SQRT($C$7),,$C$11))/$C$14^2,"")</f>
        <v>18.897702847020525</v>
      </c>
      <c r="U239" s="43">
        <f>IFERROR((_xll.qlBachelierBlackFormula(IF(O239&lt;$C$4,"Put","Call"),O239+$C$14,$C$4,$C$12*SQRT($C$7))-
2*_xll.qlBachelierBlackFormula(IF(O239&lt;$C$4,"Put","Call"),O239,$C$4,$C$12*SQRT($C$7))+
_xll.qlBachelierBlackFormula(IF(O239&lt;$C$4,"Put","Call"),O239-$C$14,$C$4,$C$12*SQRT($C$7)))/$C$14^2,"")</f>
        <v>21.621830628010265</v>
      </c>
      <c r="V239" s="61" t="str">
        <f>IFERROR(_xll.qlBachelierBlackFormulaImpliedVol(IF(O239&lt;$C$4,"Put","Call"),O239,$C$4,$C$7,P239),"")</f>
        <v/>
      </c>
      <c r="W239" s="61">
        <f>IFERROR(_xll.qlBachelierBlackFormulaImpliedVol(IF(O239&lt;$C$4,"Put","Call"),O239,$C$4,$C$7,Q239),"")</f>
        <v>7.5522757587788538E-3</v>
      </c>
      <c r="X239" s="61">
        <f>IFERROR(_xll.qlBachelierBlackFormulaImpliedVol(IF(O239&lt;$C$4,"Put","Call"),O239,$C$4,$C$7,R239),"")</f>
        <v>7.2019999999999003E-3</v>
      </c>
      <c r="Y239" s="96">
        <f>_xll.qlSmileSectionVolatility($C$40,O239+$C$31)</f>
        <v>7.6489543154065909E-3</v>
      </c>
    </row>
    <row r="240" spans="15:25">
      <c r="O240" s="37">
        <f t="shared" si="3"/>
        <v>1.3499999999999969E-2</v>
      </c>
      <c r="P240" s="38" t="str">
        <f>IFERROR(_xll.qlBlackFormula(IF(O240&lt;$C$4,"Put","Call"),O240,$C$4,$C$9*SQRT($C$7)),"")</f>
        <v/>
      </c>
      <c r="Q240" s="39">
        <f>IFERROR(_xll.qlBlackFormula(IF(O240&lt;$C$4,"Put","Call"),O240,$C$4,$C$10*SQRT($C$7),,$C$11),"")</f>
        <v>3.3261596899054335E-3</v>
      </c>
      <c r="R240" s="40">
        <f>IFERROR(_xll.qlBachelierBlackFormula(IF(O240&lt;$C$4,"Put","Call"),O240,$C$4,$C$12*SQRT($C$7)),"")</f>
        <v>3.0493306365819346E-3</v>
      </c>
      <c r="S240" s="41" t="str">
        <f>IFERROR((_xll.qlBlackFormula(IF(O240&lt;$C$4,"Put","Call"),O240+$C$14,$C$4,$C$9*SQRT($C$7))-
2*_xll.qlBlackFormula(IF(O240&lt;$C$4,"Put","Call"),O240,$C$4,$C$9*SQRT($C$7))+
_xll.qlBlackFormula(IF(O240&lt;$C$4,"Put","Call"),O240-$C$14,$C$4,$C$9*SQRT($C$7)))/$C$14^2,"")</f>
        <v/>
      </c>
      <c r="T240" s="42">
        <f>IFERROR((_xll.qlBlackFormula(IF(O240&lt;$C$4,"Put","Call"),O240+$C$14,$C$4,$C$10*SQRT($C$7),,$C$11)-
2*_xll.qlBlackFormula(IF(O240&lt;$C$4,"Put","Call"),O240,$C$4,$C$10*SQRT($C$7),,$C$11)+
_xll.qlBlackFormula(IF(O240&lt;$C$4,"Put","Call"),O240-$C$14,$C$4,$C$10*SQRT($C$7),,$C$11))/$C$14^2,"")</f>
        <v>18.814321628424224</v>
      </c>
      <c r="U240" s="43">
        <f>IFERROR((_xll.qlBachelierBlackFormula(IF(O240&lt;$C$4,"Put","Call"),O240+$C$14,$C$4,$C$12*SQRT($C$7))-
2*_xll.qlBachelierBlackFormula(IF(O240&lt;$C$4,"Put","Call"),O240,$C$4,$C$12*SQRT($C$7))+
_xll.qlBachelierBlackFormula(IF(O240&lt;$C$4,"Put","Call"),O240-$C$14,$C$4,$C$12*SQRT($C$7)))/$C$14^2,"")</f>
        <v>21.551497132038524</v>
      </c>
      <c r="V240" s="61" t="str">
        <f>IFERROR(_xll.qlBachelierBlackFormulaImpliedVol(IF(O240&lt;$C$4,"Put","Call"),O240,$C$4,$C$7,P240),"")</f>
        <v/>
      </c>
      <c r="W240" s="61">
        <f>IFERROR(_xll.qlBachelierBlackFormulaImpliedVol(IF(O240&lt;$C$4,"Put","Call"),O240,$C$4,$C$7,Q240),"")</f>
        <v>7.5563815234412643E-3</v>
      </c>
      <c r="X240" s="61">
        <f>IFERROR(_xll.qlBachelierBlackFormulaImpliedVol(IF(O240&lt;$C$4,"Put","Call"),O240,$C$4,$C$7,R240),"")</f>
        <v>7.2019999999998717E-3</v>
      </c>
      <c r="Y240" s="96">
        <f>_xll.qlSmileSectionVolatility($C$40,O240+$C$31)</f>
        <v>7.6551123979913642E-3</v>
      </c>
    </row>
    <row r="241" spans="15:25">
      <c r="O241" s="37">
        <f t="shared" si="3"/>
        <v>1.3599999999999968E-2</v>
      </c>
      <c r="P241" s="38" t="str">
        <f>IFERROR(_xll.qlBlackFormula(IF(O241&lt;$C$4,"Put","Call"),O241,$C$4,$C$9*SQRT($C$7)),"")</f>
        <v/>
      </c>
      <c r="Q241" s="39">
        <f>IFERROR(_xll.qlBlackFormula(IF(O241&lt;$C$4,"Put","Call"),O241,$C$4,$C$10*SQRT($C$7),,$C$11),"")</f>
        <v>3.2987342354545215E-3</v>
      </c>
      <c r="R241" s="40">
        <f>IFERROR(_xll.qlBachelierBlackFormula(IF(O241&lt;$C$4,"Put","Call"),O241,$C$4,$C$12*SQRT($C$7)),"")</f>
        <v>3.0195568499585637E-3</v>
      </c>
      <c r="S241" s="41" t="str">
        <f>IFERROR((_xll.qlBlackFormula(IF(O241&lt;$C$4,"Put","Call"),O241+$C$14,$C$4,$C$9*SQRT($C$7))-
2*_xll.qlBlackFormula(IF(O241&lt;$C$4,"Put","Call"),O241,$C$4,$C$9*SQRT($C$7))+
_xll.qlBlackFormula(IF(O241&lt;$C$4,"Put","Call"),O241-$C$14,$C$4,$C$9*SQRT($C$7)))/$C$14^2,"")</f>
        <v/>
      </c>
      <c r="T241" s="42">
        <f>IFERROR((_xll.qlBlackFormula(IF(O241&lt;$C$4,"Put","Call"),O241+$C$14,$C$4,$C$10*SQRT($C$7),,$C$11)-
2*_xll.qlBlackFormula(IF(O241&lt;$C$4,"Put","Call"),O241,$C$4,$C$10*SQRT($C$7),,$C$11)+
_xll.qlBlackFormula(IF(O241&lt;$C$4,"Put","Call"),O241-$C$14,$C$4,$C$10*SQRT($C$7),,$C$11))/$C$14^2,"")</f>
        <v>18.730808570843749</v>
      </c>
      <c r="U241" s="43">
        <f>IFERROR((_xll.qlBachelierBlackFormula(IF(O241&lt;$C$4,"Put","Call"),O241+$C$14,$C$4,$C$12*SQRT($C$7))-
2*_xll.qlBachelierBlackFormula(IF(O241&lt;$C$4,"Put","Call"),O241,$C$4,$C$12*SQRT($C$7))+
_xll.qlBachelierBlackFormula(IF(O241&lt;$C$4,"Put","Call"),O241-$C$14,$C$4,$C$12*SQRT($C$7)))/$C$14^2,"")</f>
        <v>21.480564289105832</v>
      </c>
      <c r="V241" s="61" t="str">
        <f>IFERROR(_xll.qlBachelierBlackFormulaImpliedVol(IF(O241&lt;$C$4,"Put","Call"),O241,$C$4,$C$7,P241),"")</f>
        <v/>
      </c>
      <c r="W241" s="61">
        <f>IFERROR(_xll.qlBachelierBlackFormulaImpliedVol(IF(O241&lt;$C$4,"Put","Call"),O241,$C$4,$C$7,Q241),"")</f>
        <v>7.5604858479504612E-3</v>
      </c>
      <c r="X241" s="61">
        <f>IFERROR(_xll.qlBachelierBlackFormulaImpliedVol(IF(O241&lt;$C$4,"Put","Call"),O241,$C$4,$C$7,R241),"")</f>
        <v>7.2019999999998457E-3</v>
      </c>
      <c r="Y241" s="96">
        <f>_xll.qlSmileSectionVolatility($C$40,O241+$C$31)</f>
        <v>7.6612889596550417E-3</v>
      </c>
    </row>
    <row r="242" spans="15:25">
      <c r="O242" s="37">
        <f t="shared" si="3"/>
        <v>1.3699999999999967E-2</v>
      </c>
      <c r="P242" s="38" t="str">
        <f>IFERROR(_xll.qlBlackFormula(IF(O242&lt;$C$4,"Put","Call"),O242,$C$4,$C$9*SQRT($C$7)),"")</f>
        <v/>
      </c>
      <c r="Q242" s="39">
        <f>IFERROR(_xll.qlBlackFormula(IF(O242&lt;$C$4,"Put","Call"),O242,$C$4,$C$10*SQRT($C$7),,$C$11),"")</f>
        <v>3.271496088855852E-3</v>
      </c>
      <c r="R242" s="40">
        <f>IFERROR(_xll.qlBachelierBlackFormula(IF(O242&lt;$C$4,"Put","Call"),O242,$C$4,$C$12*SQRT($C$7)),"")</f>
        <v>2.9899978684759967E-3</v>
      </c>
      <c r="S242" s="41" t="str">
        <f>IFERROR((_xll.qlBlackFormula(IF(O242&lt;$C$4,"Put","Call"),O242+$C$14,$C$4,$C$9*SQRT($C$7))-
2*_xll.qlBlackFormula(IF(O242&lt;$C$4,"Put","Call"),O242,$C$4,$C$9*SQRT($C$7))+
_xll.qlBlackFormula(IF(O242&lt;$C$4,"Put","Call"),O242-$C$14,$C$4,$C$9*SQRT($C$7)))/$C$14^2,"")</f>
        <v/>
      </c>
      <c r="T242" s="42">
        <f>IFERROR((_xll.qlBlackFormula(IF(O242&lt;$C$4,"Put","Call"),O242+$C$14,$C$4,$C$10*SQRT($C$7),,$C$11)-
2*_xll.qlBlackFormula(IF(O242&lt;$C$4,"Put","Call"),O242,$C$4,$C$10*SQRT($C$7),,$C$11)+
_xll.qlBlackFormula(IF(O242&lt;$C$4,"Put","Call"),O242-$C$14,$C$4,$C$10*SQRT($C$7),,$C$11))/$C$14^2,"")</f>
        <v>18.647135918703484</v>
      </c>
      <c r="U242" s="43">
        <f>IFERROR((_xll.qlBachelierBlackFormula(IF(O242&lt;$C$4,"Put","Call"),O242+$C$14,$C$4,$C$12*SQRT($C$7))-
2*_xll.qlBachelierBlackFormula(IF(O242&lt;$C$4,"Put","Call"),O242,$C$4,$C$12*SQRT($C$7))+
_xll.qlBachelierBlackFormula(IF(O242&lt;$C$4,"Put","Call"),O242-$C$14,$C$4,$C$12*SQRT($C$7)))/$C$14^2,"")</f>
        <v>21.409038604425223</v>
      </c>
      <c r="V242" s="61" t="str">
        <f>IFERROR(_xll.qlBachelierBlackFormulaImpliedVol(IF(O242&lt;$C$4,"Put","Call"),O242,$C$4,$C$7,P242),"")</f>
        <v/>
      </c>
      <c r="W242" s="61">
        <f>IFERROR(_xll.qlBachelierBlackFormulaImpliedVol(IF(O242&lt;$C$4,"Put","Call"),O242,$C$4,$C$7,Q242),"")</f>
        <v>7.5645887346064266E-3</v>
      </c>
      <c r="X242" s="61">
        <f>IFERROR(_xll.qlBachelierBlackFormulaImpliedVol(IF(O242&lt;$C$4,"Put","Call"),O242,$C$4,$C$7,R242),"")</f>
        <v>7.2019999999998214E-3</v>
      </c>
      <c r="Y242" s="96">
        <f>_xll.qlSmileSectionVolatility($C$40,O242+$C$31)</f>
        <v>7.667483920321014E-3</v>
      </c>
    </row>
    <row r="243" spans="15:25">
      <c r="O243" s="37">
        <f t="shared" si="3"/>
        <v>1.3799999999999967E-2</v>
      </c>
      <c r="P243" s="38" t="str">
        <f>IFERROR(_xll.qlBlackFormula(IF(O243&lt;$C$4,"Put","Call"),O243,$C$4,$C$9*SQRT($C$7)),"")</f>
        <v/>
      </c>
      <c r="Q243" s="39">
        <f>IFERROR(_xll.qlBlackFormula(IF(O243&lt;$C$4,"Put","Call"),O243,$C$4,$C$10*SQRT($C$7),,$C$11),"")</f>
        <v>3.2444444135943766E-3</v>
      </c>
      <c r="R243" s="40">
        <f>IFERROR(_xll.qlBachelierBlackFormula(IF(O243&lt;$C$4,"Put","Call"),O243,$C$4,$C$12*SQRT($C$7)),"")</f>
        <v>2.9606529768845141E-3</v>
      </c>
      <c r="S243" s="41" t="str">
        <f>IFERROR((_xll.qlBlackFormula(IF(O243&lt;$C$4,"Put","Call"),O243+$C$14,$C$4,$C$9*SQRT($C$7))-
2*_xll.qlBlackFormula(IF(O243&lt;$C$4,"Put","Call"),O243,$C$4,$C$9*SQRT($C$7))+
_xll.qlBlackFormula(IF(O243&lt;$C$4,"Put","Call"),O243-$C$14,$C$4,$C$9*SQRT($C$7)))/$C$14^2,"")</f>
        <v/>
      </c>
      <c r="T243" s="42">
        <f>IFERROR((_xll.qlBlackFormula(IF(O243&lt;$C$4,"Put","Call"),O243+$C$14,$C$4,$C$10*SQRT($C$7),,$C$11)-
2*_xll.qlBlackFormula(IF(O243&lt;$C$4,"Put","Call"),O243,$C$4,$C$10*SQRT($C$7),,$C$11)+
_xll.qlBlackFormula(IF(O243&lt;$C$4,"Put","Call"),O243-$C$14,$C$4,$C$10*SQRT($C$7),,$C$11))/$C$14^2,"")</f>
        <v>18.563373060942467</v>
      </c>
      <c r="U243" s="43">
        <f>IFERROR((_xll.qlBachelierBlackFormula(IF(O243&lt;$C$4,"Put","Call"),O243+$C$14,$C$4,$C$12*SQRT($C$7))-
2*_xll.qlBachelierBlackFormula(IF(O243&lt;$C$4,"Put","Call"),O243,$C$4,$C$12*SQRT($C$7))+
_xll.qlBachelierBlackFormula(IF(O243&lt;$C$4,"Put","Call"),O243-$C$14,$C$4,$C$12*SQRT($C$7)))/$C$14^2,"")</f>
        <v>21.336928751614082</v>
      </c>
      <c r="V243" s="61" t="str">
        <f>IFERROR(_xll.qlBachelierBlackFormulaImpliedVol(IF(O243&lt;$C$4,"Put","Call"),O243,$C$4,$C$7,P243),"")</f>
        <v/>
      </c>
      <c r="W243" s="61">
        <f>IFERROR(_xll.qlBachelierBlackFormulaImpliedVol(IF(O243&lt;$C$4,"Put","Call"),O243,$C$4,$C$7,Q243),"")</f>
        <v>7.5686901857028761E-3</v>
      </c>
      <c r="X243" s="61">
        <f>IFERROR(_xll.qlBachelierBlackFormulaImpliedVol(IF(O243&lt;$C$4,"Put","Call"),O243,$C$4,$C$7,R243),"")</f>
        <v>7.2019999999997928E-3</v>
      </c>
      <c r="Y243" s="96">
        <f>_xll.qlSmileSectionVolatility($C$40,O243+$C$31)</f>
        <v>7.6736971997931449E-3</v>
      </c>
    </row>
    <row r="244" spans="15:25">
      <c r="O244" s="37">
        <f t="shared" si="3"/>
        <v>1.3899999999999966E-2</v>
      </c>
      <c r="P244" s="38" t="str">
        <f>IFERROR(_xll.qlBlackFormula(IF(O244&lt;$C$4,"Put","Call"),O244,$C$4,$C$9*SQRT($C$7)),"")</f>
        <v/>
      </c>
      <c r="Q244" s="39">
        <f>IFERROR(_xll.qlBlackFormula(IF(O244&lt;$C$4,"Put","Call"),O244,$C$4,$C$10*SQRT($C$7),,$C$11),"")</f>
        <v>3.2175783719076423E-3</v>
      </c>
      <c r="R244" s="40">
        <f>IFERROR(_xll.qlBachelierBlackFormula(IF(O244&lt;$C$4,"Put","Call"),O244,$C$4,$C$12*SQRT($C$7)),"")</f>
        <v>2.9315214540886533E-3</v>
      </c>
      <c r="S244" s="41" t="str">
        <f>IFERROR((_xll.qlBlackFormula(IF(O244&lt;$C$4,"Put","Call"),O244+$C$14,$C$4,$C$9*SQRT($C$7))-
2*_xll.qlBlackFormula(IF(O244&lt;$C$4,"Put","Call"),O244,$C$4,$C$9*SQRT($C$7))+
_xll.qlBlackFormula(IF(O244&lt;$C$4,"Put","Call"),O244-$C$14,$C$4,$C$9*SQRT($C$7)))/$C$14^2,"")</f>
        <v/>
      </c>
      <c r="T244" s="42">
        <f>IFERROR((_xll.qlBlackFormula(IF(O244&lt;$C$4,"Put","Call"),O244+$C$14,$C$4,$C$10*SQRT($C$7),,$C$11)-
2*_xll.qlBlackFormula(IF(O244&lt;$C$4,"Put","Call"),O244,$C$4,$C$10*SQRT($C$7),,$C$11)+
_xll.qlBlackFormula(IF(O244&lt;$C$4,"Put","Call"),O244-$C$14,$C$4,$C$10*SQRT($C$7),,$C$11))/$C$14^2,"")</f>
        <v>18.479478364197277</v>
      </c>
      <c r="U244" s="43">
        <f>IFERROR((_xll.qlBachelierBlackFormula(IF(O244&lt;$C$4,"Put","Call"),O244+$C$14,$C$4,$C$12*SQRT($C$7))-
2*_xll.qlBachelierBlackFormula(IF(O244&lt;$C$4,"Put","Call"),O244,$C$4,$C$12*SQRT($C$7))+
_xll.qlBachelierBlackFormula(IF(O244&lt;$C$4,"Put","Call"),O244-$C$14,$C$4,$C$12*SQRT($C$7)))/$C$14^2,"")</f>
        <v>21.26424166956631</v>
      </c>
      <c r="V244" s="61" t="str">
        <f>IFERROR(_xll.qlBachelierBlackFormulaImpliedVol(IF(O244&lt;$C$4,"Put","Call"),O244,$C$4,$C$7,P244),"")</f>
        <v/>
      </c>
      <c r="W244" s="61">
        <f>IFERROR(_xll.qlBachelierBlackFormulaImpliedVol(IF(O244&lt;$C$4,"Put","Call"),O244,$C$4,$C$7,Q244),"")</f>
        <v>7.572790203527407E-3</v>
      </c>
      <c r="X244" s="61">
        <f>IFERROR(_xll.qlBachelierBlackFormulaImpliedVol(IF(O244&lt;$C$4,"Put","Call"),O244,$C$4,$C$7,R244),"")</f>
        <v>7.2019999999997685E-3</v>
      </c>
      <c r="Y244" s="96">
        <f>_xll.qlSmileSectionVolatility($C$40,O244+$C$31)</f>
        <v>7.679928717763778E-3</v>
      </c>
    </row>
    <row r="245" spans="15:25">
      <c r="O245" s="37">
        <f t="shared" si="3"/>
        <v>1.3999999999999966E-2</v>
      </c>
      <c r="P245" s="38" t="str">
        <f>IFERROR(_xll.qlBlackFormula(IF(O245&lt;$C$4,"Put","Call"),O245,$C$4,$C$9*SQRT($C$7)),"")</f>
        <v/>
      </c>
      <c r="Q245" s="39">
        <f>IFERROR(_xll.qlBlackFormula(IF(O245&lt;$C$4,"Put","Call"),O245,$C$4,$C$10*SQRT($C$7),,$C$11),"")</f>
        <v>3.1908971248529906E-3</v>
      </c>
      <c r="R245" s="40">
        <f>IFERROR(_xll.qlBachelierBlackFormula(IF(O245&lt;$C$4,"Put","Call"),O245,$C$4,$C$12*SQRT($C$7)),"")</f>
        <v>2.9026025732224103E-3</v>
      </c>
      <c r="S245" s="41" t="str">
        <f>IFERROR((_xll.qlBlackFormula(IF(O245&lt;$C$4,"Put","Call"),O245+$C$14,$C$4,$C$9*SQRT($C$7))-
2*_xll.qlBlackFormula(IF(O245&lt;$C$4,"Put","Call"),O245,$C$4,$C$9*SQRT($C$7))+
_xll.qlBlackFormula(IF(O245&lt;$C$4,"Put","Call"),O245-$C$14,$C$4,$C$9*SQRT($C$7)))/$C$14^2,"")</f>
        <v/>
      </c>
      <c r="T245" s="42">
        <f>IFERROR((_xll.qlBlackFormula(IF(O245&lt;$C$4,"Put","Call"),O245+$C$14,$C$4,$C$10*SQRT($C$7),,$C$11)-
2*_xll.qlBlackFormula(IF(O245&lt;$C$4,"Put","Call"),O245,$C$4,$C$10*SQRT($C$7),,$C$11)+
_xll.qlBlackFormula(IF(O245&lt;$C$4,"Put","Call"),O245-$C$14,$C$4,$C$10*SQRT($C$7),,$C$11))/$C$14^2,"")</f>
        <v>18.395455297914864</v>
      </c>
      <c r="U245" s="43">
        <f>IFERROR((_xll.qlBachelierBlackFormula(IF(O245&lt;$C$4,"Put","Call"),O245+$C$14,$C$4,$C$12*SQRT($C$7))-
2*_xll.qlBachelierBlackFormula(IF(O245&lt;$C$4,"Put","Call"),O245,$C$4,$C$12*SQRT($C$7))+
_xll.qlBachelierBlackFormula(IF(O245&lt;$C$4,"Put","Call"),O245-$C$14,$C$4,$C$12*SQRT($C$7)))/$C$14^2,"")</f>
        <v>21.190982996133201</v>
      </c>
      <c r="V245" s="61" t="str">
        <f>IFERROR(_xll.qlBachelierBlackFormulaImpliedVol(IF(O245&lt;$C$4,"Put","Call"),O245,$C$4,$C$7,P245),"")</f>
        <v/>
      </c>
      <c r="W245" s="61">
        <f>IFERROR(_xll.qlBachelierBlackFormulaImpliedVol(IF(O245&lt;$C$4,"Put","Call"),O245,$C$4,$C$7,Q245),"")</f>
        <v>7.5768887903614399E-3</v>
      </c>
      <c r="X245" s="61">
        <f>IFERROR(_xll.qlBachelierBlackFormulaImpliedVol(IF(O245&lt;$C$4,"Put","Call"),O245,$C$4,$C$7,R245),"")</f>
        <v>7.2019999999997485E-3</v>
      </c>
      <c r="Y245" s="96">
        <f>_xll.qlSmileSectionVolatility($C$40,O245+$C$31)</f>
        <v>7.6861783938216056E-3</v>
      </c>
    </row>
    <row r="246" spans="15:25">
      <c r="O246" s="37">
        <f t="shared" si="3"/>
        <v>1.4099999999999965E-2</v>
      </c>
      <c r="P246" s="38" t="str">
        <f>IFERROR(_xll.qlBlackFormula(IF(O246&lt;$C$4,"Put","Call"),O246,$C$4,$C$9*SQRT($C$7)),"")</f>
        <v/>
      </c>
      <c r="Q246" s="39">
        <f>IFERROR(_xll.qlBlackFormula(IF(O246&lt;$C$4,"Put","Call"),O246,$C$4,$C$10*SQRT($C$7),,$C$11),"")</f>
        <v>3.1643998323743414E-3</v>
      </c>
      <c r="R246" s="40">
        <f>IFERROR(_xll.qlBachelierBlackFormula(IF(O246&lt;$C$4,"Put","Call"),O246,$C$4,$C$12*SQRT($C$7)),"")</f>
        <v>2.8738956017248535E-3</v>
      </c>
      <c r="S246" s="41" t="str">
        <f>IFERROR((_xll.qlBlackFormula(IF(O246&lt;$C$4,"Put","Call"),O246+$C$14,$C$4,$C$9*SQRT($C$7))-
2*_xll.qlBlackFormula(IF(O246&lt;$C$4,"Put","Call"),O246,$C$4,$C$9*SQRT($C$7))+
_xll.qlBlackFormula(IF(O246&lt;$C$4,"Put","Call"),O246-$C$14,$C$4,$C$9*SQRT($C$7)))/$C$14^2,"")</f>
        <v/>
      </c>
      <c r="T246" s="42">
        <f>IFERROR((_xll.qlBlackFormula(IF(O246&lt;$C$4,"Put","Call"),O246+$C$14,$C$4,$C$10*SQRT($C$7),,$C$11)-
2*_xll.qlBlackFormula(IF(O246&lt;$C$4,"Put","Call"),O246,$C$4,$C$10*SQRT($C$7),,$C$11)+
_xll.qlBlackFormula(IF(O246&lt;$C$4,"Put","Call"),O246-$C$14,$C$4,$C$10*SQRT($C$7),,$C$11))/$C$14^2,"")</f>
        <v>18.311342026011701</v>
      </c>
      <c r="U246" s="43">
        <f>IFERROR((_xll.qlBachelierBlackFormula(IF(O246&lt;$C$4,"Put","Call"),O246+$C$14,$C$4,$C$12*SQRT($C$7))-
2*_xll.qlBachelierBlackFormula(IF(O246&lt;$C$4,"Put","Call"),O246,$C$4,$C$12*SQRT($C$7))+
_xll.qlBachelierBlackFormula(IF(O246&lt;$C$4,"Put","Call"),O246-$C$14,$C$4,$C$12*SQRT($C$7)))/$C$14^2,"")</f>
        <v>21.117167476464306</v>
      </c>
      <c r="V246" s="61" t="str">
        <f>IFERROR(_xll.qlBachelierBlackFormulaImpliedVol(IF(O246&lt;$C$4,"Put","Call"),O246,$C$4,$C$7,P246),"")</f>
        <v/>
      </c>
      <c r="W246" s="61">
        <f>IFERROR(_xll.qlBachelierBlackFormulaImpliedVol(IF(O246&lt;$C$4,"Put","Call"),O246,$C$4,$C$7,Q246),"")</f>
        <v>7.5809859484802303E-3</v>
      </c>
      <c r="X246" s="61">
        <f>IFERROR(_xll.qlBachelierBlackFormulaImpliedVol(IF(O246&lt;$C$4,"Put","Call"),O246,$C$4,$C$7,R246),"")</f>
        <v>7.2019999999997225E-3</v>
      </c>
      <c r="Y246" s="96">
        <f>_xll.qlSmileSectionVolatility($C$40,O246+$C$31)</f>
        <v>7.692446147459342E-3</v>
      </c>
    </row>
    <row r="247" spans="15:25">
      <c r="O247" s="37">
        <f t="shared" si="3"/>
        <v>1.4199999999999964E-2</v>
      </c>
      <c r="P247" s="38" t="str">
        <f>IFERROR(_xll.qlBlackFormula(IF(O247&lt;$C$4,"Put","Call"),O247,$C$4,$C$9*SQRT($C$7)),"")</f>
        <v/>
      </c>
      <c r="Q247" s="39">
        <f>IFERROR(_xll.qlBlackFormula(IF(O247&lt;$C$4,"Put","Call"),O247,$C$4,$C$10*SQRT($C$7),,$C$11),"")</f>
        <v>3.1380856533684762E-3</v>
      </c>
      <c r="R247" s="40">
        <f>IFERROR(_xll.qlBachelierBlackFormula(IF(O247&lt;$C$4,"Put","Call"),O247,$C$4,$C$12*SQRT($C$7)),"")</f>
        <v>2.8453998014161433E-3</v>
      </c>
      <c r="S247" s="41" t="str">
        <f>IFERROR((_xll.qlBlackFormula(IF(O247&lt;$C$4,"Put","Call"),O247+$C$14,$C$4,$C$9*SQRT($C$7))-
2*_xll.qlBlackFormula(IF(O247&lt;$C$4,"Put","Call"),O247,$C$4,$C$9*SQRT($C$7))+
_xll.qlBlackFormula(IF(O247&lt;$C$4,"Put","Call"),O247-$C$14,$C$4,$C$9*SQRT($C$7)))/$C$14^2,"")</f>
        <v/>
      </c>
      <c r="T247" s="42">
        <f>IFERROR((_xll.qlBlackFormula(IF(O247&lt;$C$4,"Put","Call"),O247+$C$14,$C$4,$C$10*SQRT($C$7),,$C$11)-
2*_xll.qlBlackFormula(IF(O247&lt;$C$4,"Put","Call"),O247,$C$4,$C$10*SQRT($C$7),,$C$11)+
_xll.qlBlackFormula(IF(O247&lt;$C$4,"Put","Call"),O247-$C$14,$C$4,$C$10*SQRT($C$7),,$C$11))/$C$14^2,"")</f>
        <v>18.227152426275595</v>
      </c>
      <c r="U247" s="43">
        <f>IFERROR((_xll.qlBachelierBlackFormula(IF(O247&lt;$C$4,"Put","Call"),O247+$C$14,$C$4,$C$12*SQRT($C$7))-
2*_xll.qlBachelierBlackFormula(IF(O247&lt;$C$4,"Put","Call"),O247,$C$4,$C$12*SQRT($C$7))+
_xll.qlBachelierBlackFormula(IF(O247&lt;$C$4,"Put","Call"),O247-$C$14,$C$4,$C$12*SQRT($C$7)))/$C$14^2,"")</f>
        <v>21.042792508474406</v>
      </c>
      <c r="V247" s="61" t="str">
        <f>IFERROR(_xll.qlBachelierBlackFormulaImpliedVol(IF(O247&lt;$C$4,"Put","Call"),O247,$C$4,$C$7,P247),"")</f>
        <v/>
      </c>
      <c r="W247" s="61">
        <f>IFERROR(_xll.qlBachelierBlackFormulaImpliedVol(IF(O247&lt;$C$4,"Put","Call"),O247,$C$4,$C$7,Q247),"")</f>
        <v>7.5850816801529396E-3</v>
      </c>
      <c r="X247" s="61">
        <f>IFERROR(_xll.qlBachelierBlackFormulaImpliedVol(IF(O247&lt;$C$4,"Put","Call"),O247,$C$4,$C$7,R247),"")</f>
        <v>7.2019999999997078E-3</v>
      </c>
      <c r="Y247" s="96">
        <f>_xll.qlSmileSectionVolatility($C$40,O247+$C$31)</f>
        <v>7.6987318980815539E-3</v>
      </c>
    </row>
    <row r="248" spans="15:25">
      <c r="O248" s="37">
        <f t="shared" si="3"/>
        <v>1.4299999999999964E-2</v>
      </c>
      <c r="P248" s="38" t="str">
        <f>IFERROR(_xll.qlBlackFormula(IF(O248&lt;$C$4,"Put","Call"),O248,$C$4,$C$9*SQRT($C$7)),"")</f>
        <v/>
      </c>
      <c r="Q248" s="39">
        <f>IFERROR(_xll.qlBlackFormula(IF(O248&lt;$C$4,"Put","Call"),O248,$C$4,$C$10*SQRT($C$7),,$C$11),"")</f>
        <v>3.1119537457508055E-3</v>
      </c>
      <c r="R248" s="40">
        <f>IFERROR(_xll.qlBachelierBlackFormula(IF(O248&lt;$C$4,"Put","Call"),O248,$C$4,$C$12*SQRT($C$7)),"")</f>
        <v>2.8171144285739228E-3</v>
      </c>
      <c r="S248" s="41" t="str">
        <f>IFERROR((_xll.qlBlackFormula(IF(O248&lt;$C$4,"Put","Call"),O248+$C$14,$C$4,$C$9*SQRT($C$7))-
2*_xll.qlBlackFormula(IF(O248&lt;$C$4,"Put","Call"),O248,$C$4,$C$9*SQRT($C$7))+
_xll.qlBlackFormula(IF(O248&lt;$C$4,"Put","Call"),O248-$C$14,$C$4,$C$9*SQRT($C$7)))/$C$14^2,"")</f>
        <v/>
      </c>
      <c r="T248" s="42">
        <f>IFERROR((_xll.qlBlackFormula(IF(O248&lt;$C$4,"Put","Call"),O248+$C$14,$C$4,$C$10*SQRT($C$7),,$C$11)-
2*_xll.qlBlackFormula(IF(O248&lt;$C$4,"Put","Call"),O248,$C$4,$C$10*SQRT($C$7),,$C$11)+
_xll.qlBlackFormula(IF(O248&lt;$C$4,"Put","Call"),O248-$C$14,$C$4,$C$10*SQRT($C$7),,$C$11))/$C$14^2,"")</f>
        <v>18.142851804237026</v>
      </c>
      <c r="U248" s="43">
        <f>IFERROR((_xll.qlBachelierBlackFormula(IF(O248&lt;$C$4,"Put","Call"),O248+$C$14,$C$4,$C$12*SQRT($C$7))-
2*_xll.qlBachelierBlackFormula(IF(O248&lt;$C$4,"Put","Call"),O248,$C$4,$C$12*SQRT($C$7))+
_xll.qlBachelierBlackFormula(IF(O248&lt;$C$4,"Put","Call"),O248-$C$14,$C$4,$C$12*SQRT($C$7)))/$C$14^2,"")</f>
        <v>20.967874138355658</v>
      </c>
      <c r="V248" s="61" t="str">
        <f>IFERROR(_xll.qlBachelierBlackFormulaImpliedVol(IF(O248&lt;$C$4,"Put","Call"),O248,$C$4,$C$7,P248),"")</f>
        <v/>
      </c>
      <c r="W248" s="61">
        <f>IFERROR(_xll.qlBachelierBlackFormulaImpliedVol(IF(O248&lt;$C$4,"Put","Call"),O248,$C$4,$C$7,Q248),"")</f>
        <v>7.5891759876426657E-3</v>
      </c>
      <c r="X248" s="61">
        <f>IFERROR(_xll.qlBachelierBlackFormulaImpliedVol(IF(O248&lt;$C$4,"Put","Call"),O248,$C$4,$C$7,R248),"")</f>
        <v>7.2019999999996887E-3</v>
      </c>
      <c r="Y248" s="96">
        <f>_xll.qlSmileSectionVolatility($C$40,O248+$C$31)</f>
        <v>7.7050355650121315E-3</v>
      </c>
    </row>
    <row r="249" spans="15:25">
      <c r="O249" s="37">
        <f t="shared" si="3"/>
        <v>1.4399999999999963E-2</v>
      </c>
      <c r="P249" s="38" t="str">
        <f>IFERROR(_xll.qlBlackFormula(IF(O249&lt;$C$4,"Put","Call"),O249,$C$4,$C$9*SQRT($C$7)),"")</f>
        <v/>
      </c>
      <c r="Q249" s="39">
        <f>IFERROR(_xll.qlBlackFormula(IF(O249&lt;$C$4,"Put","Call"),O249,$C$4,$C$10*SQRT($C$7),,$C$11),"")</f>
        <v>3.0860032665205733E-3</v>
      </c>
      <c r="R249" s="40">
        <f>IFERROR(_xll.qlBachelierBlackFormula(IF(O249&lt;$C$4,"Put","Call"),O249,$C$4,$C$12*SQRT($C$7)),"")</f>
        <v>2.7890387340100981E-3</v>
      </c>
      <c r="S249" s="41" t="str">
        <f>IFERROR((_xll.qlBlackFormula(IF(O249&lt;$C$4,"Put","Call"),O249+$C$14,$C$4,$C$9*SQRT($C$7))-
2*_xll.qlBlackFormula(IF(O249&lt;$C$4,"Put","Call"),O249,$C$4,$C$9*SQRT($C$7))+
_xll.qlBlackFormula(IF(O249&lt;$C$4,"Put","Call"),O249-$C$14,$C$4,$C$9*SQRT($C$7)))/$C$14^2,"")</f>
        <v/>
      </c>
      <c r="T249" s="42">
        <f>IFERROR((_xll.qlBlackFormula(IF(O249&lt;$C$4,"Put","Call"),O249+$C$14,$C$4,$C$10*SQRT($C$7),,$C$11)-
2*_xll.qlBlackFormula(IF(O249&lt;$C$4,"Put","Call"),O249,$C$4,$C$10*SQRT($C$7),,$C$11)+
_xll.qlBlackFormula(IF(O249&lt;$C$4,"Put","Call"),O249-$C$14,$C$4,$C$10*SQRT($C$7),,$C$11))/$C$14^2,"")</f>
        <v>18.058474854365514</v>
      </c>
      <c r="U249" s="43">
        <f>IFERROR((_xll.qlBachelierBlackFormula(IF(O249&lt;$C$4,"Put","Call"),O249+$C$14,$C$4,$C$12*SQRT($C$7))-
2*_xll.qlBachelierBlackFormula(IF(O249&lt;$C$4,"Put","Call"),O249,$C$4,$C$12*SQRT($C$7))+
_xll.qlBachelierBlackFormula(IF(O249&lt;$C$4,"Put","Call"),O249-$C$14,$C$4,$C$12*SQRT($C$7)))/$C$14^2,"")</f>
        <v>20.892415835555013</v>
      </c>
      <c r="V249" s="61" t="str">
        <f>IFERROR(_xll.qlBachelierBlackFormulaImpliedVol(IF(O249&lt;$C$4,"Put","Call"),O249,$C$4,$C$7,P249),"")</f>
        <v/>
      </c>
      <c r="W249" s="61">
        <f>IFERROR(_xll.qlBachelierBlackFormulaImpliedVol(IF(O249&lt;$C$4,"Put","Call"),O249,$C$4,$C$7,Q249),"")</f>
        <v>7.5932688732064128E-3</v>
      </c>
      <c r="X249" s="61">
        <f>IFERROR(_xll.qlBachelierBlackFormulaImpliedVol(IF(O249&lt;$C$4,"Put","Call"),O249,$C$4,$C$7,R249),"")</f>
        <v>7.2019999999996731E-3</v>
      </c>
      <c r="Y249" s="96">
        <f>_xll.qlSmileSectionVolatility($C$40,O249+$C$31)</f>
        <v>7.7113570675019626E-3</v>
      </c>
    </row>
    <row r="250" spans="15:25">
      <c r="O250" s="37">
        <f t="shared" si="3"/>
        <v>1.4499999999999963E-2</v>
      </c>
      <c r="P250" s="38" t="str">
        <f>IFERROR(_xll.qlBlackFormula(IF(O250&lt;$C$4,"Put","Call"),O250,$C$4,$C$9*SQRT($C$7)),"")</f>
        <v/>
      </c>
      <c r="Q250" s="39">
        <f>IFERROR(_xll.qlBlackFormula(IF(O250&lt;$C$4,"Put","Call"),O250,$C$4,$C$10*SQRT($C$7),,$C$11),"")</f>
        <v>3.0602333718256006E-3</v>
      </c>
      <c r="R250" s="40">
        <f>IFERROR(_xll.qlBachelierBlackFormula(IF(O250&lt;$C$4,"Put","Call"),O250,$C$4,$C$12*SQRT($C$7)),"")</f>
        <v>2.7611719631479648E-3</v>
      </c>
      <c r="S250" s="41" t="str">
        <f>IFERROR((_xll.qlBlackFormula(IF(O250&lt;$C$4,"Put","Call"),O250+$C$14,$C$4,$C$9*SQRT($C$7))-
2*_xll.qlBlackFormula(IF(O250&lt;$C$4,"Put","Call"),O250,$C$4,$C$9*SQRT($C$7))+
_xll.qlBlackFormula(IF(O250&lt;$C$4,"Put","Call"),O250-$C$14,$C$4,$C$9*SQRT($C$7)))/$C$14^2,"")</f>
        <v/>
      </c>
      <c r="T250" s="42">
        <f>IFERROR((_xll.qlBlackFormula(IF(O250&lt;$C$4,"Put","Call"),O250+$C$14,$C$4,$C$10*SQRT($C$7),,$C$11)-
2*_xll.qlBlackFormula(IF(O250&lt;$C$4,"Put","Call"),O250,$C$4,$C$10*SQRT($C$7),,$C$11)+
_xll.qlBlackFormula(IF(O250&lt;$C$4,"Put","Call"),O250-$C$14,$C$4,$C$10*SQRT($C$7),,$C$11))/$C$14^2,"")</f>
        <v>17.973997290532395</v>
      </c>
      <c r="U250" s="43">
        <f>IFERROR((_xll.qlBachelierBlackFormula(IF(O250&lt;$C$4,"Put","Call"),O250+$C$14,$C$4,$C$12*SQRT($C$7))-
2*_xll.qlBachelierBlackFormula(IF(O250&lt;$C$4,"Put","Call"),O250,$C$4,$C$12*SQRT($C$7))+
_xll.qlBachelierBlackFormula(IF(O250&lt;$C$4,"Put","Call"),O250-$C$14,$C$4,$C$12*SQRT($C$7)))/$C$14^2,"")</f>
        <v>20.816426273689849</v>
      </c>
      <c r="V250" s="61" t="str">
        <f>IFERROR(_xll.qlBachelierBlackFormulaImpliedVol(IF(O250&lt;$C$4,"Put","Call"),O250,$C$4,$C$7,P250),"")</f>
        <v/>
      </c>
      <c r="W250" s="61">
        <f>IFERROR(_xll.qlBachelierBlackFormulaImpliedVol(IF(O250&lt;$C$4,"Put","Call"),O250,$C$4,$C$7,Q250),"")</f>
        <v>7.5973603390951574E-3</v>
      </c>
      <c r="X250" s="61">
        <f>IFERROR(_xll.qlBachelierBlackFormulaImpliedVol(IF(O250&lt;$C$4,"Put","Call"),O250,$C$4,$C$7,R250),"")</f>
        <v>7.2019999999996653E-3</v>
      </c>
      <c r="Y250" s="96">
        <f>_xll.qlSmileSectionVolatility($C$40,O250+$C$31)</f>
        <v>7.7176963247362305E-3</v>
      </c>
    </row>
    <row r="251" spans="15:25">
      <c r="O251" s="37">
        <f t="shared" si="3"/>
        <v>1.4599999999999962E-2</v>
      </c>
      <c r="P251" s="38" t="str">
        <f>IFERROR(_xll.qlBlackFormula(IF(O251&lt;$C$4,"Put","Call"),O251,$C$4,$C$9*SQRT($C$7)),"")</f>
        <v/>
      </c>
      <c r="Q251" s="39">
        <f>IFERROR(_xll.qlBlackFormula(IF(O251&lt;$C$4,"Put","Call"),O251,$C$4,$C$10*SQRT($C$7),,$C$11),"")</f>
        <v>3.0346432170264698E-3</v>
      </c>
      <c r="R251" s="40">
        <f>IFERROR(_xll.qlBachelierBlackFormula(IF(O251&lt;$C$4,"Put","Call"),O251,$C$4,$C$12*SQRT($C$7)),"")</f>
        <v>2.7335133560996831E-3</v>
      </c>
      <c r="S251" s="41" t="str">
        <f>IFERROR((_xll.qlBlackFormula(IF(O251&lt;$C$4,"Put","Call"),O251+$C$14,$C$4,$C$9*SQRT($C$7))-
2*_xll.qlBlackFormula(IF(O251&lt;$C$4,"Put","Call"),O251,$C$4,$C$9*SQRT($C$7))+
_xll.qlBlackFormula(IF(O251&lt;$C$4,"Put","Call"),O251-$C$14,$C$4,$C$9*SQRT($C$7)))/$C$14^2,"")</f>
        <v/>
      </c>
      <c r="T251" s="42">
        <f>IFERROR((_xll.qlBlackFormula(IF(O251&lt;$C$4,"Put","Call"),O251+$C$14,$C$4,$C$10*SQRT($C$7),,$C$11)-
2*_xll.qlBlackFormula(IF(O251&lt;$C$4,"Put","Call"),O251,$C$4,$C$10*SQRT($C$7),,$C$11)+
_xll.qlBlackFormula(IF(O251&lt;$C$4,"Put","Call"),O251-$C$14,$C$4,$C$10*SQRT($C$7),,$C$11))/$C$14^2,"")</f>
        <v>17.889460746101093</v>
      </c>
      <c r="U251" s="43">
        <f>IFERROR((_xll.qlBachelierBlackFormula(IF(O251&lt;$C$4,"Put","Call"),O251+$C$14,$C$4,$C$12*SQRT($C$7))-
2*_xll.qlBachelierBlackFormula(IF(O251&lt;$C$4,"Put","Call"),O251,$C$4,$C$12*SQRT($C$7))+
_xll.qlBachelierBlackFormula(IF(O251&lt;$C$4,"Put","Call"),O251-$C$14,$C$4,$C$12*SQRT($C$7)))/$C$14^2,"")</f>
        <v>20.739914560058416</v>
      </c>
      <c r="V251" s="61" t="str">
        <f>IFERROR(_xll.qlBachelierBlackFormulaImpliedVol(IF(O251&lt;$C$4,"Put","Call"),O251,$C$4,$C$7,P251),"")</f>
        <v/>
      </c>
      <c r="W251" s="61">
        <f>IFERROR(_xll.qlBachelierBlackFormulaImpliedVol(IF(O251&lt;$C$4,"Put","Call"),O251,$C$4,$C$7,Q251),"")</f>
        <v>7.6014503875538424E-3</v>
      </c>
      <c r="X251" s="61">
        <f>IFERROR(_xll.qlBachelierBlackFormulaImpliedVol(IF(O251&lt;$C$4,"Put","Call"),O251,$C$4,$C$7,R251),"")</f>
        <v>7.2019999999996557E-3</v>
      </c>
      <c r="Y251" s="96">
        <f>_xll.qlSmileSectionVolatility($C$40,O251+$C$31)</f>
        <v>7.7240532558418788E-3</v>
      </c>
    </row>
    <row r="252" spans="15:25">
      <c r="O252" s="37">
        <f t="shared" si="3"/>
        <v>1.4699999999999961E-2</v>
      </c>
      <c r="P252" s="38" t="str">
        <f>IFERROR(_xll.qlBlackFormula(IF(O252&lt;$C$4,"Put","Call"),O252,$C$4,$C$9*SQRT($C$7)),"")</f>
        <v/>
      </c>
      <c r="Q252" s="39">
        <f>IFERROR(_xll.qlBlackFormula(IF(O252&lt;$C$4,"Put","Call"),O252,$C$4,$C$10*SQRT($C$7),,$C$11),"")</f>
        <v>3.0092319567602173E-3</v>
      </c>
      <c r="R252" s="40">
        <f>IFERROR(_xll.qlBachelierBlackFormula(IF(O252&lt;$C$4,"Put","Call"),O252,$C$4,$C$12*SQRT($C$7)),"")</f>
        <v>2.7060621477440938E-3</v>
      </c>
      <c r="S252" s="41" t="str">
        <f>IFERROR((_xll.qlBlackFormula(IF(O252&lt;$C$4,"Put","Call"),O252+$C$14,$C$4,$C$9*SQRT($C$7))-
2*_xll.qlBlackFormula(IF(O252&lt;$C$4,"Put","Call"),O252,$C$4,$C$9*SQRT($C$7))+
_xll.qlBlackFormula(IF(O252&lt;$C$4,"Put","Call"),O252-$C$14,$C$4,$C$9*SQRT($C$7)))/$C$14^2,"")</f>
        <v/>
      </c>
      <c r="T252" s="42">
        <f>IFERROR((_xll.qlBlackFormula(IF(O252&lt;$C$4,"Put","Call"),O252+$C$14,$C$4,$C$10*SQRT($C$7),,$C$11)-
2*_xll.qlBlackFormula(IF(O252&lt;$C$4,"Put","Call"),O252,$C$4,$C$10*SQRT($C$7),,$C$11)+
_xll.qlBlackFormula(IF(O252&lt;$C$4,"Put","Call"),O252-$C$14,$C$4,$C$10*SQRT($C$7),,$C$11))/$C$14^2,"")</f>
        <v>17.804851343283801</v>
      </c>
      <c r="U252" s="43">
        <f>IFERROR((_xll.qlBachelierBlackFormula(IF(O252&lt;$C$4,"Put","Call"),O252+$C$14,$C$4,$C$12*SQRT($C$7))-
2*_xll.qlBachelierBlackFormula(IF(O252&lt;$C$4,"Put","Call"),O252,$C$4,$C$12*SQRT($C$7))+
_xll.qlBachelierBlackFormula(IF(O252&lt;$C$4,"Put","Call"),O252-$C$14,$C$4,$C$12*SQRT($C$7)))/$C$14^2,"")</f>
        <v>20.662885031469404</v>
      </c>
      <c r="V252" s="61" t="str">
        <f>IFERROR(_xll.qlBachelierBlackFormulaImpliedVol(IF(O252&lt;$C$4,"Put","Call"),O252,$C$4,$C$7,P252),"")</f>
        <v/>
      </c>
      <c r="W252" s="61">
        <f>IFERROR(_xll.qlBachelierBlackFormulaImpliedVol(IF(O252&lt;$C$4,"Put","Call"),O252,$C$4,$C$7,Q252),"")</f>
        <v>7.6055390208214111E-3</v>
      </c>
      <c r="X252" s="61">
        <f>IFERROR(_xll.qlBachelierBlackFormulaImpliedVol(IF(O252&lt;$C$4,"Put","Call"),O252,$C$4,$C$7,R252),"")</f>
        <v>7.2019999999996575E-3</v>
      </c>
      <c r="Y252" s="96">
        <f>_xll.qlSmileSectionVolatility($C$40,O252+$C$31)</f>
        <v>7.7304277798948707E-3</v>
      </c>
    </row>
    <row r="253" spans="15:25">
      <c r="O253" s="37">
        <f t="shared" si="3"/>
        <v>1.4799999999999961E-2</v>
      </c>
      <c r="P253" s="38" t="str">
        <f>IFERROR(_xll.qlBlackFormula(IF(O253&lt;$C$4,"Put","Call"),O253,$C$4,$C$9*SQRT($C$7)),"")</f>
        <v/>
      </c>
      <c r="Q253" s="39">
        <f>IFERROR(_xll.qlBlackFormula(IF(O253&lt;$C$4,"Put","Call"),O253,$C$4,$C$10*SQRT($C$7),,$C$11),"")</f>
        <v>2.9839987450034668E-3</v>
      </c>
      <c r="R253" s="40">
        <f>IFERROR(_xll.qlBachelierBlackFormula(IF(O253&lt;$C$4,"Put","Call"),O253,$C$4,$C$12*SQRT($C$7)),"")</f>
        <v>2.6788175678048448E-3</v>
      </c>
      <c r="S253" s="41" t="str">
        <f>IFERROR((_xll.qlBlackFormula(IF(O253&lt;$C$4,"Put","Call"),O253+$C$14,$C$4,$C$9*SQRT($C$7))-
2*_xll.qlBlackFormula(IF(O253&lt;$C$4,"Put","Call"),O253,$C$4,$C$9*SQRT($C$7))+
_xll.qlBlackFormula(IF(O253&lt;$C$4,"Put","Call"),O253-$C$14,$C$4,$C$9*SQRT($C$7)))/$C$14^2,"")</f>
        <v/>
      </c>
      <c r="T253" s="42">
        <f>IFERROR((_xll.qlBlackFormula(IF(O253&lt;$C$4,"Put","Call"),O253+$C$14,$C$4,$C$10*SQRT($C$7),,$C$11)-
2*_xll.qlBlackFormula(IF(O253&lt;$C$4,"Put","Call"),O253,$C$4,$C$10*SQRT($C$7),,$C$11)+
_xll.qlBlackFormula(IF(O253&lt;$C$4,"Put","Call"),O253-$C$14,$C$4,$C$10*SQRT($C$7),,$C$11))/$C$14^2,"")</f>
        <v>17.720196837656133</v>
      </c>
      <c r="U253" s="43">
        <f>IFERROR((_xll.qlBachelierBlackFormula(IF(O253&lt;$C$4,"Put","Call"),O253+$C$14,$C$4,$C$12*SQRT($C$7))-
2*_xll.qlBachelierBlackFormula(IF(O253&lt;$C$4,"Put","Call"),O253,$C$4,$C$12*SQRT($C$7))+
_xll.qlBachelierBlackFormula(IF(O253&lt;$C$4,"Put","Call"),O253-$C$14,$C$4,$C$12*SQRT($C$7)))/$C$14^2,"")</f>
        <v>20.585350264668012</v>
      </c>
      <c r="V253" s="61" t="str">
        <f>IFERROR(_xll.qlBachelierBlackFormulaImpliedVol(IF(O253&lt;$C$4,"Put","Call"),O253,$C$4,$C$7,P253),"")</f>
        <v/>
      </c>
      <c r="W253" s="61">
        <f>IFERROR(_xll.qlBachelierBlackFormulaImpliedVol(IF(O253&lt;$C$4,"Put","Call"),O253,$C$4,$C$7,Q253),"")</f>
        <v>7.6096262411308371E-3</v>
      </c>
      <c r="X253" s="61">
        <f>IFERROR(_xll.qlBachelierBlackFormulaImpliedVol(IF(O253&lt;$C$4,"Put","Call"),O253,$C$4,$C$7,R253),"")</f>
        <v>7.2019999999996575E-3</v>
      </c>
      <c r="Y253" s="96">
        <f>_xll.qlSmileSectionVolatility($C$40,O253+$C$31)</f>
        <v>7.7368198159273186E-3</v>
      </c>
    </row>
    <row r="254" spans="15:25">
      <c r="O254" s="37">
        <f t="shared" si="3"/>
        <v>1.489999999999996E-2</v>
      </c>
      <c r="P254" s="38" t="str">
        <f>IFERROR(_xll.qlBlackFormula(IF(O254&lt;$C$4,"Put","Call"),O254,$C$4,$C$9*SQRT($C$7)),"")</f>
        <v/>
      </c>
      <c r="Q254" s="39">
        <f>IFERROR(_xll.qlBlackFormula(IF(O254&lt;$C$4,"Put","Call"),O254,$C$4,$C$10*SQRT($C$7),,$C$11),"")</f>
        <v>2.9589427351350735E-3</v>
      </c>
      <c r="R254" s="40">
        <f>IFERROR(_xll.qlBachelierBlackFormula(IF(O254&lt;$C$4,"Put","Call"),O254,$C$4,$C$12*SQRT($C$7)),"")</f>
        <v>2.6517788409288275E-3</v>
      </c>
      <c r="S254" s="41" t="str">
        <f>IFERROR((_xll.qlBlackFormula(IF(O254&lt;$C$4,"Put","Call"),O254+$C$14,$C$4,$C$9*SQRT($C$7))-
2*_xll.qlBlackFormula(IF(O254&lt;$C$4,"Put","Call"),O254,$C$4,$C$9*SQRT($C$7))+
_xll.qlBlackFormula(IF(O254&lt;$C$4,"Put","Call"),O254-$C$14,$C$4,$C$9*SQRT($C$7)))/$C$14^2,"")</f>
        <v/>
      </c>
      <c r="T254" s="42">
        <f>IFERROR((_xll.qlBlackFormula(IF(O254&lt;$C$4,"Put","Call"),O254+$C$14,$C$4,$C$10*SQRT($C$7),,$C$11)-
2*_xll.qlBlackFormula(IF(O254&lt;$C$4,"Put","Call"),O254,$C$4,$C$10*SQRT($C$7),,$C$11)+
_xll.qlBlackFormula(IF(O254&lt;$C$4,"Put","Call"),O254-$C$14,$C$4,$C$10*SQRT($C$7),,$C$11))/$C$14^2,"")</f>
        <v>17.635486820877233</v>
      </c>
      <c r="U254" s="43">
        <f>IFERROR((_xll.qlBachelierBlackFormula(IF(O254&lt;$C$4,"Put","Call"),O254+$C$14,$C$4,$C$12*SQRT($C$7))-
2*_xll.qlBachelierBlackFormula(IF(O254&lt;$C$4,"Put","Call"),O254,$C$4,$C$12*SQRT($C$7))+
_xll.qlBachelierBlackFormula(IF(O254&lt;$C$4,"Put","Call"),O254-$C$14,$C$4,$C$12*SQRT($C$7)))/$C$14^2,"")</f>
        <v>20.507311994377719</v>
      </c>
      <c r="V254" s="61" t="str">
        <f>IFERROR(_xll.qlBachelierBlackFormulaImpliedVol(IF(O254&lt;$C$4,"Put","Call"),O254,$C$4,$C$7,P254),"")</f>
        <v/>
      </c>
      <c r="W254" s="61">
        <f>IFERROR(_xll.qlBachelierBlackFormulaImpliedVol(IF(O254&lt;$C$4,"Put","Call"),O254,$C$4,$C$7,Q254),"")</f>
        <v>7.6137120507091625E-3</v>
      </c>
      <c r="X254" s="61">
        <f>IFERROR(_xll.qlBachelierBlackFormulaImpliedVol(IF(O254&lt;$C$4,"Put","Call"),O254,$C$4,$C$7,R254),"")</f>
        <v>7.2019999999996679E-3</v>
      </c>
      <c r="Y254" s="96">
        <f>_xll.qlSmileSectionVolatility($C$40,O254+$C$31)</f>
        <v>7.7432292829346799E-3</v>
      </c>
    </row>
    <row r="255" spans="15:25">
      <c r="O255" s="37">
        <f t="shared" si="3"/>
        <v>1.499999999999996E-2</v>
      </c>
      <c r="P255" s="38" t="str">
        <f>IFERROR(_xll.qlBlackFormula(IF(O255&lt;$C$4,"Put","Call"),O255,$C$4,$C$9*SQRT($C$7)),"")</f>
        <v/>
      </c>
      <c r="Q255" s="39">
        <f>IFERROR(_xll.qlBlackFormula(IF(O255&lt;$C$4,"Put","Call"),O255,$C$4,$C$10*SQRT($C$7),,$C$11),"")</f>
        <v>2.934063079998158E-3</v>
      </c>
      <c r="R255" s="40">
        <f>IFERROR(_xll.qlBachelierBlackFormula(IF(O255&lt;$C$4,"Put","Call"),O255,$C$4,$C$12*SQRT($C$7)),"")</f>
        <v>2.6249451867649035E-3</v>
      </c>
      <c r="S255" s="41" t="str">
        <f>IFERROR((_xll.qlBlackFormula(IF(O255&lt;$C$4,"Put","Call"),O255+$C$14,$C$4,$C$9*SQRT($C$7))-
2*_xll.qlBlackFormula(IF(O255&lt;$C$4,"Put","Call"),O255,$C$4,$C$9*SQRT($C$7))+
_xll.qlBlackFormula(IF(O255&lt;$C$4,"Put","Call"),O255-$C$14,$C$4,$C$9*SQRT($C$7)))/$C$14^2,"")</f>
        <v/>
      </c>
      <c r="T255" s="42">
        <f>IFERROR((_xll.qlBlackFormula(IF(O255&lt;$C$4,"Put","Call"),O255+$C$14,$C$4,$C$10*SQRT($C$7),,$C$11)-
2*_xll.qlBlackFormula(IF(O255&lt;$C$4,"Put","Call"),O255,$C$4,$C$10*SQRT($C$7),,$C$11)+
_xll.qlBlackFormula(IF(O255&lt;$C$4,"Put","Call"),O255-$C$14,$C$4,$C$10*SQRT($C$7),,$C$11))/$C$14^2,"")</f>
        <v>17.55071782350015</v>
      </c>
      <c r="U255" s="43">
        <f>IFERROR((_xll.qlBachelierBlackFormula(IF(O255&lt;$C$4,"Put","Call"),O255+$C$14,$C$4,$C$12*SQRT($C$7))-
2*_xll.qlBachelierBlackFormula(IF(O255&lt;$C$4,"Put","Call"),O255,$C$4,$C$12*SQRT($C$7))+
_xll.qlBachelierBlackFormula(IF(O255&lt;$C$4,"Put","Call"),O255-$C$14,$C$4,$C$12*SQRT($C$7)))/$C$14^2,"")</f>
        <v>20.428786266790677</v>
      </c>
      <c r="V255" s="61" t="str">
        <f>IFERROR(_xll.qlBachelierBlackFormulaImpliedVol(IF(O255&lt;$C$4,"Put","Call"),O255,$C$4,$C$7,P255),"")</f>
        <v/>
      </c>
      <c r="W255" s="61">
        <f>IFERROR(_xll.qlBachelierBlackFormulaImpliedVol(IF(O255&lt;$C$4,"Put","Call"),O255,$C$4,$C$7,Q255),"")</f>
        <v>7.6177964517774571E-3</v>
      </c>
      <c r="X255" s="61">
        <f>IFERROR(_xll.qlBachelierBlackFormulaImpliedVol(IF(O255&lt;$C$4,"Put","Call"),O255,$C$4,$C$7,R255),"")</f>
        <v>7.2019999999996774E-3</v>
      </c>
      <c r="Y255" s="96">
        <f>_xll.qlSmileSectionVolatility($C$40,O255+$C$31)</f>
        <v>7.7496560998827034E-3</v>
      </c>
    </row>
    <row r="256" spans="15:25">
      <c r="O256" s="37">
        <f t="shared" si="3"/>
        <v>1.5099999999999959E-2</v>
      </c>
      <c r="P256" s="38" t="str">
        <f>IFERROR(_xll.qlBlackFormula(IF(O256&lt;$C$4,"Put","Call"),O256,$C$4,$C$9*SQRT($C$7)),"")</f>
        <v/>
      </c>
      <c r="Q256" s="39">
        <f>IFERROR(_xll.qlBlackFormula(IF(O256&lt;$C$4,"Put","Call"),O256,$C$4,$C$10*SQRT($C$7),,$C$11),"")</f>
        <v>2.909358931961703E-3</v>
      </c>
      <c r="R256" s="40">
        <f>IFERROR(_xll.qlBachelierBlackFormula(IF(O256&lt;$C$4,"Put","Call"),O256,$C$4,$C$12*SQRT($C$7)),"")</f>
        <v>2.5983158200429241E-3</v>
      </c>
      <c r="S256" s="41" t="str">
        <f>IFERROR((_xll.qlBlackFormula(IF(O256&lt;$C$4,"Put","Call"),O256+$C$14,$C$4,$C$9*SQRT($C$7))-
2*_xll.qlBlackFormula(IF(O256&lt;$C$4,"Put","Call"),O256,$C$4,$C$9*SQRT($C$7))+
_xll.qlBlackFormula(IF(O256&lt;$C$4,"Put","Call"),O256-$C$14,$C$4,$C$9*SQRT($C$7)))/$C$14^2,"")</f>
        <v/>
      </c>
      <c r="T256" s="42">
        <f>IFERROR((_xll.qlBlackFormula(IF(O256&lt;$C$4,"Put","Call"),O256+$C$14,$C$4,$C$10*SQRT($C$7),,$C$11)-
2*_xll.qlBlackFormula(IF(O256&lt;$C$4,"Put","Call"),O256,$C$4,$C$10*SQRT($C$7),,$C$11)+
_xll.qlBlackFormula(IF(O256&lt;$C$4,"Put","Call"),O256-$C$14,$C$4,$C$10*SQRT($C$7),,$C$11))/$C$14^2,"")</f>
        <v>17.465907192759644</v>
      </c>
      <c r="U256" s="43">
        <f>IFERROR((_xll.qlBachelierBlackFormula(IF(O256&lt;$C$4,"Put","Call"),O256+$C$14,$C$4,$C$12*SQRT($C$7))-
2*_xll.qlBachelierBlackFormula(IF(O256&lt;$C$4,"Put","Call"),O256,$C$4,$C$12*SQRT($C$7))+
_xll.qlBachelierBlackFormula(IF(O256&lt;$C$4,"Put","Call"),O256-$C$14,$C$4,$C$12*SQRT($C$7)))/$C$14^2,"")</f>
        <v>20.349773081906886</v>
      </c>
      <c r="V256" s="61" t="str">
        <f>IFERROR(_xll.qlBachelierBlackFormulaImpliedVol(IF(O256&lt;$C$4,"Put","Call"),O256,$C$4,$C$7,P256),"")</f>
        <v/>
      </c>
      <c r="W256" s="61">
        <f>IFERROR(_xll.qlBachelierBlackFormulaImpliedVol(IF(O256&lt;$C$4,"Put","Call"),O256,$C$4,$C$7,Q256),"")</f>
        <v>7.6218794465509106E-3</v>
      </c>
      <c r="X256" s="61">
        <f>IFERROR(_xll.qlBachelierBlackFormulaImpliedVol(IF(O256&lt;$C$4,"Put","Call"),O256,$C$4,$C$7,R256),"")</f>
        <v>7.2019999999996904E-3</v>
      </c>
      <c r="Y256" s="96">
        <f>_xll.qlSmileSectionVolatility($C$40,O256+$C$31)</f>
        <v>7.7561001857144232E-3</v>
      </c>
    </row>
    <row r="257" spans="15:25">
      <c r="O257" s="37">
        <f t="shared" si="3"/>
        <v>1.5199999999999958E-2</v>
      </c>
      <c r="P257" s="38" t="str">
        <f>IFERROR(_xll.qlBlackFormula(IF(O257&lt;$C$4,"Put","Call"),O257,$C$4,$C$9*SQRT($C$7)),"")</f>
        <v/>
      </c>
      <c r="Q257" s="39">
        <f>IFERROR(_xll.qlBlackFormula(IF(O257&lt;$C$4,"Put","Call"),O257,$C$4,$C$10*SQRT($C$7),,$C$11),"")</f>
        <v>2.8848294429815249E-3</v>
      </c>
      <c r="R257" s="40">
        <f>IFERROR(_xll.qlBachelierBlackFormula(IF(O257&lt;$C$4,"Put","Call"),O257,$C$4,$C$12*SQRT($C$7)),"")</f>
        <v>2.5718899506529955E-3</v>
      </c>
      <c r="S257" s="41" t="str">
        <f>IFERROR((_xll.qlBlackFormula(IF(O257&lt;$C$4,"Put","Call"),O257+$C$14,$C$4,$C$9*SQRT($C$7))-
2*_xll.qlBlackFormula(IF(O257&lt;$C$4,"Put","Call"),O257,$C$4,$C$9*SQRT($C$7))+
_xll.qlBlackFormula(IF(O257&lt;$C$4,"Put","Call"),O257-$C$14,$C$4,$C$9*SQRT($C$7)))/$C$14^2,"")</f>
        <v/>
      </c>
      <c r="T257" s="42">
        <f>IFERROR((_xll.qlBlackFormula(IF(O257&lt;$C$4,"Put","Call"),O257+$C$14,$C$4,$C$10*SQRT($C$7),,$C$11)-
2*_xll.qlBlackFormula(IF(O257&lt;$C$4,"Put","Call"),O257,$C$4,$C$10*SQRT($C$7),,$C$11)+
_xll.qlBlackFormula(IF(O257&lt;$C$4,"Put","Call"),O257-$C$14,$C$4,$C$10*SQRT($C$7),,$C$11))/$C$14^2,"")</f>
        <v>17.381075745337426</v>
      </c>
      <c r="U257" s="43">
        <f>IFERROR((_xll.qlBachelierBlackFormula(IF(O257&lt;$C$4,"Put","Call"),O257+$C$14,$C$4,$C$12*SQRT($C$7))-
2*_xll.qlBachelierBlackFormula(IF(O257&lt;$C$4,"Put","Call"),O257,$C$4,$C$12*SQRT($C$7))+
_xll.qlBachelierBlackFormula(IF(O257&lt;$C$4,"Put","Call"),O257-$C$14,$C$4,$C$12*SQRT($C$7)))/$C$14^2,"")</f>
        <v>20.270286751195023</v>
      </c>
      <c r="V257" s="61" t="str">
        <f>IFERROR(_xll.qlBachelierBlackFormulaImpliedVol(IF(O257&lt;$C$4,"Put","Call"),O257,$C$4,$C$7,P257),"")</f>
        <v/>
      </c>
      <c r="W257" s="61">
        <f>IFERROR(_xll.qlBachelierBlackFormulaImpliedVol(IF(O257&lt;$C$4,"Put","Call"),O257,$C$4,$C$7,Q257),"")</f>
        <v>7.6259610372388185E-3</v>
      </c>
      <c r="X257" s="61">
        <f>IFERROR(_xll.qlBachelierBlackFormulaImpliedVol(IF(O257&lt;$C$4,"Put","Call"),O257,$C$4,$C$7,R257),"")</f>
        <v>7.2019999999997078E-3</v>
      </c>
      <c r="Y257" s="96">
        <f>_xll.qlSmileSectionVolatility($C$40,O257+$C$31)</f>
        <v>7.7625614593569694E-3</v>
      </c>
    </row>
    <row r="258" spans="15:25">
      <c r="O258" s="37">
        <f t="shared" si="3"/>
        <v>1.5299999999999958E-2</v>
      </c>
      <c r="P258" s="38" t="str">
        <f>IFERROR(_xll.qlBlackFormula(IF(O258&lt;$C$4,"Put","Call"),O258,$C$4,$C$9*SQRT($C$7)),"")</f>
        <v/>
      </c>
      <c r="Q258" s="39">
        <f>IFERROR(_xll.qlBlackFormula(IF(O258&lt;$C$4,"Put","Call"),O258,$C$4,$C$10*SQRT($C$7),,$C$11),"")</f>
        <v>2.860473764660771E-3</v>
      </c>
      <c r="R258" s="40">
        <f>IFERROR(_xll.qlBachelierBlackFormula(IF(O258&lt;$C$4,"Put","Call"),O258,$C$4,$C$12*SQRT($C$7)),"")</f>
        <v>2.545666783725017E-3</v>
      </c>
      <c r="S258" s="41" t="str">
        <f>IFERROR((_xll.qlBlackFormula(IF(O258&lt;$C$4,"Put","Call"),O258+$C$14,$C$4,$C$9*SQRT($C$7))-
2*_xll.qlBlackFormula(IF(O258&lt;$C$4,"Put","Call"),O258,$C$4,$C$9*SQRT($C$7))+
_xll.qlBlackFormula(IF(O258&lt;$C$4,"Put","Call"),O258-$C$14,$C$4,$C$9*SQRT($C$7)))/$C$14^2,"")</f>
        <v/>
      </c>
      <c r="T258" s="42">
        <f>IFERROR((_xll.qlBlackFormula(IF(O258&lt;$C$4,"Put","Call"),O258+$C$14,$C$4,$C$10*SQRT($C$7),,$C$11)-
2*_xll.qlBlackFormula(IF(O258&lt;$C$4,"Put","Call"),O258,$C$4,$C$10*SQRT($C$7),,$C$11)+
_xll.qlBlackFormula(IF(O258&lt;$C$4,"Put","Call"),O258-$C$14,$C$4,$C$10*SQRT($C$7),,$C$11))/$C$14^2,"")</f>
        <v>17.296188786763977</v>
      </c>
      <c r="U258" s="43">
        <f>IFERROR((_xll.qlBachelierBlackFormula(IF(O258&lt;$C$4,"Put","Call"),O258+$C$14,$C$4,$C$12*SQRT($C$7))-
2*_xll.qlBachelierBlackFormula(IF(O258&lt;$C$4,"Put","Call"),O258,$C$4,$C$12*SQRT($C$7))+
_xll.qlBachelierBlackFormula(IF(O258&lt;$C$4,"Put","Call"),O258-$C$14,$C$4,$C$12*SQRT($C$7)))/$C$14^2,"")</f>
        <v>20.190330310421167</v>
      </c>
      <c r="V258" s="61" t="str">
        <f>IFERROR(_xll.qlBachelierBlackFormulaImpliedVol(IF(O258&lt;$C$4,"Put","Call"),O258,$C$4,$C$7,P258),"")</f>
        <v/>
      </c>
      <c r="W258" s="61">
        <f>IFERROR(_xll.qlBachelierBlackFormulaImpliedVol(IF(O258&lt;$C$4,"Put","Call"),O258,$C$4,$C$7,Q258),"")</f>
        <v>7.6300412260446151E-3</v>
      </c>
      <c r="X258" s="61">
        <f>IFERROR(_xll.qlBachelierBlackFormulaImpliedVol(IF(O258&lt;$C$4,"Put","Call"),O258,$C$4,$C$7,R258),"")</f>
        <v>7.2019999999997364E-3</v>
      </c>
      <c r="Y258" s="96">
        <f>_xll.qlSmileSectionVolatility($C$40,O258+$C$31)</f>
        <v>7.769039839728353E-3</v>
      </c>
    </row>
    <row r="259" spans="15:25">
      <c r="O259" s="37">
        <f t="shared" si="3"/>
        <v>1.5399999999999957E-2</v>
      </c>
      <c r="P259" s="38" t="str">
        <f>IFERROR(_xll.qlBlackFormula(IF(O259&lt;$C$4,"Put","Call"),O259,$C$4,$C$9*SQRT($C$7)),"")</f>
        <v/>
      </c>
      <c r="Q259" s="39">
        <f>IFERROR(_xll.qlBlackFormula(IF(O259&lt;$C$4,"Put","Call"),O259,$C$4,$C$10*SQRT($C$7),,$C$11),"")</f>
        <v>2.8362910483098087E-3</v>
      </c>
      <c r="R259" s="40">
        <f>IFERROR(_xll.qlBachelierBlackFormula(IF(O259&lt;$C$4,"Put","Call"),O259,$C$4,$C$12*SQRT($C$7)),"")</f>
        <v>2.5196455197084473E-3</v>
      </c>
      <c r="S259" s="41" t="str">
        <f>IFERROR((_xll.qlBlackFormula(IF(O259&lt;$C$4,"Put","Call"),O259+$C$14,$C$4,$C$9*SQRT($C$7))-
2*_xll.qlBlackFormula(IF(O259&lt;$C$4,"Put","Call"),O259,$C$4,$C$9*SQRT($C$7))+
_xll.qlBlackFormula(IF(O259&lt;$C$4,"Put","Call"),O259-$C$14,$C$4,$C$9*SQRT($C$7)))/$C$14^2,"")</f>
        <v/>
      </c>
      <c r="T259" s="42">
        <f>IFERROR((_xll.qlBlackFormula(IF(O259&lt;$C$4,"Put","Call"),O259+$C$14,$C$4,$C$10*SQRT($C$7),,$C$11)-
2*_xll.qlBlackFormula(IF(O259&lt;$C$4,"Put","Call"),O259,$C$4,$C$10*SQRT($C$7),,$C$11)+
_xll.qlBlackFormula(IF(O259&lt;$C$4,"Put","Call"),O259-$C$14,$C$4,$C$10*SQRT($C$7),,$C$11))/$C$14^2,"")</f>
        <v>17.21130529763748</v>
      </c>
      <c r="U259" s="43">
        <f>IFERROR((_xll.qlBachelierBlackFormula(IF(O259&lt;$C$4,"Put","Call"),O259+$C$14,$C$4,$C$12*SQRT($C$7))-
2*_xll.qlBachelierBlackFormula(IF(O259&lt;$C$4,"Put","Call"),O259,$C$4,$C$12*SQRT($C$7))+
_xll.qlBachelierBlackFormula(IF(O259&lt;$C$4,"Put","Call"),O259-$C$14,$C$4,$C$12*SQRT($C$7)))/$C$14^2,"")</f>
        <v>20.109915035287919</v>
      </c>
      <c r="V259" s="61" t="str">
        <f>IFERROR(_xll.qlBachelierBlackFormulaImpliedVol(IF(O259&lt;$C$4,"Put","Call"),O259,$C$4,$C$7,P259),"")</f>
        <v/>
      </c>
      <c r="W259" s="61">
        <f>IFERROR(_xll.qlBachelierBlackFormulaImpliedVol(IF(O259&lt;$C$4,"Put","Call"),O259,$C$4,$C$7,Q259),"")</f>
        <v>7.6341200151658836E-3</v>
      </c>
      <c r="X259" s="61">
        <f>IFERROR(_xll.qlBachelierBlackFormulaImpliedVol(IF(O259&lt;$C$4,"Put","Call"),O259,$C$4,$C$7,R259),"")</f>
        <v>7.2019999999997607E-3</v>
      </c>
      <c r="Y259" s="96">
        <f>_xll.qlSmileSectionVolatility($C$40,O259+$C$31)</f>
        <v>7.77553524574413E-3</v>
      </c>
    </row>
    <row r="260" spans="15:25">
      <c r="O260" s="37">
        <f t="shared" si="3"/>
        <v>1.5499999999999957E-2</v>
      </c>
      <c r="P260" s="38" t="str">
        <f>IFERROR(_xll.qlBlackFormula(IF(O260&lt;$C$4,"Put","Call"),O260,$C$4,$C$9*SQRT($C$7)),"")</f>
        <v/>
      </c>
      <c r="Q260" s="39">
        <f>IFERROR(_xll.qlBlackFormula(IF(O260&lt;$C$4,"Put","Call"),O260,$C$4,$C$10*SQRT($C$7),,$C$11),"")</f>
        <v>2.8122804450056195E-3</v>
      </c>
      <c r="R260" s="40">
        <f>IFERROR(_xll.qlBachelierBlackFormula(IF(O260&lt;$C$4,"Put","Call"),O260,$C$4,$C$12*SQRT($C$7)),"")</f>
        <v>2.4938253544523063E-3</v>
      </c>
      <c r="S260" s="41" t="str">
        <f>IFERROR((_xll.qlBlackFormula(IF(O260&lt;$C$4,"Put","Call"),O260+$C$14,$C$4,$C$9*SQRT($C$7))-
2*_xll.qlBlackFormula(IF(O260&lt;$C$4,"Put","Call"),O260,$C$4,$C$9*SQRT($C$7))+
_xll.qlBlackFormula(IF(O260&lt;$C$4,"Put","Call"),O260-$C$14,$C$4,$C$9*SQRT($C$7)))/$C$14^2,"")</f>
        <v/>
      </c>
      <c r="T260" s="42">
        <f>IFERROR((_xll.qlBlackFormula(IF(O260&lt;$C$4,"Put","Call"),O260+$C$14,$C$4,$C$10*SQRT($C$7),,$C$11)-
2*_xll.qlBlackFormula(IF(O260&lt;$C$4,"Put","Call"),O260,$C$4,$C$10*SQRT($C$7),,$C$11)+
_xll.qlBlackFormula(IF(O260&lt;$C$4,"Put","Call"),O260-$C$14,$C$4,$C$10*SQRT($C$7),,$C$11))/$C$14^2,"")</f>
        <v>17.126407930723175</v>
      </c>
      <c r="U260" s="43">
        <f>IFERROR((_xll.qlBachelierBlackFormula(IF(O260&lt;$C$4,"Put","Call"),O260+$C$14,$C$4,$C$12*SQRT($C$7))-
2*_xll.qlBachelierBlackFormula(IF(O260&lt;$C$4,"Put","Call"),O260,$C$4,$C$12*SQRT($C$7))+
_xll.qlBachelierBlackFormula(IF(O260&lt;$C$4,"Put","Call"),O260-$C$14,$C$4,$C$12*SQRT($C$7)))/$C$14^2,"")</f>
        <v>20.029044395242224</v>
      </c>
      <c r="V260" s="61" t="str">
        <f>IFERROR(_xll.qlBachelierBlackFormulaImpliedVol(IF(O260&lt;$C$4,"Put","Call"),O260,$C$4,$C$7,P260),"")</f>
        <v/>
      </c>
      <c r="W260" s="61">
        <f>IFERROR(_xll.qlBachelierBlackFormulaImpliedVol(IF(O260&lt;$C$4,"Put","Call"),O260,$C$4,$C$7,Q260),"")</f>
        <v>7.6381974067943849E-3</v>
      </c>
      <c r="X260" s="61">
        <f>IFERROR(_xll.qlBachelierBlackFormulaImpliedVol(IF(O260&lt;$C$4,"Put","Call"),O260,$C$4,$C$7,R260),"")</f>
        <v>7.2019999999997954E-3</v>
      </c>
      <c r="Y260" s="96">
        <f>_xll.qlSmileSectionVolatility($C$40,O260+$C$31)</f>
        <v>7.7820475963240182E-3</v>
      </c>
    </row>
    <row r="261" spans="15:25">
      <c r="O261" s="37">
        <f t="shared" si="3"/>
        <v>1.5599999999999956E-2</v>
      </c>
      <c r="P261" s="38" t="str">
        <f>IFERROR(_xll.qlBlackFormula(IF(O261&lt;$C$4,"Put","Call"),O261,$C$4,$C$9*SQRT($C$7)),"")</f>
        <v/>
      </c>
      <c r="Q261" s="39">
        <f>IFERROR(_xll.qlBlackFormula(IF(O261&lt;$C$4,"Put","Call"),O261,$C$4,$C$10*SQRT($C$7),,$C$11),"")</f>
        <v>2.7884411056506506E-3</v>
      </c>
      <c r="R261" s="40">
        <f>IFERROR(_xll.qlBachelierBlackFormula(IF(O261&lt;$C$4,"Put","Call"),O261,$C$4,$C$12*SQRT($C$7)),"")</f>
        <v>2.468205479285382E-3</v>
      </c>
      <c r="S261" s="41" t="str">
        <f>IFERROR((_xll.qlBlackFormula(IF(O261&lt;$C$4,"Put","Call"),O261+$C$14,$C$4,$C$9*SQRT($C$7))-
2*_xll.qlBlackFormula(IF(O261&lt;$C$4,"Put","Call"),O261,$C$4,$C$9*SQRT($C$7))+
_xll.qlBlackFormula(IF(O261&lt;$C$4,"Put","Call"),O261-$C$14,$C$4,$C$9*SQRT($C$7)))/$C$14^2,"")</f>
        <v/>
      </c>
      <c r="T261" s="42">
        <f>IFERROR((_xll.qlBlackFormula(IF(O261&lt;$C$4,"Put","Call"),O261+$C$14,$C$4,$C$10*SQRT($C$7),,$C$11)-
2*_xll.qlBlackFormula(IF(O261&lt;$C$4,"Put","Call"),O261,$C$4,$C$10*SQRT($C$7),,$C$11)+
_xll.qlBlackFormula(IF(O261&lt;$C$4,"Put","Call"),O261-$C$14,$C$4,$C$10*SQRT($C$7),,$C$11))/$C$14^2,"")</f>
        <v>17.041479338786303</v>
      </c>
      <c r="U261" s="43">
        <f>IFERROR((_xll.qlBachelierBlackFormula(IF(O261&lt;$C$4,"Put","Call"),O261+$C$14,$C$4,$C$12*SQRT($C$7))-
2*_xll.qlBachelierBlackFormula(IF(O261&lt;$C$4,"Put","Call"),O261,$C$4,$C$12*SQRT($C$7))+
_xll.qlBachelierBlackFormula(IF(O261&lt;$C$4,"Put","Call"),O261-$C$14,$C$4,$C$12*SQRT($C$7)))/$C$14^2,"")</f>
        <v>19.947735303837977</v>
      </c>
      <c r="V261" s="61" t="str">
        <f>IFERROR(_xll.qlBachelierBlackFormulaImpliedVol(IF(O261&lt;$C$4,"Put","Call"),O261,$C$4,$C$7,P261),"")</f>
        <v/>
      </c>
      <c r="W261" s="61">
        <f>IFERROR(_xll.qlBachelierBlackFormulaImpliedVol(IF(O261&lt;$C$4,"Put","Call"),O261,$C$4,$C$7,Q261),"")</f>
        <v>7.6422734031160993E-3</v>
      </c>
      <c r="X261" s="61">
        <f>IFERROR(_xll.qlBachelierBlackFormulaImpliedVol(IF(O261&lt;$C$4,"Put","Call"),O261,$C$4,$C$7,R261),"")</f>
        <v>7.2019999999998301E-3</v>
      </c>
      <c r="Y261" s="96">
        <f>_xll.qlSmileSectionVolatility($C$40,O261+$C$31)</f>
        <v>7.7885768103983866E-3</v>
      </c>
    </row>
    <row r="262" spans="15:25">
      <c r="O262" s="37">
        <f t="shared" si="3"/>
        <v>1.5699999999999957E-2</v>
      </c>
      <c r="P262" s="38" t="str">
        <f>IFERROR(_xll.qlBlackFormula(IF(O262&lt;$C$4,"Put","Call"),O262,$C$4,$C$9*SQRT($C$7)),"")</f>
        <v/>
      </c>
      <c r="Q262" s="39">
        <f>IFERROR(_xll.qlBlackFormula(IF(O262&lt;$C$4,"Put","Call"),O262,$C$4,$C$10*SQRT($C$7),,$C$11),"")</f>
        <v>2.7647721810310534E-3</v>
      </c>
      <c r="R262" s="40">
        <f>IFERROR(_xll.qlBachelierBlackFormula(IF(O262&lt;$C$4,"Put","Call"),O262,$C$4,$C$12*SQRT($C$7)),"")</f>
        <v>2.4427850810966501E-3</v>
      </c>
      <c r="S262" s="41" t="str">
        <f>IFERROR((_xll.qlBlackFormula(IF(O262&lt;$C$4,"Put","Call"),O262+$C$14,$C$4,$C$9*SQRT($C$7))-
2*_xll.qlBlackFormula(IF(O262&lt;$C$4,"Put","Call"),O262,$C$4,$C$9*SQRT($C$7))+
_xll.qlBlackFormula(IF(O262&lt;$C$4,"Put","Call"),O262-$C$14,$C$4,$C$9*SQRT($C$7)))/$C$14^2,"")</f>
        <v/>
      </c>
      <c r="T262" s="42">
        <f>IFERROR((_xll.qlBlackFormula(IF(O262&lt;$C$4,"Put","Call"),O262+$C$14,$C$4,$C$10*SQRT($C$7),,$C$11)-
2*_xll.qlBlackFormula(IF(O262&lt;$C$4,"Put","Call"),O262,$C$4,$C$10*SQRT($C$7),,$C$11)+
_xll.qlBlackFormula(IF(O262&lt;$C$4,"Put","Call"),O262-$C$14,$C$4,$C$10*SQRT($C$7),,$C$11))/$C$14^2,"")</f>
        <v>16.956543807955526</v>
      </c>
      <c r="U262" s="43">
        <f>IFERROR((_xll.qlBachelierBlackFormula(IF(O262&lt;$C$4,"Put","Call"),O262+$C$14,$C$4,$C$12*SQRT($C$7))-
2*_xll.qlBachelierBlackFormula(IF(O262&lt;$C$4,"Put","Call"),O262,$C$4,$C$12*SQRT($C$7))+
_xll.qlBachelierBlackFormula(IF(O262&lt;$C$4,"Put","Call"),O262-$C$14,$C$4,$C$12*SQRT($C$7)))/$C$14^2,"")</f>
        <v>19.865989062117784</v>
      </c>
      <c r="V262" s="61" t="str">
        <f>IFERROR(_xll.qlBachelierBlackFormulaImpliedVol(IF(O262&lt;$C$4,"Put","Call"),O262,$C$4,$C$7,P262),"")</f>
        <v/>
      </c>
      <c r="W262" s="61">
        <f>IFERROR(_xll.qlBachelierBlackFormulaImpliedVol(IF(O262&lt;$C$4,"Put","Call"),O262,$C$4,$C$7,Q262),"")</f>
        <v>7.646348006311224E-3</v>
      </c>
      <c r="X262" s="61">
        <f>IFERROR(_xll.qlBachelierBlackFormulaImpliedVol(IF(O262&lt;$C$4,"Put","Call"),O262,$C$4,$C$7,R262),"")</f>
        <v>7.2019999999998726E-3</v>
      </c>
      <c r="Y262" s="96">
        <f>_xll.qlSmileSectionVolatility($C$40,O262+$C$31)</f>
        <v>7.7951228069146651E-3</v>
      </c>
    </row>
    <row r="263" spans="15:25">
      <c r="O263" s="37">
        <f t="shared" ref="O263:O271" si="4">O262+0.01%</f>
        <v>1.5799999999999956E-2</v>
      </c>
      <c r="P263" s="38" t="str">
        <f>IFERROR(_xll.qlBlackFormula(IF(O263&lt;$C$4,"Put","Call"),O263,$C$4,$C$9*SQRT($C$7)),"")</f>
        <v/>
      </c>
      <c r="Q263" s="39">
        <f>IFERROR(_xll.qlBlackFormula(IF(O263&lt;$C$4,"Put","Call"),O263,$C$4,$C$10*SQRT($C$7),,$C$11),"")</f>
        <v>2.7412728218744152E-3</v>
      </c>
      <c r="R263" s="40">
        <f>IFERROR(_xll.qlBachelierBlackFormula(IF(O263&lt;$C$4,"Put","Call"),O263,$C$4,$C$12*SQRT($C$7)),"")</f>
        <v>2.4175633424158727E-3</v>
      </c>
      <c r="S263" s="41" t="str">
        <f>IFERROR((_xll.qlBlackFormula(IF(O263&lt;$C$4,"Put","Call"),O263+$C$14,$C$4,$C$9*SQRT($C$7))-
2*_xll.qlBlackFormula(IF(O263&lt;$C$4,"Put","Call"),O263,$C$4,$C$9*SQRT($C$7))+
_xll.qlBlackFormula(IF(O263&lt;$C$4,"Put","Call"),O263-$C$14,$C$4,$C$9*SQRT($C$7)))/$C$14^2,"")</f>
        <v/>
      </c>
      <c r="T263" s="42">
        <f>IFERROR((_xll.qlBlackFormula(IF(O263&lt;$C$4,"Put","Call"),O263+$C$14,$C$4,$C$10*SQRT($C$7),,$C$11)-
2*_xll.qlBlackFormula(IF(O263&lt;$C$4,"Put","Call"),O263,$C$4,$C$10*SQRT($C$7),,$C$11)+
_xll.qlBlackFormula(IF(O263&lt;$C$4,"Put","Call"),O263-$C$14,$C$4,$C$10*SQRT($C$7),,$C$11))/$C$14^2,"")</f>
        <v>16.87160827712475</v>
      </c>
      <c r="U263" s="43">
        <f>IFERROR((_xll.qlBachelierBlackFormula(IF(O263&lt;$C$4,"Put","Call"),O263+$C$14,$C$4,$C$12*SQRT($C$7))-
2*_xll.qlBachelierBlackFormula(IF(O263&lt;$C$4,"Put","Call"),O263,$C$4,$C$12*SQRT($C$7))+
_xll.qlBachelierBlackFormula(IF(O263&lt;$C$4,"Put","Call"),O263-$C$14,$C$4,$C$12*SQRT($C$7)))/$C$14^2,"")</f>
        <v>19.783810006890334</v>
      </c>
      <c r="V263" s="61" t="str">
        <f>IFERROR(_xll.qlBachelierBlackFormulaImpliedVol(IF(O263&lt;$C$4,"Put","Call"),O263,$C$4,$C$7,P263),"")</f>
        <v/>
      </c>
      <c r="W263" s="61">
        <f>IFERROR(_xll.qlBachelierBlackFormulaImpliedVol(IF(O263&lt;$C$4,"Put","Call"),O263,$C$4,$C$7,Q263),"")</f>
        <v>7.6504212185541801E-3</v>
      </c>
      <c r="X263" s="61">
        <f>IFERROR(_xll.qlBachelierBlackFormulaImpliedVol(IF(O263&lt;$C$4,"Put","Call"),O263,$C$4,$C$7,R263),"")</f>
        <v>7.2019999999999194E-3</v>
      </c>
      <c r="Y263" s="96">
        <f>_xll.qlSmileSectionVolatility($C$40,O263+$C$31)</f>
        <v>7.8016855048437094E-3</v>
      </c>
    </row>
    <row r="264" spans="15:25">
      <c r="O264" s="37">
        <f t="shared" si="4"/>
        <v>1.5899999999999956E-2</v>
      </c>
      <c r="P264" s="38" t="str">
        <f>IFERROR(_xll.qlBlackFormula(IF(O264&lt;$C$4,"Put","Call"),O264,$C$4,$C$9*SQRT($C$7)),"")</f>
        <v/>
      </c>
      <c r="Q264" s="39">
        <f>IFERROR(_xll.qlBlackFormula(IF(O264&lt;$C$4,"Put","Call"),O264,$C$4,$C$10*SQRT($C$7),,$C$11),"")</f>
        <v>2.7179421789069423E-3</v>
      </c>
      <c r="R264" s="40">
        <f>IFERROR(_xll.qlBachelierBlackFormula(IF(O264&lt;$C$4,"Put","Call"),O264,$C$4,$C$12*SQRT($C$7)),"")</f>
        <v>2.3925394414943636E-3</v>
      </c>
      <c r="S264" s="41" t="str">
        <f>IFERROR((_xll.qlBlackFormula(IF(O264&lt;$C$4,"Put","Call"),O264+$C$14,$C$4,$C$9*SQRT($C$7))-
2*_xll.qlBlackFormula(IF(O264&lt;$C$4,"Put","Call"),O264,$C$4,$C$9*SQRT($C$7))+
_xll.qlBlackFormula(IF(O264&lt;$C$4,"Put","Call"),O264-$C$14,$C$4,$C$9*SQRT($C$7)))/$C$14^2,"")</f>
        <v/>
      </c>
      <c r="T264" s="42">
        <f>IFERROR((_xll.qlBlackFormula(IF(O264&lt;$C$4,"Put","Call"),O264+$C$14,$C$4,$C$10*SQRT($C$7),,$C$11)-
2*_xll.qlBlackFormula(IF(O264&lt;$C$4,"Put","Call"),O264,$C$4,$C$10*SQRT($C$7),,$C$11)+
_xll.qlBlackFormula(IF(O264&lt;$C$4,"Put","Call"),O264-$C$14,$C$4,$C$10*SQRT($C$7),,$C$11))/$C$14^2,"")</f>
        <v>16.786703971316541</v>
      </c>
      <c r="U264" s="43">
        <f>IFERROR((_xll.qlBachelierBlackFormula(IF(O264&lt;$C$4,"Put","Call"),O264+$C$14,$C$4,$C$12*SQRT($C$7))-
2*_xll.qlBachelierBlackFormula(IF(O264&lt;$C$4,"Put","Call"),O264,$C$4,$C$12*SQRT($C$7))+
_xll.qlBachelierBlackFormula(IF(O264&lt;$C$4,"Put","Call"),O264-$C$14,$C$4,$C$12*SQRT($C$7)))/$C$14^2,"")</f>
        <v>19.701216352752127</v>
      </c>
      <c r="V264" s="61" t="str">
        <f>IFERROR(_xll.qlBachelierBlackFormulaImpliedVol(IF(O264&lt;$C$4,"Put","Call"),O264,$C$4,$C$7,P264),"")</f>
        <v/>
      </c>
      <c r="W264" s="61">
        <f>IFERROR(_xll.qlBachelierBlackFormulaImpliedVol(IF(O264&lt;$C$4,"Put","Call"),O264,$C$4,$C$7,Q264),"")</f>
        <v>7.6544930420136348E-3</v>
      </c>
      <c r="X264" s="61">
        <f>IFERROR(_xll.qlBachelierBlackFormulaImpliedVol(IF(O264&lt;$C$4,"Put","Call"),O264,$C$4,$C$7,R264),"")</f>
        <v>7.2019999999999662E-3</v>
      </c>
      <c r="Y264" s="96">
        <f>_xll.qlSmileSectionVolatility($C$40,O264+$C$31)</f>
        <v>7.8082648231860147E-3</v>
      </c>
    </row>
    <row r="265" spans="15:25">
      <c r="O265" s="37">
        <f t="shared" si="4"/>
        <v>1.5999999999999955E-2</v>
      </c>
      <c r="P265" s="38" t="str">
        <f>IFERROR(_xll.qlBlackFormula(IF(O265&lt;$C$4,"Put","Call"),O265,$C$4,$C$9*SQRT($C$7)),"")</f>
        <v/>
      </c>
      <c r="Q265" s="39">
        <f>IFERROR(_xll.qlBlackFormula(IF(O265&lt;$C$4,"Put","Call"),O265,$C$4,$C$10*SQRT($C$7),,$C$11),"")</f>
        <v>2.6947794029101232E-3</v>
      </c>
      <c r="R265" s="40">
        <f>IFERROR(_xll.qlBachelierBlackFormula(IF(O265&lt;$C$4,"Put","Call"),O265,$C$4,$C$12*SQRT($C$7)),"")</f>
        <v>2.3677125523859414E-3</v>
      </c>
      <c r="S265" s="41" t="str">
        <f>IFERROR((_xll.qlBlackFormula(IF(O265&lt;$C$4,"Put","Call"),O265+$C$14,$C$4,$C$9*SQRT($C$7))-
2*_xll.qlBlackFormula(IF(O265&lt;$C$4,"Put","Call"),O265,$C$4,$C$9*SQRT($C$7))+
_xll.qlBlackFormula(IF(O265&lt;$C$4,"Put","Call"),O265-$C$14,$C$4,$C$9*SQRT($C$7)))/$C$14^2,"")</f>
        <v/>
      </c>
      <c r="T265" s="42">
        <f>IFERROR((_xll.qlBlackFormula(IF(O265&lt;$C$4,"Put","Call"),O265+$C$14,$C$4,$C$10*SQRT($C$7),,$C$11)-
2*_xll.qlBlackFormula(IF(O265&lt;$C$4,"Put","Call"),O265,$C$4,$C$10*SQRT($C$7),,$C$11)+
_xll.qlBlackFormula(IF(O265&lt;$C$4,"Put","Call"),O265-$C$14,$C$4,$C$10*SQRT($C$7),,$C$11))/$C$14^2,"")</f>
        <v>16.701782318273573</v>
      </c>
      <c r="U265" s="43">
        <f>IFERROR((_xll.qlBachelierBlackFormula(IF(O265&lt;$C$4,"Put","Call"),O265+$C$14,$C$4,$C$12*SQRT($C$7))-
2*_xll.qlBachelierBlackFormula(IF(O265&lt;$C$4,"Put","Call"),O265,$C$4,$C$12*SQRT($C$7))+
_xll.qlBachelierBlackFormula(IF(O265&lt;$C$4,"Put","Call"),O265-$C$14,$C$4,$C$12*SQRT($C$7)))/$C$14^2,"")</f>
        <v>19.618207232341422</v>
      </c>
      <c r="V265" s="61" t="str">
        <f>IFERROR(_xll.qlBachelierBlackFormulaImpliedVol(IF(O265&lt;$C$4,"Put","Call"),O265,$C$4,$C$7,P265),"")</f>
        <v/>
      </c>
      <c r="W265" s="61">
        <f>IFERROR(_xll.qlBachelierBlackFormulaImpliedVol(IF(O265&lt;$C$4,"Put","Call"),O265,$C$4,$C$7,Q265),"")</f>
        <v>7.6585634788526227E-3</v>
      </c>
      <c r="X265" s="61">
        <f>IFERROR(_xll.qlBachelierBlackFormulaImpliedVol(IF(O265&lt;$C$4,"Put","Call"),O265,$C$4,$C$7,R265),"")</f>
        <v>7.2020000000000209E-3</v>
      </c>
      <c r="Y265" s="96">
        <f>_xll.qlSmileSectionVolatility($C$40,O265+$C$31)</f>
        <v>7.8148606809778729E-3</v>
      </c>
    </row>
    <row r="266" spans="15:25">
      <c r="O266" s="37">
        <f t="shared" si="4"/>
        <v>1.6099999999999955E-2</v>
      </c>
      <c r="P266" s="38" t="str">
        <f>IFERROR(_xll.qlBlackFormula(IF(O266&lt;$C$4,"Put","Call"),O266,$C$4,$C$9*SQRT($C$7)),"")</f>
        <v/>
      </c>
      <c r="Q266" s="39">
        <f>IFERROR(_xll.qlBlackFormula(IF(O266&lt;$C$4,"Put","Call"),O266,$C$4,$C$10*SQRT($C$7),,$C$11),"")</f>
        <v>2.6717836447766874E-3</v>
      </c>
      <c r="R266" s="40">
        <f>IFERROR(_xll.qlBachelierBlackFormula(IF(O266&lt;$C$4,"Put","Call"),O266,$C$4,$C$12*SQRT($C$7)),"")</f>
        <v>2.343081845027998E-3</v>
      </c>
      <c r="S266" s="41" t="str">
        <f>IFERROR((_xll.qlBlackFormula(IF(O266&lt;$C$4,"Put","Call"),O266+$C$14,$C$4,$C$9*SQRT($C$7))-
2*_xll.qlBlackFormula(IF(O266&lt;$C$4,"Put","Call"),O266,$C$4,$C$9*SQRT($C$7))+
_xll.qlBlackFormula(IF(O266&lt;$C$4,"Put","Call"),O266-$C$14,$C$4,$C$9*SQRT($C$7)))/$C$14^2,"")</f>
        <v/>
      </c>
      <c r="T266" s="42">
        <f>IFERROR((_xll.qlBlackFormula(IF(O266&lt;$C$4,"Put","Call"),O266+$C$14,$C$4,$C$10*SQRT($C$7),,$C$11)-
2*_xll.qlBlackFormula(IF(O266&lt;$C$4,"Put","Call"),O266,$C$4,$C$10*SQRT($C$7),,$C$11)+
_xll.qlBlackFormula(IF(O266&lt;$C$4,"Put","Call"),O266-$C$14,$C$4,$C$10*SQRT($C$7),,$C$11))/$C$14^2,"")</f>
        <v>16.616902298594027</v>
      </c>
      <c r="U266" s="43">
        <f>IFERROR((_xll.qlBachelierBlackFormula(IF(O266&lt;$C$4,"Put","Call"),O266+$C$14,$C$4,$C$12*SQRT($C$7))-
2*_xll.qlBachelierBlackFormula(IF(O266&lt;$C$4,"Put","Call"),O266,$C$4,$C$12*SQRT($C$7))+
_xll.qlBachelierBlackFormula(IF(O266&lt;$C$4,"Put","Call"),O266-$C$14,$C$4,$C$12*SQRT($C$7)))/$C$14^2,"")</f>
        <v>19.534799125531244</v>
      </c>
      <c r="V266" s="61" t="str">
        <f>IFERROR(_xll.qlBachelierBlackFormulaImpliedVol(IF(O266&lt;$C$4,"Put","Call"),O266,$C$4,$C$7,P266),"")</f>
        <v/>
      </c>
      <c r="W266" s="61">
        <f>IFERROR(_xll.qlBachelierBlackFormulaImpliedVol(IF(O266&lt;$C$4,"Put","Call"),O266,$C$4,$C$7,Q266),"")</f>
        <v>7.6626325312283946E-3</v>
      </c>
      <c r="X266" s="61">
        <f>IFERROR(_xll.qlBachelierBlackFormulaImpliedVol(IF(O266&lt;$C$4,"Put","Call"),O266,$C$4,$C$7,R266),"")</f>
        <v>7.2020000000000695E-3</v>
      </c>
      <c r="Y266" s="96">
        <f>_xll.qlSmileSectionVolatility($C$40,O266+$C$31)</f>
        <v>7.8214729972974819E-3</v>
      </c>
    </row>
    <row r="267" spans="15:25">
      <c r="O267" s="37">
        <f t="shared" si="4"/>
        <v>1.6199999999999954E-2</v>
      </c>
      <c r="P267" s="38" t="str">
        <f>IFERROR(_xll.qlBlackFormula(IF(O267&lt;$C$4,"Put","Call"),O267,$C$4,$C$9*SQRT($C$7)),"")</f>
        <v/>
      </c>
      <c r="Q267" s="39">
        <f>IFERROR(_xll.qlBlackFormula(IF(O267&lt;$C$4,"Put","Call"),O267,$C$4,$C$10*SQRT($C$7),,$C$11),"")</f>
        <v>2.6489540555662237E-3</v>
      </c>
      <c r="R267" s="40">
        <f>IFERROR(_xll.qlBachelierBlackFormula(IF(O267&lt;$C$4,"Put","Call"),O267,$C$4,$C$12*SQRT($C$7)),"")</f>
        <v>2.3186464853227314E-3</v>
      </c>
      <c r="S267" s="41" t="str">
        <f>IFERROR((_xll.qlBlackFormula(IF(O267&lt;$C$4,"Put","Call"),O267+$C$14,$C$4,$C$9*SQRT($C$7))-
2*_xll.qlBlackFormula(IF(O267&lt;$C$4,"Put","Call"),O267,$C$4,$C$9*SQRT($C$7))+
_xll.qlBlackFormula(IF(O267&lt;$C$4,"Put","Call"),O267-$C$14,$C$4,$C$9*SQRT($C$7)))/$C$14^2,"")</f>
        <v/>
      </c>
      <c r="T267" s="42">
        <f>IFERROR((_xll.qlBlackFormula(IF(O267&lt;$C$4,"Put","Call"),O267+$C$14,$C$4,$C$10*SQRT($C$7),,$C$11)-
2*_xll.qlBlackFormula(IF(O267&lt;$C$4,"Put","Call"),O267,$C$4,$C$10*SQRT($C$7),,$C$11)+
_xll.qlBlackFormula(IF(O267&lt;$C$4,"Put","Call"),O267-$C$14,$C$4,$C$10*SQRT($C$7),,$C$11))/$C$14^2,"")</f>
        <v>16.532011870573626</v>
      </c>
      <c r="U267" s="43">
        <f>IFERROR((_xll.qlBachelierBlackFormula(IF(O267&lt;$C$4,"Put","Call"),O267+$C$14,$C$4,$C$12*SQRT($C$7))-
2*_xll.qlBachelierBlackFormula(IF(O267&lt;$C$4,"Put","Call"),O267,$C$4,$C$12*SQRT($C$7))+
_xll.qlBachelierBlackFormula(IF(O267&lt;$C$4,"Put","Call"),O267-$C$14,$C$4,$C$12*SQRT($C$7)))/$C$14^2,"")</f>
        <v>19.45099203232159</v>
      </c>
      <c r="V267" s="61" t="str">
        <f>IFERROR(_xll.qlBachelierBlackFormulaImpliedVol(IF(O267&lt;$C$4,"Put","Call"),O267,$C$4,$C$7,P267),"")</f>
        <v/>
      </c>
      <c r="W267" s="61">
        <f>IFERROR(_xll.qlBachelierBlackFormulaImpliedVol(IF(O267&lt;$C$4,"Put","Call"),O267,$C$4,$C$7,Q267),"")</f>
        <v>7.6667002012926009E-3</v>
      </c>
      <c r="X267" s="61">
        <f>IFERROR(_xll.qlBachelierBlackFormulaImpliedVol(IF(O267&lt;$C$4,"Put","Call"),O267,$C$4,$C$7,R267),"")</f>
        <v>7.2020000000001232E-3</v>
      </c>
      <c r="Y267" s="96">
        <f>_xll.qlSmileSectionVolatility($C$40,O267+$C$31)</f>
        <v>7.8281016912709247E-3</v>
      </c>
    </row>
    <row r="268" spans="15:25">
      <c r="O268" s="37">
        <f t="shared" si="4"/>
        <v>1.6299999999999953E-2</v>
      </c>
      <c r="P268" s="38" t="str">
        <f>IFERROR(_xll.qlBlackFormula(IF(O268&lt;$C$4,"Put","Call"),O268,$C$4,$C$9*SQRT($C$7)),"")</f>
        <v/>
      </c>
      <c r="Q268" s="39">
        <f>IFERROR(_xll.qlBlackFormula(IF(O268&lt;$C$4,"Put","Call"),O268,$C$4,$C$10*SQRT($C$7),,$C$11),"")</f>
        <v>2.6262897865600154E-3</v>
      </c>
      <c r="R268" s="40">
        <f>IFERROR(_xll.qlBachelierBlackFormula(IF(O268&lt;$C$4,"Put","Call"),O268,$C$4,$C$12*SQRT($C$7)),"")</f>
        <v>2.294405635218477E-3</v>
      </c>
      <c r="S268" s="41" t="str">
        <f>IFERROR((_xll.qlBlackFormula(IF(O268&lt;$C$4,"Put","Call"),O268+$C$14,$C$4,$C$9*SQRT($C$7))-
2*_xll.qlBlackFormula(IF(O268&lt;$C$4,"Put","Call"),O268,$C$4,$C$9*SQRT($C$7))+
_xll.qlBlackFormula(IF(O268&lt;$C$4,"Put","Call"),O268-$C$14,$C$4,$C$9*SQRT($C$7)))/$C$14^2,"")</f>
        <v/>
      </c>
      <c r="T268" s="42">
        <f>IFERROR((_xll.qlBlackFormula(IF(O268&lt;$C$4,"Put","Call"),O268+$C$14,$C$4,$C$10*SQRT($C$7),,$C$11)-
2*_xll.qlBlackFormula(IF(O268&lt;$C$4,"Put","Call"),O268,$C$4,$C$10*SQRT($C$7),,$C$11)+
_xll.qlBlackFormula(IF(O268&lt;$C$4,"Put","Call"),O268-$C$14,$C$4,$C$10*SQRT($C$7),,$C$11))/$C$14^2,"")</f>
        <v>16.447176953704457</v>
      </c>
      <c r="U268" s="43">
        <f>IFERROR((_xll.qlBachelierBlackFormula(IF(O268&lt;$C$4,"Put","Call"),O268+$C$14,$C$4,$C$12*SQRT($C$7))-
2*_xll.qlBachelierBlackFormula(IF(O268&lt;$C$4,"Put","Call"),O268,$C$4,$C$12*SQRT($C$7))+
_xll.qlBachelierBlackFormula(IF(O268&lt;$C$4,"Put","Call"),O268-$C$14,$C$4,$C$12*SQRT($C$7)))/$C$14^2,"")</f>
        <v>19.366798529457665</v>
      </c>
      <c r="V268" s="61" t="str">
        <f>IFERROR(_xll.qlBachelierBlackFormulaImpliedVol(IF(O268&lt;$C$4,"Put","Call"),O268,$C$4,$C$7,P268),"")</f>
        <v/>
      </c>
      <c r="W268" s="61">
        <f>IFERROR(_xll.qlBachelierBlackFormulaImpliedVol(IF(O268&lt;$C$4,"Put","Call"),O268,$C$4,$C$7,Q268),"")</f>
        <v>7.6707664911911857E-3</v>
      </c>
      <c r="X268" s="61">
        <f>IFERROR(_xll.qlBachelierBlackFormulaImpliedVol(IF(O268&lt;$C$4,"Put","Call"),O268,$C$4,$C$7,R268),"")</f>
        <v>7.2020000000001831E-3</v>
      </c>
      <c r="Y268" s="96">
        <f>_xll.qlSmileSectionVolatility($C$40,O268+$C$31)</f>
        <v>7.8347466820780434E-3</v>
      </c>
    </row>
    <row r="269" spans="15:25">
      <c r="O269" s="37">
        <f t="shared" si="4"/>
        <v>1.6399999999999953E-2</v>
      </c>
      <c r="P269" s="38" t="str">
        <f>IFERROR(_xll.qlBlackFormula(IF(O269&lt;$C$4,"Put","Call"),O269,$C$4,$C$9*SQRT($C$7)),"")</f>
        <v/>
      </c>
      <c r="Q269" s="39">
        <f>IFERROR(_xll.qlBlackFormula(IF(O269&lt;$C$4,"Put","Call"),O269,$C$4,$C$10*SQRT($C$7),,$C$11),"")</f>
        <v>2.6037899893155136E-3</v>
      </c>
      <c r="R269" s="40">
        <f>IFERROR(_xll.qlBachelierBlackFormula(IF(O269&lt;$C$4,"Put","Call"),O269,$C$4,$C$12*SQRT($C$7)),"")</f>
        <v>2.2703584527911619E-3</v>
      </c>
      <c r="S269" s="41" t="str">
        <f>IFERROR((_xll.qlBlackFormula(IF(O269&lt;$C$4,"Put","Call"),O269+$C$14,$C$4,$C$9*SQRT($C$7))-
2*_xll.qlBlackFormula(IF(O269&lt;$C$4,"Put","Call"),O269,$C$4,$C$9*SQRT($C$7))+
_xll.qlBlackFormula(IF(O269&lt;$C$4,"Put","Call"),O269-$C$14,$C$4,$C$9*SQRT($C$7)))/$C$14^2,"")</f>
        <v/>
      </c>
      <c r="T269" s="42">
        <f>IFERROR((_xll.qlBlackFormula(IF(O269&lt;$C$4,"Put","Call"),O269+$C$14,$C$4,$C$10*SQRT($C$7),,$C$11)-
2*_xll.qlBlackFormula(IF(O269&lt;$C$4,"Put","Call"),O269,$C$4,$C$10*SQRT($C$7),,$C$11)+
_xll.qlBlackFormula(IF(O269&lt;$C$4,"Put","Call"),O269-$C$14,$C$4,$C$10*SQRT($C$7),,$C$11))/$C$14^2,"")</f>
        <v>16.362359384070047</v>
      </c>
      <c r="U269" s="43">
        <f>IFERROR((_xll.qlBachelierBlackFormula(IF(O269&lt;$C$4,"Put","Call"),O269+$C$14,$C$4,$C$12*SQRT($C$7))-
2*_xll.qlBachelierBlackFormula(IF(O269&lt;$C$4,"Put","Call"),O269,$C$4,$C$12*SQRT($C$7))+
_xll.qlBachelierBlackFormula(IF(O269&lt;$C$4,"Put","Call"),O269-$C$14,$C$4,$C$12*SQRT($C$7)))/$C$14^2,"")</f>
        <v>19.282226856875972</v>
      </c>
      <c r="V269" s="61" t="str">
        <f>IFERROR(_xll.qlBachelierBlackFormulaImpliedVol(IF(O269&lt;$C$4,"Put","Call"),O269,$C$4,$C$7,P269),"")</f>
        <v/>
      </c>
      <c r="W269" s="61">
        <f>IFERROR(_xll.qlBachelierBlackFormulaImpliedVol(IF(O269&lt;$C$4,"Put","Call"),O269,$C$4,$C$7,Q269),"")</f>
        <v>7.6748314030644941E-3</v>
      </c>
      <c r="X269" s="61">
        <f>IFERROR(_xll.qlBachelierBlackFormulaImpliedVol(IF(O269&lt;$C$4,"Put","Call"),O269,$C$4,$C$7,R269),"")</f>
        <v>7.2020000000002429E-3</v>
      </c>
      <c r="Y269" s="96">
        <f>_xll.qlSmileSectionVolatility($C$40,O269+$C$31)</f>
        <v>7.8414078889582507E-3</v>
      </c>
    </row>
    <row r="270" spans="15:25">
      <c r="O270" s="37">
        <f t="shared" si="4"/>
        <v>1.6499999999999952E-2</v>
      </c>
      <c r="P270" s="38" t="str">
        <f>IFERROR(_xll.qlBlackFormula(IF(O270&lt;$C$4,"Put","Call"),O270,$C$4,$C$9*SQRT($C$7)),"")</f>
        <v/>
      </c>
      <c r="Q270" s="39">
        <f>IFERROR(_xll.qlBlackFormula(IF(O270&lt;$C$4,"Put","Call"),O270,$C$4,$C$10*SQRT($C$7),,$C$11),"")</f>
        <v>2.5814538157201139E-3</v>
      </c>
      <c r="R270" s="40">
        <f>IFERROR(_xll.qlBachelierBlackFormula(IF(O270&lt;$C$4,"Put","Call"),O270,$C$4,$C$12*SQRT($C$7)),"")</f>
        <v>2.2465040923258547E-3</v>
      </c>
      <c r="S270" s="41" t="str">
        <f>IFERROR((_xll.qlBlackFormula(IF(O270&lt;$C$4,"Put","Call"),O270+$C$14,$C$4,$C$9*SQRT($C$7))-
2*_xll.qlBlackFormula(IF(O270&lt;$C$4,"Put","Call"),O270,$C$4,$C$9*SQRT($C$7))+
_xll.qlBlackFormula(IF(O270&lt;$C$4,"Put","Call"),O270-$C$14,$C$4,$C$9*SQRT($C$7)))/$C$14^2,"")</f>
        <v/>
      </c>
      <c r="T270" s="42">
        <f>IFERROR((_xll.qlBlackFormula(IF(O270&lt;$C$4,"Put","Call"),O270+$C$14,$C$4,$C$10*SQRT($C$7),,$C$11)-
2*_xll.qlBlackFormula(IF(O270&lt;$C$4,"Put","Call"),O270,$C$4,$C$10*SQRT($C$7),,$C$11)+
_xll.qlBlackFormula(IF(O270&lt;$C$4,"Put","Call"),O270-$C$14,$C$4,$C$10*SQRT($C$7),,$C$11))/$C$14^2,"")</f>
        <v>16.27758344779906</v>
      </c>
      <c r="U270" s="43">
        <f>IFERROR((_xll.qlBachelierBlackFormula(IF(O270&lt;$C$4,"Put","Call"),O270+$C$14,$C$4,$C$12*SQRT($C$7))-
2*_xll.qlBachelierBlackFormula(IF(O270&lt;$C$4,"Put","Call"),O270,$C$4,$C$12*SQRT($C$7))+
_xll.qlBachelierBlackFormula(IF(O270&lt;$C$4,"Put","Call"),O270-$C$14,$C$4,$C$12*SQRT($C$7)))/$C$14^2,"")</f>
        <v>19.197283953470425</v>
      </c>
      <c r="V270" s="61" t="str">
        <f>IFERROR(_xll.qlBachelierBlackFormulaImpliedVol(IF(O270&lt;$C$4,"Put","Call"),O270,$C$4,$C$7,P270),"")</f>
        <v/>
      </c>
      <c r="W270" s="61">
        <f>IFERROR(_xll.qlBachelierBlackFormulaImpliedVol(IF(O270&lt;$C$4,"Put","Call"),O270,$C$4,$C$7,Q270),"")</f>
        <v>7.6788949390472604E-3</v>
      </c>
      <c r="X270" s="61">
        <f>IFERROR(_xll.qlBachelierBlackFormulaImpliedVol(IF(O270&lt;$C$4,"Put","Call"),O270,$C$4,$C$7,R270),"")</f>
        <v>7.2020000000003036E-3</v>
      </c>
      <c r="Y270" s="96">
        <f>_xll.qlSmileSectionVolatility($C$40,O270+$C$31)</f>
        <v>7.8480852312162799E-3</v>
      </c>
    </row>
    <row r="271" spans="15:25">
      <c r="O271" s="37">
        <f t="shared" si="4"/>
        <v>1.6599999999999952E-2</v>
      </c>
      <c r="P271" s="38" t="str">
        <f>IFERROR(_xll.qlBlackFormula(IF(O271&lt;$C$4,"Put","Call"),O271,$C$4,$C$9*SQRT($C$7)),"")</f>
        <v/>
      </c>
      <c r="Q271" s="39">
        <f>IFERROR(_xll.qlBlackFormula(IF(O271&lt;$C$4,"Put","Call"),O271,$C$4,$C$10*SQRT($C$7),,$C$11),"")</f>
        <v>2.5592804180444018E-3</v>
      </c>
      <c r="R271" s="40">
        <f>IFERROR(_xll.qlBachelierBlackFormula(IF(O271&lt;$C$4,"Put","Call"),O271,$C$4,$C$12*SQRT($C$7)),"")</f>
        <v>2.2228417043983887E-3</v>
      </c>
      <c r="S271" s="41" t="str">
        <f>IFERROR((_xll.qlBlackFormula(IF(O271&lt;$C$4,"Put","Call"),O271+$C$14,$C$4,$C$9*SQRT($C$7))-
2*_xll.qlBlackFormula(IF(O271&lt;$C$4,"Put","Call"),O271,$C$4,$C$9*SQRT($C$7))+
_xll.qlBlackFormula(IF(O271&lt;$C$4,"Put","Call"),O271-$C$14,$C$4,$C$9*SQRT($C$7)))/$C$14^2,"")</f>
        <v/>
      </c>
      <c r="T271" s="42">
        <f>IFERROR((_xll.qlBlackFormula(IF(O271&lt;$C$4,"Put","Call"),O271+$C$14,$C$4,$C$10*SQRT($C$7),,$C$11)-
2*_xll.qlBlackFormula(IF(O271&lt;$C$4,"Put","Call"),O271,$C$4,$C$10*SQRT($C$7),,$C$11)+
_xll.qlBlackFormula(IF(O271&lt;$C$4,"Put","Call"),O271-$C$14,$C$4,$C$10*SQRT($C$7),,$C$11))/$C$14^2,"")</f>
        <v>16.192863022679305</v>
      </c>
      <c r="U271" s="43">
        <f>IFERROR((_xll.qlBachelierBlackFormula(IF(O271&lt;$C$4,"Put","Call"),O271+$C$14,$C$4,$C$12*SQRT($C$7))-
2*_xll.qlBachelierBlackFormula(IF(O271&lt;$C$4,"Put","Call"),O271,$C$4,$C$12*SQRT($C$7))+
_xll.qlBachelierBlackFormula(IF(O271&lt;$C$4,"Put","Call"),O271-$C$14,$C$4,$C$12*SQRT($C$7)))/$C$14^2,"")</f>
        <v>19.111979793901003</v>
      </c>
      <c r="V271" s="61" t="str">
        <f>IFERROR(_xll.qlBachelierBlackFormulaImpliedVol(IF(O271&lt;$C$4,"Put","Call"),O271,$C$4,$C$7,P271),"")</f>
        <v/>
      </c>
      <c r="W271" s="61">
        <f>IFERROR(_xll.qlBachelierBlackFormulaImpliedVol(IF(O271&lt;$C$4,"Put","Call"),O271,$C$4,$C$7,Q271),"")</f>
        <v>7.6829571012685992E-3</v>
      </c>
      <c r="X271" s="61">
        <f>IFERROR(_xll.qlBachelierBlackFormulaImpliedVol(IF(O271&lt;$C$4,"Put","Call"),O271,$C$4,$C$7,R271),"")</f>
        <v>7.2020000000003592E-3</v>
      </c>
      <c r="Y271" s="96">
        <f>_xll.qlSmileSectionVolatility($C$40,O271+$C$31)</f>
        <v>7.8547786282278671E-3</v>
      </c>
    </row>
    <row r="272" spans="15:25">
      <c r="O272" s="37">
        <f>O271+0.01%</f>
        <v>1.6699999999999951E-2</v>
      </c>
      <c r="P272" s="38" t="str">
        <f>IFERROR(_xll.qlBlackFormula(IF(O272&lt;$C$4,"Put","Call"),O272,$C$4,$C$9*SQRT($C$7)),"")</f>
        <v/>
      </c>
      <c r="Q272" s="39">
        <f>IFERROR(_xll.qlBlackFormula(IF(O272&lt;$C$4,"Put","Call"),O272,$C$4,$C$10*SQRT($C$7),,$C$11),"")</f>
        <v>2.5372689489949161E-3</v>
      </c>
      <c r="R272" s="40">
        <f>IFERROR(_xll.qlBachelierBlackFormula(IF(O272&lt;$C$4,"Put","Call"),O272,$C$4,$C$12*SQRT($C$7)),"")</f>
        <v>2.1993704359570695E-3</v>
      </c>
      <c r="S272" s="41" t="str">
        <f>IFERROR((_xll.qlBlackFormula(IF(O272&lt;$C$4,"Put","Call"),O272+$C$14,$C$4,$C$9*SQRT($C$7))-
2*_xll.qlBlackFormula(IF(O272&lt;$C$4,"Put","Call"),O272,$C$4,$C$9*SQRT($C$7))+
_xll.qlBlackFormula(IF(O272&lt;$C$4,"Put","Call"),O272-$C$14,$C$4,$C$9*SQRT($C$7)))/$C$14^2,"")</f>
        <v/>
      </c>
      <c r="T272" s="42">
        <f>IFERROR((_xll.qlBlackFormula(IF(O272&lt;$C$4,"Put","Call"),O272+$C$14,$C$4,$C$10*SQRT($C$7),,$C$11)-
2*_xll.qlBlackFormula(IF(O272&lt;$C$4,"Put","Call"),O272,$C$4,$C$10*SQRT($C$7),,$C$11)+
_xll.qlBlackFormula(IF(O272&lt;$C$4,"Put","Call"),O272-$C$14,$C$4,$C$10*SQRT($C$7),,$C$11))/$C$14^2,"")</f>
        <v>16.108166883688213</v>
      </c>
      <c r="U272" s="43">
        <f>IFERROR((_xll.qlBachelierBlackFormula(IF(O272&lt;$C$4,"Put","Call"),O272+$C$14,$C$4,$C$12*SQRT($C$7))-
2*_xll.qlBachelierBlackFormula(IF(O272&lt;$C$4,"Put","Call"),O272,$C$4,$C$12*SQRT($C$7))+
_xll.qlBachelierBlackFormula(IF(O272&lt;$C$4,"Put","Call"),O272-$C$14,$C$4,$C$12*SQRT($C$7)))/$C$14^2,"")</f>
        <v>19.02631784761466</v>
      </c>
      <c r="V272" s="61" t="str">
        <f>IFERROR(_xll.qlBachelierBlackFormulaImpliedVol(IF(O272&lt;$C$4,"Put","Call"),O272,$C$4,$C$7,P272),"")</f>
        <v/>
      </c>
      <c r="W272" s="61">
        <f>IFERROR(_xll.qlBachelierBlackFormulaImpliedVol(IF(O272&lt;$C$4,"Put","Call"),O272,$C$4,$C$7,Q272),"")</f>
        <v>7.6870178918521078E-3</v>
      </c>
      <c r="X272" s="61">
        <f>IFERROR(_xll.qlBachelierBlackFormulaImpliedVol(IF(O272&lt;$C$4,"Put","Call"),O272,$C$4,$C$7,R272),"")</f>
        <v>7.2020000000004181E-3</v>
      </c>
      <c r="Y272" s="96">
        <f>_xll.qlSmileSectionVolatility($C$40,O272+$C$31)</f>
        <v>7.861487999445204E-3</v>
      </c>
    </row>
    <row r="273" spans="15:25">
      <c r="O273" s="37">
        <f t="shared" ref="O273:O336" si="5">O272+0.01%</f>
        <v>1.679999999999995E-2</v>
      </c>
      <c r="P273" s="38" t="str">
        <f>IFERROR(_xll.qlBlackFormula(IF(O273&lt;$C$4,"Put","Call"),O273,$C$4,$C$9*SQRT($C$7)),"")</f>
        <v/>
      </c>
      <c r="Q273" s="39">
        <f>IFERROR(_xll.qlBlackFormula(IF(O273&lt;$C$4,"Put","Call"),O273,$C$4,$C$10*SQRT($C$7),,$C$11),"")</f>
        <v>2.5154185617661876E-3</v>
      </c>
      <c r="R273" s="40">
        <f>IFERROR(_xll.qlBachelierBlackFormula(IF(O273&lt;$C$4,"Put","Call"),O273,$C$4,$C$12*SQRT($C$7)),"")</f>
        <v>2.1760894304044213E-3</v>
      </c>
      <c r="S273" s="41" t="str">
        <f>IFERROR((_xll.qlBlackFormula(IF(O273&lt;$C$4,"Put","Call"),O273+$C$14,$C$4,$C$9*SQRT($C$7))-
2*_xll.qlBlackFormula(IF(O273&lt;$C$4,"Put","Call"),O273,$C$4,$C$9*SQRT($C$7))+
_xll.qlBlackFormula(IF(O273&lt;$C$4,"Put","Call"),O273-$C$14,$C$4,$C$9*SQRT($C$7)))/$C$14^2,"")</f>
        <v/>
      </c>
      <c r="T273" s="42">
        <f>IFERROR((_xll.qlBlackFormula(IF(O273&lt;$C$4,"Put","Call"),O273+$C$14,$C$4,$C$10*SQRT($C$7),,$C$11)-
2*_xll.qlBlackFormula(IF(O273&lt;$C$4,"Put","Call"),O273,$C$4,$C$10*SQRT($C$7),,$C$11)+
_xll.qlBlackFormula(IF(O273&lt;$C$4,"Put","Call"),O273-$C$14,$C$4,$C$10*SQRT($C$7),,$C$11))/$C$14^2,"")</f>
        <v>16.023550541977016</v>
      </c>
      <c r="U273" s="43">
        <f>IFERROR((_xll.qlBachelierBlackFormula(IF(O273&lt;$C$4,"Put","Call"),O273+$C$14,$C$4,$C$12*SQRT($C$7))-
2*_xll.qlBachelierBlackFormula(IF(O273&lt;$C$4,"Put","Call"),O273,$C$4,$C$12*SQRT($C$7))+
_xll.qlBachelierBlackFormula(IF(O273&lt;$C$4,"Put","Call"),O273-$C$14,$C$4,$C$12*SQRT($C$7)))/$C$14^2,"")</f>
        <v>18.940311558718339</v>
      </c>
      <c r="V273" s="61" t="str">
        <f>IFERROR(_xll.qlBachelierBlackFormulaImpliedVol(IF(O273&lt;$C$4,"Put","Call"),O273,$C$4,$C$7,P273),"")</f>
        <v/>
      </c>
      <c r="W273" s="61">
        <f>IFERROR(_xll.qlBachelierBlackFormulaImpliedVol(IF(O273&lt;$C$4,"Put","Call"),O273,$C$4,$C$7,Q273),"")</f>
        <v>7.6910773129157724E-3</v>
      </c>
      <c r="X273" s="61">
        <f>IFERROR(_xll.qlBachelierBlackFormulaImpliedVol(IF(O273&lt;$C$4,"Put","Call"),O273,$C$4,$C$7,R273),"")</f>
        <v>7.2020000000004728E-3</v>
      </c>
      <c r="Y273" s="96">
        <f>_xll.qlSmileSectionVolatility($C$40,O273+$C$31)</f>
        <v>7.8682132644025092E-3</v>
      </c>
    </row>
    <row r="274" spans="15:25">
      <c r="O274" s="37">
        <f t="shared" si="5"/>
        <v>1.689999999999995E-2</v>
      </c>
      <c r="P274" s="38" t="str">
        <f>IFERROR(_xll.qlBlackFormula(IF(O274&lt;$C$4,"Put","Call"),O274,$C$4,$C$9*SQRT($C$7)),"")</f>
        <v/>
      </c>
      <c r="Q274" s="39">
        <f>IFERROR(_xll.qlBlackFormula(IF(O274&lt;$C$4,"Put","Call"),O274,$C$4,$C$10*SQRT($C$7),,$C$11),"")</f>
        <v>2.4937284100924155E-3</v>
      </c>
      <c r="R274" s="40">
        <f>IFERROR(_xll.qlBachelierBlackFormula(IF(O274&lt;$C$4,"Put","Call"),O274,$C$4,$C$12*SQRT($C$7)),"")</f>
        <v>2.1529978276789989E-3</v>
      </c>
      <c r="S274" s="41" t="str">
        <f>IFERROR((_xll.qlBlackFormula(IF(O274&lt;$C$4,"Put","Call"),O274+$C$14,$C$4,$C$9*SQRT($C$7))-
2*_xll.qlBlackFormula(IF(O274&lt;$C$4,"Put","Call"),O274,$C$4,$C$9*SQRT($C$7))+
_xll.qlBlackFormula(IF(O274&lt;$C$4,"Put","Call"),O274-$C$14,$C$4,$C$9*SQRT($C$7)))/$C$14^2,"")</f>
        <v/>
      </c>
      <c r="T274" s="42">
        <f>IFERROR((_xll.qlBlackFormula(IF(O274&lt;$C$4,"Put","Call"),O274+$C$14,$C$4,$C$10*SQRT($C$7),,$C$11)-
2*_xll.qlBlackFormula(IF(O274&lt;$C$4,"Put","Call"),O274,$C$4,$C$10*SQRT($C$7),,$C$11)+
_xll.qlBlackFormula(IF(O274&lt;$C$4,"Put","Call"),O274-$C$14,$C$4,$C$10*SQRT($C$7),,$C$11))/$C$14^2,"")</f>
        <v>15.938975833629243</v>
      </c>
      <c r="U274" s="43">
        <f>IFERROR((_xll.qlBachelierBlackFormula(IF(O274&lt;$C$4,"Put","Call"),O274+$C$14,$C$4,$C$12*SQRT($C$7))-
2*_xll.qlBachelierBlackFormula(IF(O274&lt;$C$4,"Put","Call"),O274,$C$4,$C$12*SQRT($C$7))+
_xll.qlBachelierBlackFormula(IF(O274&lt;$C$4,"Put","Call"),O274-$C$14,$C$4,$C$12*SQRT($C$7)))/$C$14^2,"")</f>
        <v>18.853965264020722</v>
      </c>
      <c r="V274" s="61" t="str">
        <f>IFERROR(_xll.qlBachelierBlackFormulaImpliedVol(IF(O274&lt;$C$4,"Put","Call"),O274,$C$4,$C$7,P274),"")</f>
        <v/>
      </c>
      <c r="W274" s="61">
        <f>IFERROR(_xll.qlBachelierBlackFormulaImpliedVol(IF(O274&lt;$C$4,"Put","Call"),O274,$C$4,$C$7,Q274),"")</f>
        <v>7.6951353665721265E-3</v>
      </c>
      <c r="X274" s="61">
        <f>IFERROR(_xll.qlBachelierBlackFormulaImpliedVol(IF(O274&lt;$C$4,"Put","Call"),O274,$C$4,$C$7,R274),"")</f>
        <v>7.2020000000005283E-3</v>
      </c>
      <c r="Y274" s="96">
        <f>_xll.qlSmileSectionVolatility($C$40,O274+$C$31)</f>
        <v>7.8749543427213253E-3</v>
      </c>
    </row>
    <row r="275" spans="15:25">
      <c r="O275" s="37">
        <f t="shared" si="5"/>
        <v>1.6999999999999949E-2</v>
      </c>
      <c r="P275" s="38" t="str">
        <f>IFERROR(_xll.qlBlackFormula(IF(O275&lt;$C$4,"Put","Call"),O275,$C$4,$C$9*SQRT($C$7)),"")</f>
        <v/>
      </c>
      <c r="Q275" s="39">
        <f>IFERROR(_xll.qlBlackFormula(IF(O275&lt;$C$4,"Put","Call"),O275,$C$4,$C$10*SQRT($C$7),,$C$11),"")</f>
        <v>2.4721976482983687E-3</v>
      </c>
      <c r="R275" s="40">
        <f>IFERROR(_xll.qlBachelierBlackFormula(IF(O275&lt;$C$4,"Put","Call"),O275,$C$4,$C$12*SQRT($C$7)),"")</f>
        <v>2.1300947643372128E-3</v>
      </c>
      <c r="S275" s="41" t="str">
        <f>IFERROR((_xll.qlBlackFormula(IF(O275&lt;$C$4,"Put","Call"),O275+$C$14,$C$4,$C$9*SQRT($C$7))-
2*_xll.qlBlackFormula(IF(O275&lt;$C$4,"Put","Call"),O275,$C$4,$C$9*SQRT($C$7))+
_xll.qlBlackFormula(IF(O275&lt;$C$4,"Put","Call"),O275-$C$14,$C$4,$C$9*SQRT($C$7)))/$C$14^2,"")</f>
        <v/>
      </c>
      <c r="T275" s="42">
        <f>IFERROR((_xll.qlBlackFormula(IF(O275&lt;$C$4,"Put","Call"),O275+$C$14,$C$4,$C$10*SQRT($C$7),,$C$11)-
2*_xll.qlBlackFormula(IF(O275&lt;$C$4,"Put","Call"),O275,$C$4,$C$10*SQRT($C$7),,$C$11)+
_xll.qlBlackFormula(IF(O275&lt;$C$4,"Put","Call"),O275-$C$14,$C$4,$C$10*SQRT($C$7),,$C$11))/$C$14^2,"")</f>
        <v>15.854480922561365</v>
      </c>
      <c r="U275" s="43">
        <f>IFERROR((_xll.qlBachelierBlackFormula(IF(O275&lt;$C$4,"Put","Call"),O275+$C$14,$C$4,$C$12*SQRT($C$7))-
2*_xll.qlBachelierBlackFormula(IF(O275&lt;$C$4,"Put","Call"),O275,$C$4,$C$12*SQRT($C$7))+
_xll.qlBachelierBlackFormula(IF(O275&lt;$C$4,"Put","Call"),O275-$C$14,$C$4,$C$12*SQRT($C$7)))/$C$14^2,"")</f>
        <v>18.767292407628755</v>
      </c>
      <c r="V275" s="61" t="str">
        <f>IFERROR(_xll.qlBachelierBlackFormulaImpliedVol(IF(O275&lt;$C$4,"Put","Call"),O275,$C$4,$C$7,P275),"")</f>
        <v/>
      </c>
      <c r="W275" s="61">
        <f>IFERROR(_xll.qlBachelierBlackFormulaImpliedVol(IF(O275&lt;$C$4,"Put","Call"),O275,$C$4,$C$7,Q275),"")</f>
        <v>7.6991920549281416E-3</v>
      </c>
      <c r="X275" s="61">
        <f>IFERROR(_xll.qlBachelierBlackFormulaImpliedVol(IF(O275&lt;$C$4,"Put","Call"),O275,$C$4,$C$7,R275),"")</f>
        <v>7.2020000000005786E-3</v>
      </c>
      <c r="Y275" s="96">
        <f>_xll.qlSmileSectionVolatility($C$40,O275+$C$31)</f>
        <v>7.881711154115895E-3</v>
      </c>
    </row>
    <row r="276" spans="15:25">
      <c r="O276" s="37">
        <f t="shared" si="5"/>
        <v>1.7099999999999949E-2</v>
      </c>
      <c r="P276" s="38" t="str">
        <f>IFERROR(_xll.qlBlackFormula(IF(O276&lt;$C$4,"Put","Call"),O276,$C$4,$C$9*SQRT($C$7)),"")</f>
        <v/>
      </c>
      <c r="Q276" s="39">
        <f>IFERROR(_xll.qlBlackFormula(IF(O276&lt;$C$4,"Put","Call"),O276,$C$4,$C$10*SQRT($C$7),,$C$11),"")</f>
        <v>2.4508254313498797E-3</v>
      </c>
      <c r="R276" s="40">
        <f>IFERROR(_xll.qlBachelierBlackFormula(IF(O276&lt;$C$4,"Put","Call"),O276,$C$4,$C$12*SQRT($C$7)),"")</f>
        <v>2.107379373635187E-3</v>
      </c>
      <c r="S276" s="41" t="str">
        <f>IFERROR((_xll.qlBlackFormula(IF(O276&lt;$C$4,"Put","Call"),O276+$C$14,$C$4,$C$9*SQRT($C$7))-
2*_xll.qlBlackFormula(IF(O276&lt;$C$4,"Put","Call"),O276,$C$4,$C$9*SQRT($C$7))+
_xll.qlBlackFormula(IF(O276&lt;$C$4,"Put","Call"),O276-$C$14,$C$4,$C$9*SQRT($C$7)))/$C$14^2,"")</f>
        <v/>
      </c>
      <c r="T276" s="42">
        <f>IFERROR((_xll.qlBlackFormula(IF(O276&lt;$C$4,"Put","Call"),O276+$C$14,$C$4,$C$10*SQRT($C$7),,$C$11)-
2*_xll.qlBlackFormula(IF(O276&lt;$C$4,"Put","Call"),O276,$C$4,$C$10*SQRT($C$7),,$C$11)+
_xll.qlBlackFormula(IF(O276&lt;$C$4,"Put","Call"),O276-$C$14,$C$4,$C$10*SQRT($C$7),,$C$11))/$C$14^2,"")</f>
        <v>15.77004499209167</v>
      </c>
      <c r="U276" s="43">
        <f>IFERROR((_xll.qlBachelierBlackFormula(IF(O276&lt;$C$4,"Put","Call"),O276+$C$14,$C$4,$C$12*SQRT($C$7))-
2*_xll.qlBachelierBlackFormula(IF(O276&lt;$C$4,"Put","Call"),O276,$C$4,$C$12*SQRT($C$7))+
_xll.qlBachelierBlackFormula(IF(O276&lt;$C$4,"Put","Call"),O276-$C$14,$C$4,$C$12*SQRT($C$7)))/$C$14^2,"")</f>
        <v>18.680294724265913</v>
      </c>
      <c r="V276" s="61" t="str">
        <f>IFERROR(_xll.qlBachelierBlackFormulaImpliedVol(IF(O276&lt;$C$4,"Put","Call"),O276,$C$4,$C$7,P276),"")</f>
        <v/>
      </c>
      <c r="W276" s="61">
        <f>IFERROR(_xll.qlBachelierBlackFormulaImpliedVol(IF(O276&lt;$C$4,"Put","Call"),O276,$C$4,$C$7,Q276),"")</f>
        <v>7.7032473800853025E-3</v>
      </c>
      <c r="X276" s="61">
        <f>IFERROR(_xll.qlBachelierBlackFormulaImpliedVol(IF(O276&lt;$C$4,"Put","Call"),O276,$C$4,$C$7,R276),"")</f>
        <v>7.2020000000006254E-3</v>
      </c>
      <c r="Y276" s="96">
        <f>_xll.qlSmileSectionVolatility($C$40,O276+$C$31)</f>
        <v>7.888483618398362E-3</v>
      </c>
    </row>
    <row r="277" spans="15:25">
      <c r="O277" s="37">
        <f t="shared" si="5"/>
        <v>1.7199999999999948E-2</v>
      </c>
      <c r="P277" s="38" t="str">
        <f>IFERROR(_xll.qlBlackFormula(IF(O277&lt;$C$4,"Put","Call"),O277,$C$4,$C$9*SQRT($C$7)),"")</f>
        <v/>
      </c>
      <c r="Q277" s="39">
        <f>IFERROR(_xll.qlBlackFormula(IF(O277&lt;$C$4,"Put","Call"),O277,$C$4,$C$10*SQRT($C$7),,$C$11),"")</f>
        <v>2.429610914903714E-3</v>
      </c>
      <c r="R277" s="40">
        <f>IFERROR(_xll.qlBachelierBlackFormula(IF(O277&lt;$C$4,"Put","Call"),O277,$C$4,$C$12*SQRT($C$7)),"")</f>
        <v>2.0848507856106083E-3</v>
      </c>
      <c r="S277" s="41" t="str">
        <f>IFERROR((_xll.qlBlackFormula(IF(O277&lt;$C$4,"Put","Call"),O277+$C$14,$C$4,$C$9*SQRT($C$7))-
2*_xll.qlBlackFormula(IF(O277&lt;$C$4,"Put","Call"),O277,$C$4,$C$9*SQRT($C$7))+
_xll.qlBlackFormula(IF(O277&lt;$C$4,"Put","Call"),O277-$C$14,$C$4,$C$9*SQRT($C$7)))/$C$14^2,"")</f>
        <v/>
      </c>
      <c r="T277" s="42">
        <f>IFERROR((_xll.qlBlackFormula(IF(O277&lt;$C$4,"Put","Call"),O277+$C$14,$C$4,$C$10*SQRT($C$7),,$C$11)-
2*_xll.qlBlackFormula(IF(O277&lt;$C$4,"Put","Call"),O277,$C$4,$C$10*SQRT($C$7),,$C$11)+
_xll.qlBlackFormula(IF(O277&lt;$C$4,"Put","Call"),O277-$C$14,$C$4,$C$10*SQRT($C$7),,$C$11))/$C$14^2,"")</f>
        <v>15.685699267242725</v>
      </c>
      <c r="U277" s="43">
        <f>IFERROR((_xll.qlBachelierBlackFormula(IF(O277&lt;$C$4,"Put","Call"),O277+$C$14,$C$4,$C$12*SQRT($C$7))-
2*_xll.qlBachelierBlackFormula(IF(O277&lt;$C$4,"Put","Call"),O277,$C$4,$C$12*SQRT($C$7))+
_xll.qlBachelierBlackFormula(IF(O277&lt;$C$4,"Put","Call"),O277-$C$14,$C$4,$C$12*SQRT($C$7)))/$C$14^2,"")</f>
        <v>18.592983923315654</v>
      </c>
      <c r="V277" s="61" t="str">
        <f>IFERROR(_xll.qlBachelierBlackFormulaImpliedVol(IF(O277&lt;$C$4,"Put","Call"),O277,$C$4,$C$7,P277),"")</f>
        <v/>
      </c>
      <c r="W277" s="61">
        <f>IFERROR(_xll.qlBachelierBlackFormulaImpliedVol(IF(O277&lt;$C$4,"Put","Call"),O277,$C$4,$C$7,Q277),"")</f>
        <v>7.7073013441396488E-3</v>
      </c>
      <c r="X277" s="61">
        <f>IFERROR(_xll.qlBachelierBlackFormulaImpliedVol(IF(O277&lt;$C$4,"Put","Call"),O277,$C$4,$C$7,R277),"")</f>
        <v>7.2020000000006731E-3</v>
      </c>
      <c r="Y277" s="96">
        <f>_xll.qlSmileSectionVolatility($C$40,O277+$C$31)</f>
        <v>7.8952716554838726E-3</v>
      </c>
    </row>
    <row r="278" spans="15:25">
      <c r="O278" s="37">
        <f t="shared" si="5"/>
        <v>1.7299999999999947E-2</v>
      </c>
      <c r="P278" s="38" t="str">
        <f>IFERROR(_xll.qlBlackFormula(IF(O278&lt;$C$4,"Put","Call"),O278,$C$4,$C$9*SQRT($C$7)),"")</f>
        <v/>
      </c>
      <c r="Q278" s="39">
        <f>IFERROR(_xll.qlBlackFormula(IF(O278&lt;$C$4,"Put","Call"),O278,$C$4,$C$10*SQRT($C$7),,$C$11),"")</f>
        <v>2.4085532553568788E-3</v>
      </c>
      <c r="R278" s="40">
        <f>IFERROR(_xll.qlBachelierBlackFormula(IF(O278&lt;$C$4,"Put","Call"),O278,$C$4,$C$12*SQRT($C$7)),"")</f>
        <v>2.0625081271645881E-3</v>
      </c>
      <c r="S278" s="41" t="str">
        <f>IFERROR((_xll.qlBlackFormula(IF(O278&lt;$C$4,"Put","Call"),O278+$C$14,$C$4,$C$9*SQRT($C$7))-
2*_xll.qlBlackFormula(IF(O278&lt;$C$4,"Put","Call"),O278,$C$4,$C$9*SQRT($C$7))+
_xll.qlBlackFormula(IF(O278&lt;$C$4,"Put","Call"),O278-$C$14,$C$4,$C$9*SQRT($C$7)))/$C$14^2,"")</f>
        <v/>
      </c>
      <c r="T278" s="42">
        <f>IFERROR((_xll.qlBlackFormula(IF(O278&lt;$C$4,"Put","Call"),O278+$C$14,$C$4,$C$10*SQRT($C$7),,$C$11)-
2*_xll.qlBlackFormula(IF(O278&lt;$C$4,"Put","Call"),O278,$C$4,$C$10*SQRT($C$7),,$C$11)+
_xll.qlBlackFormula(IF(O278&lt;$C$4,"Put","Call"),O278-$C$14,$C$4,$C$10*SQRT($C$7),,$C$11))/$C$14^2,"")</f>
        <v>15.601412522991964</v>
      </c>
      <c r="U278" s="43">
        <f>IFERROR((_xll.qlBachelierBlackFormula(IF(O278&lt;$C$4,"Put","Call"),O278+$C$14,$C$4,$C$12*SQRT($C$7))-
2*_xll.qlBachelierBlackFormula(IF(O278&lt;$C$4,"Put","Call"),O278,$C$4,$C$12*SQRT($C$7))+
_xll.qlBachelierBlackFormula(IF(O278&lt;$C$4,"Put","Call"),O278-$C$14,$C$4,$C$12*SQRT($C$7)))/$C$14^2,"")</f>
        <v>18.505366509991017</v>
      </c>
      <c r="V278" s="61" t="str">
        <f>IFERROR(_xll.qlBachelierBlackFormulaImpliedVol(IF(O278&lt;$C$4,"Put","Call"),O278,$C$4,$C$7,P278),"")</f>
        <v/>
      </c>
      <c r="W278" s="61">
        <f>IFERROR(_xll.qlBachelierBlackFormulaImpliedVol(IF(O278&lt;$C$4,"Put","Call"),O278,$C$4,$C$7,Q278),"")</f>
        <v>7.7113539491817824E-3</v>
      </c>
      <c r="X278" s="61">
        <f>IFERROR(_xll.qlBachelierBlackFormulaImpliedVol(IF(O278&lt;$C$4,"Put","Call"),O278,$C$4,$C$7,R278),"")</f>
        <v>7.2020000000007096E-3</v>
      </c>
      <c r="Y278" s="96">
        <f>_xll.qlSmileSectionVolatility($C$40,O278+$C$31)</f>
        <v>7.9020751853955806E-3</v>
      </c>
    </row>
    <row r="279" spans="15:25">
      <c r="O279" s="37">
        <f t="shared" si="5"/>
        <v>1.7399999999999947E-2</v>
      </c>
      <c r="P279" s="38" t="str">
        <f>IFERROR(_xll.qlBlackFormula(IF(O279&lt;$C$4,"Put","Call"),O279,$C$4,$C$9*SQRT($C$7)),"")</f>
        <v/>
      </c>
      <c r="Q279" s="39">
        <f>IFERROR(_xll.qlBlackFormula(IF(O279&lt;$C$4,"Put","Call"),O279,$C$4,$C$10*SQRT($C$7),,$C$11),"")</f>
        <v>2.3876516098953263E-3</v>
      </c>
      <c r="R279" s="40">
        <f>IFERROR(_xll.qlBachelierBlackFormula(IF(O279&lt;$C$4,"Put","Call"),O279,$C$4,$C$12*SQRT($C$7)),"")</f>
        <v>2.0403505221434849E-3</v>
      </c>
      <c r="S279" s="41" t="str">
        <f>IFERROR((_xll.qlBlackFormula(IF(O279&lt;$C$4,"Put","Call"),O279+$C$14,$C$4,$C$9*SQRT($C$7))-
2*_xll.qlBlackFormula(IF(O279&lt;$C$4,"Put","Call"),O279,$C$4,$C$9*SQRT($C$7))+
_xll.qlBlackFormula(IF(O279&lt;$C$4,"Put","Call"),O279-$C$14,$C$4,$C$9*SQRT($C$7)))/$C$14^2,"")</f>
        <v/>
      </c>
      <c r="T279" s="42">
        <f>IFERROR((_xll.qlBlackFormula(IF(O279&lt;$C$4,"Put","Call"),O279+$C$14,$C$4,$C$10*SQRT($C$7),,$C$11)-
2*_xll.qlBlackFormula(IF(O279&lt;$C$4,"Put","Call"),O279,$C$4,$C$10*SQRT($C$7),,$C$11)+
_xll.qlBlackFormula(IF(O279&lt;$C$4,"Put","Call"),O279-$C$14,$C$4,$C$10*SQRT($C$7),,$C$11))/$C$14^2,"")</f>
        <v>15.51720904546805</v>
      </c>
      <c r="U279" s="43">
        <f>IFERROR((_xll.qlBachelierBlackFormula(IF(O279&lt;$C$4,"Put","Call"),O279+$C$14,$C$4,$C$12*SQRT($C$7))-
2*_xll.qlBachelierBlackFormula(IF(O279&lt;$C$4,"Put","Call"),O279,$C$4,$C$12*SQRT($C$7))+
_xll.qlBachelierBlackFormula(IF(O279&lt;$C$4,"Put","Call"),O279-$C$14,$C$4,$C$12*SQRT($C$7)))/$C$14^2,"")</f>
        <v>18.417455494718073</v>
      </c>
      <c r="V279" s="61" t="str">
        <f>IFERROR(_xll.qlBachelierBlackFormulaImpliedVol(IF(O279&lt;$C$4,"Put","Call"),O279,$C$4,$C$7,P279),"")</f>
        <v/>
      </c>
      <c r="W279" s="61">
        <f>IFERROR(_xll.qlBachelierBlackFormulaImpliedVol(IF(O279&lt;$C$4,"Put","Call"),O279,$C$4,$C$7,Q279),"")</f>
        <v>7.7154051972968462E-3</v>
      </c>
      <c r="X279" s="61">
        <f>IFERROR(_xll.qlBachelierBlackFormulaImpliedVol(IF(O279&lt;$C$4,"Put","Call"),O279,$C$4,$C$7,R279),"")</f>
        <v>7.2020000000007399E-3</v>
      </c>
      <c r="Y279" s="96">
        <f>_xll.qlSmileSectionVolatility($C$40,O279+$C$31)</f>
        <v>7.9088941282697434E-3</v>
      </c>
    </row>
    <row r="280" spans="15:25">
      <c r="O280" s="37">
        <f t="shared" si="5"/>
        <v>1.7499999999999946E-2</v>
      </c>
      <c r="P280" s="38" t="str">
        <f>IFERROR(_xll.qlBlackFormula(IF(O280&lt;$C$4,"Put","Call"),O280,$C$4,$C$9*SQRT($C$7)),"")</f>
        <v/>
      </c>
      <c r="Q280" s="39">
        <f>IFERROR(_xll.qlBlackFormula(IF(O280&lt;$C$4,"Put","Call"),O280,$C$4,$C$10*SQRT($C$7),,$C$11),"")</f>
        <v>2.3669051365421759E-3</v>
      </c>
      <c r="R280" s="40">
        <f>IFERROR(_xll.qlBachelierBlackFormula(IF(O280&lt;$C$4,"Put","Call"),O280,$C$4,$C$12*SQRT($C$7)),"")</f>
        <v>2.0183770914207148E-3</v>
      </c>
      <c r="S280" s="41" t="str">
        <f>IFERROR((_xll.qlBlackFormula(IF(O280&lt;$C$4,"Put","Call"),O280+$C$14,$C$4,$C$9*SQRT($C$7))-
2*_xll.qlBlackFormula(IF(O280&lt;$C$4,"Put","Call"),O280,$C$4,$C$9*SQRT($C$7))+
_xll.qlBlackFormula(IF(O280&lt;$C$4,"Put","Call"),O280-$C$14,$C$4,$C$9*SQRT($C$7)))/$C$14^2,"")</f>
        <v/>
      </c>
      <c r="T280" s="42">
        <f>IFERROR((_xll.qlBlackFormula(IF(O280&lt;$C$4,"Put","Call"),O280+$C$14,$C$4,$C$10*SQRT($C$7),,$C$11)-
2*_xll.qlBlackFormula(IF(O280&lt;$C$4,"Put","Call"),O280,$C$4,$C$10*SQRT($C$7),,$C$11)+
_xll.qlBlackFormula(IF(O280&lt;$C$4,"Put","Call"),O280-$C$14,$C$4,$C$10*SQRT($C$7),,$C$11))/$C$14^2,"")</f>
        <v>15.433085365224031</v>
      </c>
      <c r="U280" s="43">
        <f>IFERROR((_xll.qlBachelierBlackFormula(IF(O280&lt;$C$4,"Put","Call"),O280+$C$14,$C$4,$C$12*SQRT($C$7))-
2*_xll.qlBachelierBlackFormula(IF(O280&lt;$C$4,"Put","Call"),O280,$C$4,$C$12*SQRT($C$7))+
_xll.qlBachelierBlackFormula(IF(O280&lt;$C$4,"Put","Call"),O280-$C$14,$C$4,$C$12*SQRT($C$7)))/$C$14^2,"")</f>
        <v>18.329253479582032</v>
      </c>
      <c r="V280" s="61" t="str">
        <f>IFERROR(_xll.qlBachelierBlackFormulaImpliedVol(IF(O280&lt;$C$4,"Put","Call"),O280,$C$4,$C$7,P280),"")</f>
        <v/>
      </c>
      <c r="W280" s="61">
        <f>IFERROR(_xll.qlBachelierBlackFormulaImpliedVol(IF(O280&lt;$C$4,"Put","Call"),O280,$C$4,$C$7,Q280),"")</f>
        <v>7.7194550905645845E-3</v>
      </c>
      <c r="X280" s="61">
        <f>IFERROR(_xll.qlBachelierBlackFormulaImpliedVol(IF(O280&lt;$C$4,"Put","Call"),O280,$C$4,$C$7,R280),"")</f>
        <v>7.202000000000772E-3</v>
      </c>
      <c r="Y280" s="96">
        <f>_xll.qlSmileSectionVolatility($C$40,O280+$C$31)</f>
        <v>7.9157284043604829E-3</v>
      </c>
    </row>
    <row r="281" spans="15:25">
      <c r="O281" s="37">
        <f t="shared" si="5"/>
        <v>1.7599999999999946E-2</v>
      </c>
      <c r="P281" s="38" t="str">
        <f>IFERROR(_xll.qlBlackFormula(IF(O281&lt;$C$4,"Put","Call"),O281,$C$4,$C$9*SQRT($C$7)),"")</f>
        <v/>
      </c>
      <c r="Q281" s="39">
        <f>IFERROR(_xll.qlBlackFormula(IF(O281&lt;$C$4,"Put","Call"),O281,$C$4,$C$10*SQRT($C$7),,$C$11),"")</f>
        <v>2.3463129942052942E-3</v>
      </c>
      <c r="R281" s="40">
        <f>IFERROR(_xll.qlBachelierBlackFormula(IF(O281&lt;$C$4,"Put","Call"),O281,$C$4,$C$12*SQRT($C$7)),"")</f>
        <v>1.9965869529784998E-3</v>
      </c>
      <c r="S281" s="41" t="str">
        <f>IFERROR((_xll.qlBlackFormula(IF(O281&lt;$C$4,"Put","Call"),O281+$C$14,$C$4,$C$9*SQRT($C$7))-
2*_xll.qlBlackFormula(IF(O281&lt;$C$4,"Put","Call"),O281,$C$4,$C$9*SQRT($C$7))+
_xll.qlBlackFormula(IF(O281&lt;$C$4,"Put","Call"),O281-$C$14,$C$4,$C$9*SQRT($C$7)))/$C$14^2,"")</f>
        <v/>
      </c>
      <c r="T281" s="42">
        <f>IFERROR((_xll.qlBlackFormula(IF(O281&lt;$C$4,"Put","Call"),O281+$C$14,$C$4,$C$10*SQRT($C$7),,$C$11)-
2*_xll.qlBlackFormula(IF(O281&lt;$C$4,"Put","Call"),O281,$C$4,$C$10*SQRT($C$7),,$C$11)+
_xll.qlBlackFormula(IF(O281&lt;$C$4,"Put","Call"),O281-$C$14,$C$4,$C$10*SQRT($C$7),,$C$11))/$C$14^2,"")</f>
        <v>15.349079646176378</v>
      </c>
      <c r="U281" s="43">
        <f>IFERROR((_xll.qlBachelierBlackFormula(IF(O281&lt;$C$4,"Put","Call"),O281+$C$14,$C$4,$C$12*SQRT($C$7))-
2*_xll.qlBachelierBlackFormula(IF(O281&lt;$C$4,"Put","Call"),O281,$C$4,$C$12*SQRT($C$7))+
_xll.qlBachelierBlackFormula(IF(O281&lt;$C$4,"Put","Call"),O281-$C$14,$C$4,$C$12*SQRT($C$7)))/$C$14^2,"")</f>
        <v>18.240767403476799</v>
      </c>
      <c r="V281" s="61" t="str">
        <f>IFERROR(_xll.qlBachelierBlackFormulaImpliedVol(IF(O281&lt;$C$4,"Put","Call"),O281,$C$4,$C$7,P281),"")</f>
        <v/>
      </c>
      <c r="W281" s="61">
        <f>IFERROR(_xll.qlBachelierBlackFormulaImpliedVol(IF(O281&lt;$C$4,"Put","Call"),O281,$C$4,$C$7,Q281),"")</f>
        <v>7.7235036310593537E-3</v>
      </c>
      <c r="X281" s="61">
        <f>IFERROR(_xll.qlBachelierBlackFormulaImpliedVol(IF(O281&lt;$C$4,"Put","Call"),O281,$C$4,$C$7,R281),"")</f>
        <v>7.2020000000007954E-3</v>
      </c>
      <c r="Y281" s="96">
        <f>_xll.qlSmileSectionVolatility($C$40,O281+$C$31)</f>
        <v>7.9225779340446039E-3</v>
      </c>
    </row>
    <row r="282" spans="15:25">
      <c r="O282" s="37">
        <f t="shared" si="5"/>
        <v>1.7699999999999945E-2</v>
      </c>
      <c r="P282" s="38" t="str">
        <f>IFERROR(_xll.qlBlackFormula(IF(O282&lt;$C$4,"Put","Call"),O282,$C$4,$C$9*SQRT($C$7)),"")</f>
        <v/>
      </c>
      <c r="Q282" s="39">
        <f>IFERROR(_xll.qlBlackFormula(IF(O282&lt;$C$4,"Put","Call"),O282,$C$4,$C$10*SQRT($C$7),,$C$11),"")</f>
        <v>2.3258743427243579E-3</v>
      </c>
      <c r="R282" s="40">
        <f>IFERROR(_xll.qlBachelierBlackFormula(IF(O282&lt;$C$4,"Put","Call"),O282,$C$4,$C$12*SQRT($C$7)),"")</f>
        <v>1.9749792219895712E-3</v>
      </c>
      <c r="S282" s="41" t="str">
        <f>IFERROR((_xll.qlBlackFormula(IF(O282&lt;$C$4,"Put","Call"),O282+$C$14,$C$4,$C$9*SQRT($C$7))-
2*_xll.qlBlackFormula(IF(O282&lt;$C$4,"Put","Call"),O282,$C$4,$C$9*SQRT($C$7))+
_xll.qlBlackFormula(IF(O282&lt;$C$4,"Put","Call"),O282-$C$14,$C$4,$C$9*SQRT($C$7)))/$C$14^2,"")</f>
        <v/>
      </c>
      <c r="T282" s="42">
        <f>IFERROR((_xll.qlBlackFormula(IF(O282&lt;$C$4,"Put","Call"),O282+$C$14,$C$4,$C$10*SQRT($C$7),,$C$11)-
2*_xll.qlBlackFormula(IF(O282&lt;$C$4,"Put","Call"),O282,$C$4,$C$10*SQRT($C$7),,$C$11)+
_xll.qlBlackFormula(IF(O282&lt;$C$4,"Put","Call"),O282-$C$14,$C$4,$C$10*SQRT($C$7),,$C$11))/$C$14^2,"")</f>
        <v>15.265160663302524</v>
      </c>
      <c r="U282" s="43">
        <f>IFERROR((_xll.qlBachelierBlackFormula(IF(O282&lt;$C$4,"Put","Call"),O282+$C$14,$C$4,$C$12*SQRT($C$7))-
2*_xll.qlBachelierBlackFormula(IF(O282&lt;$C$4,"Put","Call"),O282,$C$4,$C$12*SQRT($C$7))+
_xll.qlBachelierBlackFormula(IF(O282&lt;$C$4,"Put","Call"),O282-$C$14,$C$4,$C$12*SQRT($C$7)))/$C$14^2,"")</f>
        <v>18.15201331259453</v>
      </c>
      <c r="V282" s="61" t="str">
        <f>IFERROR(_xll.qlBachelierBlackFormulaImpliedVol(IF(O282&lt;$C$4,"Put","Call"),O282,$C$4,$C$7,P282),"")</f>
        <v/>
      </c>
      <c r="W282" s="61">
        <f>IFERROR(_xll.qlBachelierBlackFormulaImpliedVol(IF(O282&lt;$C$4,"Put","Call"),O282,$C$4,$C$7,Q282),"")</f>
        <v>7.7275508208501514E-3</v>
      </c>
      <c r="X282" s="61">
        <f>IFERROR(_xll.qlBachelierBlackFormulaImpliedVol(IF(O282&lt;$C$4,"Put","Call"),O282,$C$4,$C$7,R282),"")</f>
        <v>7.202000000000805E-3</v>
      </c>
      <c r="Y282" s="96">
        <f>_xll.qlSmileSectionVolatility($C$40,O282+$C$31)</f>
        <v>7.9294426378263352E-3</v>
      </c>
    </row>
    <row r="283" spans="15:25">
      <c r="O283" s="37">
        <f t="shared" si="5"/>
        <v>1.7799999999999944E-2</v>
      </c>
      <c r="P283" s="38" t="str">
        <f>IFERROR(_xll.qlBlackFormula(IF(O283&lt;$C$4,"Put","Call"),O283,$C$4,$C$9*SQRT($C$7)),"")</f>
        <v/>
      </c>
      <c r="Q283" s="39">
        <f>IFERROR(_xll.qlBlackFormula(IF(O283&lt;$C$4,"Put","Call"),O283,$C$4,$C$10*SQRT($C$7),,$C$11),"")</f>
        <v>2.3055883429173273E-3</v>
      </c>
      <c r="R283" s="40">
        <f>IFERROR(_xll.qlBachelierBlackFormula(IF(O283&lt;$C$4,"Put","Call"),O283,$C$4,$C$12*SQRT($C$7)),"")</f>
        <v>1.9535530108988064E-3</v>
      </c>
      <c r="S283" s="41" t="str">
        <f>IFERROR((_xll.qlBlackFormula(IF(O283&lt;$C$4,"Put","Call"),O283+$C$14,$C$4,$C$9*SQRT($C$7))-
2*_xll.qlBlackFormula(IF(O283&lt;$C$4,"Put","Call"),O283,$C$4,$C$9*SQRT($C$7))+
_xll.qlBlackFormula(IF(O283&lt;$C$4,"Put","Call"),O283-$C$14,$C$4,$C$9*SQRT($C$7)))/$C$14^2,"")</f>
        <v/>
      </c>
      <c r="T283" s="42">
        <f>IFERROR((_xll.qlBlackFormula(IF(O283&lt;$C$4,"Put","Call"),O283+$C$14,$C$4,$C$10*SQRT($C$7),,$C$11)-
2*_xll.qlBlackFormula(IF(O283&lt;$C$4,"Put","Call"),O283,$C$4,$C$10*SQRT($C$7),,$C$11)+
_xll.qlBlackFormula(IF(O283&lt;$C$4,"Put","Call"),O283-$C$14,$C$4,$C$10*SQRT($C$7),,$C$11))/$C$14^2,"")</f>
        <v>15.181338824943325</v>
      </c>
      <c r="U283" s="43">
        <f>IFERROR((_xll.qlBachelierBlackFormula(IF(O283&lt;$C$4,"Put","Call"),O283+$C$14,$C$4,$C$12*SQRT($C$7))-
2*_xll.qlBachelierBlackFormula(IF(O283&lt;$C$4,"Put","Call"),O283,$C$4,$C$12*SQRT($C$7))+
_xll.qlBachelierBlackFormula(IF(O283&lt;$C$4,"Put","Call"),O283-$C$14,$C$4,$C$12*SQRT($C$7)))/$C$14^2,"")</f>
        <v>18.062992941658695</v>
      </c>
      <c r="V283" s="61" t="str">
        <f>IFERROR(_xll.qlBachelierBlackFormulaImpliedVol(IF(O283&lt;$C$4,"Put","Call"),O283,$C$4,$C$7,P283),"")</f>
        <v/>
      </c>
      <c r="W283" s="61">
        <f>IFERROR(_xll.qlBachelierBlackFormulaImpliedVol(IF(O283&lt;$C$4,"Put","Call"),O283,$C$4,$C$7,Q283),"")</f>
        <v>7.7315966620006404E-3</v>
      </c>
      <c r="X283" s="61">
        <f>IFERROR(_xll.qlBachelierBlackFormulaImpliedVol(IF(O283&lt;$C$4,"Put","Call"),O283,$C$4,$C$7,R283),"")</f>
        <v>7.2020000000008137E-3</v>
      </c>
      <c r="Y283" s="96">
        <f>_xll.qlSmileSectionVolatility($C$40,O283+$C$31)</f>
        <v>7.9363224363419409E-3</v>
      </c>
    </row>
    <row r="284" spans="15:25">
      <c r="O284" s="37">
        <f t="shared" si="5"/>
        <v>1.7899999999999944E-2</v>
      </c>
      <c r="P284" s="38" t="str">
        <f>IFERROR(_xll.qlBlackFormula(IF(O284&lt;$C$4,"Put","Call"),O284,$C$4,$C$9*SQRT($C$7)),"")</f>
        <v/>
      </c>
      <c r="Q284" s="39">
        <f>IFERROR(_xll.qlBlackFormula(IF(O284&lt;$C$4,"Put","Call"),O284,$C$4,$C$10*SQRT($C$7),,$C$11),"")</f>
        <v>2.2854541566263258E-3</v>
      </c>
      <c r="R284" s="40">
        <f>IFERROR(_xll.qlBachelierBlackFormula(IF(O284&lt;$C$4,"Put","Call"),O284,$C$4,$C$12*SQRT($C$7)),"")</f>
        <v>1.9323074295047715E-3</v>
      </c>
      <c r="S284" s="41" t="str">
        <f>IFERROR((_xll.qlBlackFormula(IF(O284&lt;$C$4,"Put","Call"),O284+$C$14,$C$4,$C$9*SQRT($C$7))-
2*_xll.qlBlackFormula(IF(O284&lt;$C$4,"Put","Call"),O284,$C$4,$C$9*SQRT($C$7))+
_xll.qlBlackFormula(IF(O284&lt;$C$4,"Put","Call"),O284-$C$14,$C$4,$C$9*SQRT($C$7)))/$C$14^2,"")</f>
        <v/>
      </c>
      <c r="T284" s="42">
        <f>IFERROR((_xll.qlBlackFormula(IF(O284&lt;$C$4,"Put","Call"),O284+$C$14,$C$4,$C$10*SQRT($C$7),,$C$11)-
2*_xll.qlBlackFormula(IF(O284&lt;$C$4,"Put","Call"),O284,$C$4,$C$10*SQRT($C$7),,$C$11)+
_xll.qlBlackFormula(IF(O284&lt;$C$4,"Put","Call"),O284-$C$14,$C$4,$C$10*SQRT($C$7),,$C$11))/$C$14^2,"")</f>
        <v>15.097645356121348</v>
      </c>
      <c r="U284" s="43">
        <f>IFERROR((_xll.qlBachelierBlackFormula(IF(O284&lt;$C$4,"Put","Call"),O284+$C$14,$C$4,$C$12*SQRT($C$7))-
2*_xll.qlBachelierBlackFormula(IF(O284&lt;$C$4,"Put","Call"),O284,$C$4,$C$12*SQRT($C$7))+
_xll.qlBachelierBlackFormula(IF(O284&lt;$C$4,"Put","Call"),O284-$C$14,$C$4,$C$12*SQRT($C$7)))/$C$14^2,"")</f>
        <v>17.973713663244073</v>
      </c>
      <c r="V284" s="61" t="str">
        <f>IFERROR(_xll.qlBachelierBlackFormulaImpliedVol(IF(O284&lt;$C$4,"Put","Call"),O284,$C$4,$C$7,P284),"")</f>
        <v/>
      </c>
      <c r="W284" s="61">
        <f>IFERROR(_xll.qlBachelierBlackFormulaImpliedVol(IF(O284&lt;$C$4,"Put","Call"),O284,$C$4,$C$7,Q284),"")</f>
        <v>7.7356411565690933E-3</v>
      </c>
      <c r="X284" s="61">
        <f>IFERROR(_xll.qlBachelierBlackFormulaImpliedVol(IF(O284&lt;$C$4,"Put","Call"),O284,$C$4,$C$7,R284),"")</f>
        <v>7.2020000000008119E-3</v>
      </c>
      <c r="Y284" s="96">
        <f>_xll.qlSmileSectionVolatility($C$40,O284+$C$31)</f>
        <v>7.9432172503642717E-3</v>
      </c>
    </row>
    <row r="285" spans="15:25">
      <c r="O285" s="37">
        <f t="shared" si="5"/>
        <v>1.7999999999999943E-2</v>
      </c>
      <c r="P285" s="38" t="str">
        <f>IFERROR(_xll.qlBlackFormula(IF(O285&lt;$C$4,"Put","Call"),O285,$C$4,$C$9*SQRT($C$7)),"")</f>
        <v/>
      </c>
      <c r="Q285" s="39">
        <f>IFERROR(_xll.qlBlackFormula(IF(O285&lt;$C$4,"Put","Call"),O285,$C$4,$C$10*SQRT($C$7),,$C$11),"")</f>
        <v>2.2654709467630624E-3</v>
      </c>
      <c r="R285" s="40">
        <f>IFERROR(_xll.qlBachelierBlackFormula(IF(O285&lt;$C$4,"Put","Call"),O285,$C$4,$C$12*SQRT($C$7)),"")</f>
        <v>1.9112415850411854E-3</v>
      </c>
      <c r="S285" s="41" t="str">
        <f>IFERROR((_xll.qlBlackFormula(IF(O285&lt;$C$4,"Put","Call"),O285+$C$14,$C$4,$C$9*SQRT($C$7))-
2*_xll.qlBlackFormula(IF(O285&lt;$C$4,"Put","Call"),O285,$C$4,$C$9*SQRT($C$7))+
_xll.qlBlackFormula(IF(O285&lt;$C$4,"Put","Call"),O285-$C$14,$C$4,$C$9*SQRT($C$7)))/$C$14^2,"")</f>
        <v/>
      </c>
      <c r="T285" s="42">
        <f>IFERROR((_xll.qlBlackFormula(IF(O285&lt;$C$4,"Put","Call"),O285+$C$14,$C$4,$C$10*SQRT($C$7),,$C$11)-
2*_xll.qlBlackFormula(IF(O285&lt;$C$4,"Put","Call"),O285,$C$4,$C$10*SQRT($C$7),,$C$11)+
_xll.qlBlackFormula(IF(O285&lt;$C$4,"Put","Call"),O285-$C$14,$C$4,$C$10*SQRT($C$7),,$C$11))/$C$14^2,"")</f>
        <v>15.014035154026217</v>
      </c>
      <c r="U285" s="43">
        <f>IFERROR((_xll.qlBachelierBlackFormula(IF(O285&lt;$C$4,"Put","Call"),O285+$C$14,$C$4,$C$12*SQRT($C$7))-
2*_xll.qlBachelierBlackFormula(IF(O285&lt;$C$4,"Put","Call"),O285,$C$4,$C$12*SQRT($C$7))+
_xll.qlBachelierBlackFormula(IF(O285&lt;$C$4,"Put","Call"),O285-$C$14,$C$4,$C$12*SQRT($C$7)))/$C$14^2,"")</f>
        <v>17.884186753053257</v>
      </c>
      <c r="V285" s="61" t="str">
        <f>IFERROR(_xll.qlBachelierBlackFormulaImpliedVol(IF(O285&lt;$C$4,"Put","Call"),O285,$C$4,$C$7,P285),"")</f>
        <v/>
      </c>
      <c r="W285" s="61">
        <f>IFERROR(_xll.qlBachelierBlackFormulaImpliedVol(IF(O285&lt;$C$4,"Put","Call"),O285,$C$4,$C$7,Q285),"")</f>
        <v>7.7396843066085677E-3</v>
      </c>
      <c r="X285" s="61">
        <f>IFERROR(_xll.qlBachelierBlackFormulaImpliedVol(IF(O285&lt;$C$4,"Put","Call"),O285,$C$4,$C$7,R285),"")</f>
        <v>7.2020000000008032E-3</v>
      </c>
      <c r="Y285" s="96">
        <f>_xll.qlSmileSectionVolatility($C$40,O285+$C$31)</f>
        <v>7.9501270008072202E-3</v>
      </c>
    </row>
    <row r="286" spans="15:25">
      <c r="O286" s="37">
        <f t="shared" si="5"/>
        <v>1.8099999999999943E-2</v>
      </c>
      <c r="P286" s="38" t="str">
        <f>IFERROR(_xll.qlBlackFormula(IF(O286&lt;$C$4,"Put","Call"),O286,$C$4,$C$9*SQRT($C$7)),"")</f>
        <v/>
      </c>
      <c r="Q286" s="39">
        <f>IFERROR(_xll.qlBlackFormula(IF(O286&lt;$C$4,"Put","Call"),O286,$C$4,$C$10*SQRT($C$7),,$C$11),"")</f>
        <v>2.2456378773535214E-3</v>
      </c>
      <c r="R286" s="40">
        <f>IFERROR(_xll.qlBachelierBlackFormula(IF(O286&lt;$C$4,"Put","Call"),O286,$C$4,$C$12*SQRT($C$7)),"")</f>
        <v>1.8903545822582688E-3</v>
      </c>
      <c r="S286" s="41" t="str">
        <f>IFERROR((_xll.qlBlackFormula(IF(O286&lt;$C$4,"Put","Call"),O286+$C$14,$C$4,$C$9*SQRT($C$7))-
2*_xll.qlBlackFormula(IF(O286&lt;$C$4,"Put","Call"),O286,$C$4,$C$9*SQRT($C$7))+
_xll.qlBlackFormula(IF(O286&lt;$C$4,"Put","Call"),O286-$C$14,$C$4,$C$9*SQRT($C$7)))/$C$14^2,"")</f>
        <v/>
      </c>
      <c r="T286" s="42">
        <f>IFERROR((_xll.qlBlackFormula(IF(O286&lt;$C$4,"Put","Call"),O286+$C$14,$C$4,$C$10*SQRT($C$7),,$C$11)-
2*_xll.qlBlackFormula(IF(O286&lt;$C$4,"Put","Call"),O286,$C$4,$C$10*SQRT($C$7),,$C$11)+
_xll.qlBlackFormula(IF(O286&lt;$C$4,"Put","Call"),O286-$C$14,$C$4,$C$10*SQRT($C$7),,$C$11))/$C$14^2,"")</f>
        <v>14.930556790915261</v>
      </c>
      <c r="U286" s="43">
        <f>IFERROR((_xll.qlBachelierBlackFormula(IF(O286&lt;$C$4,"Put","Call"),O286+$C$14,$C$4,$C$12*SQRT($C$7))-
2*_xll.qlBachelierBlackFormula(IF(O286&lt;$C$4,"Put","Call"),O286,$C$4,$C$12*SQRT($C$7))+
_xll.qlBachelierBlackFormula(IF(O286&lt;$C$4,"Put","Call"),O286-$C$14,$C$4,$C$12*SQRT($C$7)))/$C$14^2,"")</f>
        <v>17.794422185746228</v>
      </c>
      <c r="V286" s="61" t="str">
        <f>IFERROR(_xll.qlBachelierBlackFormulaImpliedVol(IF(O286&lt;$C$4,"Put","Call"),O286,$C$4,$C$7,P286),"")</f>
        <v/>
      </c>
      <c r="W286" s="61">
        <f>IFERROR(_xll.qlBachelierBlackFormulaImpliedVol(IF(O286&lt;$C$4,"Put","Call"),O286,$C$4,$C$7,Q286),"")</f>
        <v>7.7437261141667189E-3</v>
      </c>
      <c r="X286" s="61">
        <f>IFERROR(_xll.qlBachelierBlackFormulaImpliedVol(IF(O286&lt;$C$4,"Put","Call"),O286,$C$4,$C$7,R286),"")</f>
        <v>7.2020000000007824E-3</v>
      </c>
      <c r="Y286" s="96">
        <f>_xll.qlSmileSectionVolatility($C$40,O286+$C$31)</f>
        <v>7.9570516087301302E-3</v>
      </c>
    </row>
    <row r="287" spans="15:25">
      <c r="O287" s="37">
        <f t="shared" si="5"/>
        <v>1.8199999999999942E-2</v>
      </c>
      <c r="P287" s="38" t="str">
        <f>IFERROR(_xll.qlBlackFormula(IF(O287&lt;$C$4,"Put","Call"),O287,$C$4,$C$9*SQRT($C$7)),"")</f>
        <v/>
      </c>
      <c r="Q287" s="39">
        <f>IFERROR(_xll.qlBlackFormula(IF(O287&lt;$C$4,"Put","Call"),O287,$C$4,$C$10*SQRT($C$7),,$C$11),"")</f>
        <v>2.2259541135822847E-3</v>
      </c>
      <c r="R287" s="40">
        <f>IFERROR(_xll.qlBachelierBlackFormula(IF(O287&lt;$C$4,"Put","Call"),O287,$C$4,$C$12*SQRT($C$7)),"")</f>
        <v>1.8696455235039868E-3</v>
      </c>
      <c r="S287" s="41" t="str">
        <f>IFERROR((_xll.qlBlackFormula(IF(O287&lt;$C$4,"Put","Call"),O287+$C$14,$C$4,$C$9*SQRT($C$7))-
2*_xll.qlBlackFormula(IF(O287&lt;$C$4,"Put","Call"),O287,$C$4,$C$9*SQRT($C$7))+
_xll.qlBlackFormula(IF(O287&lt;$C$4,"Put","Call"),O287-$C$14,$C$4,$C$9*SQRT($C$7)))/$C$14^2,"")</f>
        <v/>
      </c>
      <c r="T287" s="42">
        <f>IFERROR((_xll.qlBlackFormula(IF(O287&lt;$C$4,"Put","Call"),O287+$C$14,$C$4,$C$10*SQRT($C$7),,$C$11)-
2*_xll.qlBlackFormula(IF(O287&lt;$C$4,"Put","Call"),O287,$C$4,$C$10*SQRT($C$7),,$C$11)+
_xll.qlBlackFormula(IF(O287&lt;$C$4,"Put","Call"),O287-$C$14,$C$4,$C$10*SQRT($C$7),,$C$11))/$C$14^2,"")</f>
        <v>14.847182511212864</v>
      </c>
      <c r="U287" s="43">
        <f>IFERROR((_xll.qlBachelierBlackFormula(IF(O287&lt;$C$4,"Put","Call"),O287+$C$14,$C$4,$C$12*SQRT($C$7))-
2*_xll.qlBachelierBlackFormula(IF(O287&lt;$C$4,"Put","Call"),O287,$C$4,$C$12*SQRT($C$7))+
_xll.qlBachelierBlackFormula(IF(O287&lt;$C$4,"Put","Call"),O287-$C$14,$C$4,$C$12*SQRT($C$7)))/$C$14^2,"")</f>
        <v>17.704424731812551</v>
      </c>
      <c r="V287" s="61" t="str">
        <f>IFERROR(_xll.qlBachelierBlackFormulaImpliedVol(IF(O287&lt;$C$4,"Put","Call"),O287,$C$4,$C$7,P287),"")</f>
        <v/>
      </c>
      <c r="W287" s="61">
        <f>IFERROR(_xll.qlBachelierBlackFormulaImpliedVol(IF(O287&lt;$C$4,"Put","Call"),O287,$C$4,$C$7,Q287),"")</f>
        <v>7.7477665812860329E-3</v>
      </c>
      <c r="X287" s="61">
        <f>IFERROR(_xll.qlBachelierBlackFormulaImpliedVol(IF(O287&lt;$C$4,"Put","Call"),O287,$C$4,$C$7,R287),"")</f>
        <v>7.2020000000007538E-3</v>
      </c>
      <c r="Y287" s="96">
        <f>_xll.qlSmileSectionVolatility($C$40,O287+$C$31)</f>
        <v>7.9639909953420872E-3</v>
      </c>
    </row>
    <row r="288" spans="15:25">
      <c r="O288" s="37">
        <f t="shared" si="5"/>
        <v>1.8299999999999941E-2</v>
      </c>
      <c r="P288" s="38" t="str">
        <f>IFERROR(_xll.qlBlackFormula(IF(O288&lt;$C$4,"Put","Call"),O288,$C$4,$C$9*SQRT($C$7)),"")</f>
        <v/>
      </c>
      <c r="Q288" s="39">
        <f>IFERROR(_xll.qlBlackFormula(IF(O288&lt;$C$4,"Put","Call"),O288,$C$4,$C$10*SQRT($C$7),,$C$11),"")</f>
        <v>2.206418821836087E-3</v>
      </c>
      <c r="R288" s="40">
        <f>IFERROR(_xll.qlBachelierBlackFormula(IF(O288&lt;$C$4,"Put","Call"),O288,$C$4,$C$12*SQRT($C$7)),"")</f>
        <v>1.8491135088051463E-3</v>
      </c>
      <c r="S288" s="41" t="str">
        <f>IFERROR((_xll.qlBlackFormula(IF(O288&lt;$C$4,"Put","Call"),O288+$C$14,$C$4,$C$9*SQRT($C$7))-
2*_xll.qlBlackFormula(IF(O288&lt;$C$4,"Put","Call"),O288,$C$4,$C$9*SQRT($C$7))+
_xll.qlBlackFormula(IF(O288&lt;$C$4,"Put","Call"),O288-$C$14,$C$4,$C$9*SQRT($C$7)))/$C$14^2,"")</f>
        <v/>
      </c>
      <c r="T288" s="42">
        <f>IFERROR((_xll.qlBlackFormula(IF(O288&lt;$C$4,"Put","Call"),O288+$C$14,$C$4,$C$10*SQRT($C$7),,$C$11)-
2*_xll.qlBlackFormula(IF(O288&lt;$C$4,"Put","Call"),O288,$C$4,$C$10*SQRT($C$7),,$C$11)+
_xll.qlBlackFormula(IF(O288&lt;$C$4,"Put","Call"),O288-$C$14,$C$4,$C$10*SQRT($C$7),,$C$11))/$C$14^2,"")</f>
        <v>14.763960887176353</v>
      </c>
      <c r="U288" s="43">
        <f>IFERROR((_xll.qlBachelierBlackFormula(IF(O288&lt;$C$4,"Put","Call"),O288+$C$14,$C$4,$C$12*SQRT($C$7))-
2*_xll.qlBachelierBlackFormula(IF(O288&lt;$C$4,"Put","Call"),O288,$C$4,$C$12*SQRT($C$7))+
_xll.qlBachelierBlackFormula(IF(O288&lt;$C$4,"Put","Call"),O288-$C$14,$C$4,$C$12*SQRT($C$7)))/$C$14^2,"")</f>
        <v>17.614204365912212</v>
      </c>
      <c r="V288" s="61" t="str">
        <f>IFERROR(_xll.qlBachelierBlackFormulaImpliedVol(IF(O288&lt;$C$4,"Put","Call"),O288,$C$4,$C$7,P288),"")</f>
        <v/>
      </c>
      <c r="W288" s="61">
        <f>IFERROR(_xll.qlBachelierBlackFormulaImpliedVol(IF(O288&lt;$C$4,"Put","Call"),O288,$C$4,$C$7,Q288),"")</f>
        <v>7.7518057100036501E-3</v>
      </c>
      <c r="X288" s="61">
        <f>IFERROR(_xll.qlBachelierBlackFormulaImpliedVol(IF(O288&lt;$C$4,"Put","Call"),O288,$C$4,$C$7,R288),"")</f>
        <v>7.2020000000007139E-3</v>
      </c>
      <c r="Y288" s="96">
        <f>_xll.qlSmileSectionVolatility($C$40,O288+$C$31)</f>
        <v>7.9709450820060861E-3</v>
      </c>
    </row>
    <row r="289" spans="15:25">
      <c r="O289" s="37">
        <f t="shared" si="5"/>
        <v>1.8399999999999941E-2</v>
      </c>
      <c r="P289" s="38" t="str">
        <f>IFERROR(_xll.qlBlackFormula(IF(O289&lt;$C$4,"Put","Call"),O289,$C$4,$C$9*SQRT($C$7)),"")</f>
        <v/>
      </c>
      <c r="Q289" s="39">
        <f>IFERROR(_xll.qlBlackFormula(IF(O289&lt;$C$4,"Put","Call"),O289,$C$4,$C$10*SQRT($C$7),,$C$11),"")</f>
        <v>2.1870311697470175E-3</v>
      </c>
      <c r="R289" s="40">
        <f>IFERROR(_xll.qlBachelierBlackFormula(IF(O289&lt;$C$4,"Put","Call"),O289,$C$4,$C$12*SQRT($C$7)),"")</f>
        <v>1.8287576359483715E-3</v>
      </c>
      <c r="S289" s="41" t="str">
        <f>IFERROR((_xll.qlBlackFormula(IF(O289&lt;$C$4,"Put","Call"),O289+$C$14,$C$4,$C$9*SQRT($C$7))-
2*_xll.qlBlackFormula(IF(O289&lt;$C$4,"Put","Call"),O289,$C$4,$C$9*SQRT($C$7))+
_xll.qlBlackFormula(IF(O289&lt;$C$4,"Put","Call"),O289-$C$14,$C$4,$C$9*SQRT($C$7)))/$C$14^2,"")</f>
        <v/>
      </c>
      <c r="T289" s="42">
        <f>IFERROR((_xll.qlBlackFormula(IF(O289&lt;$C$4,"Put","Call"),O289+$C$14,$C$4,$C$10*SQRT($C$7),,$C$11)-
2*_xll.qlBlackFormula(IF(O289&lt;$C$4,"Put","Call"),O289,$C$4,$C$10*SQRT($C$7),,$C$11)+
_xll.qlBlackFormula(IF(O289&lt;$C$4,"Put","Call"),O289-$C$14,$C$4,$C$10*SQRT($C$7),,$C$11))/$C$14^2,"")</f>
        <v>14.680857224336208</v>
      </c>
      <c r="U289" s="43">
        <f>IFERROR((_xll.qlBachelierBlackFormula(IF(O289&lt;$C$4,"Put","Call"),O289+$C$14,$C$4,$C$12*SQRT($C$7))-
2*_xll.qlBachelierBlackFormula(IF(O289&lt;$C$4,"Put","Call"),O289,$C$4,$C$12*SQRT($C$7))+
_xll.qlBachelierBlackFormula(IF(O289&lt;$C$4,"Put","Call"),O289-$C$14,$C$4,$C$12*SQRT($C$7)))/$C$14^2,"")</f>
        <v>17.523764123811294</v>
      </c>
      <c r="V289" s="61" t="str">
        <f>IFERROR(_xll.qlBachelierBlackFormulaImpliedVol(IF(O289&lt;$C$4,"Put","Call"),O289,$C$4,$C$7,P289),"")</f>
        <v/>
      </c>
      <c r="W289" s="61">
        <f>IFERROR(_xll.qlBachelierBlackFormulaImpliedVol(IF(O289&lt;$C$4,"Put","Call"),O289,$C$4,$C$7,Q289),"")</f>
        <v>7.7558435023515615E-3</v>
      </c>
      <c r="X289" s="61">
        <f>IFERROR(_xll.qlBachelierBlackFormulaImpliedVol(IF(O289&lt;$C$4,"Put","Call"),O289,$C$4,$C$7,R289),"")</f>
        <v>7.2020000000006697E-3</v>
      </c>
      <c r="Y289" s="96">
        <f>_xll.qlSmileSectionVolatility($C$40,O289+$C$31)</f>
        <v>7.9779137902432906E-3</v>
      </c>
    </row>
    <row r="290" spans="15:25">
      <c r="O290" s="37">
        <f t="shared" si="5"/>
        <v>1.849999999999994E-2</v>
      </c>
      <c r="P290" s="38" t="str">
        <f>IFERROR(_xll.qlBlackFormula(IF(O290&lt;$C$4,"Put","Call"),O290,$C$4,$C$9*SQRT($C$7)),"")</f>
        <v/>
      </c>
      <c r="Q290" s="39">
        <f>IFERROR(_xll.qlBlackFormula(IF(O290&lt;$C$4,"Put","Call"),O290,$C$4,$C$10*SQRT($C$7),,$C$11),"")</f>
        <v>2.1677903262349828E-3</v>
      </c>
      <c r="R290" s="40">
        <f>IFERROR(_xll.qlBachelierBlackFormula(IF(O290&lt;$C$4,"Put","Call"),O290,$C$4,$C$12*SQRT($C$7)),"")</f>
        <v>1.8085770005609077E-3</v>
      </c>
      <c r="S290" s="41" t="str">
        <f>IFERROR((_xll.qlBlackFormula(IF(O290&lt;$C$4,"Put","Call"),O290+$C$14,$C$4,$C$9*SQRT($C$7))-
2*_xll.qlBlackFormula(IF(O290&lt;$C$4,"Put","Call"),O290,$C$4,$C$9*SQRT($C$7))+
_xll.qlBlackFormula(IF(O290&lt;$C$4,"Put","Call"),O290-$C$14,$C$4,$C$9*SQRT($C$7)))/$C$14^2,"")</f>
        <v/>
      </c>
      <c r="T290" s="42">
        <f>IFERROR((_xll.qlBlackFormula(IF(O290&lt;$C$4,"Put","Call"),O290+$C$14,$C$4,$C$10*SQRT($C$7),,$C$11)-
2*_xll.qlBlackFormula(IF(O290&lt;$C$4,"Put","Call"),O290,$C$4,$C$10*SQRT($C$7),,$C$11)+
_xll.qlBlackFormula(IF(O290&lt;$C$4,"Put","Call"),O290-$C$14,$C$4,$C$10*SQRT($C$7),,$C$11))/$C$14^2,"")</f>
        <v>14.597864583798525</v>
      </c>
      <c r="U290" s="43">
        <f>IFERROR((_xll.qlBachelierBlackFormula(IF(O290&lt;$C$4,"Put","Call"),O290+$C$14,$C$4,$C$12*SQRT($C$7))-
2*_xll.qlBachelierBlackFormula(IF(O290&lt;$C$4,"Put","Call"),O290,$C$4,$C$12*SQRT($C$7))+
_xll.qlBachelierBlackFormula(IF(O290&lt;$C$4,"Put","Call"),O290-$C$14,$C$4,$C$12*SQRT($C$7)))/$C$14^2,"")</f>
        <v>17.433119184340207</v>
      </c>
      <c r="V290" s="61" t="str">
        <f>IFERROR(_xll.qlBachelierBlackFormulaImpliedVol(IF(O290&lt;$C$4,"Put","Call"),O290,$C$4,$C$7,P290),"")</f>
        <v/>
      </c>
      <c r="W290" s="61">
        <f>IFERROR(_xll.qlBachelierBlackFormulaImpliedVol(IF(O290&lt;$C$4,"Put","Call"),O290,$C$4,$C$7,Q290),"")</f>
        <v>7.759879960356493E-3</v>
      </c>
      <c r="X290" s="61">
        <f>IFERROR(_xll.qlBachelierBlackFormulaImpliedVol(IF(O290&lt;$C$4,"Put","Call"),O290,$C$4,$C$7,R290),"")</f>
        <v>7.202000000000615E-3</v>
      </c>
      <c r="Y290" s="96">
        <f>_xll.qlSmileSectionVolatility($C$40,O290+$C$31)</f>
        <v>7.9848970417370109E-3</v>
      </c>
    </row>
    <row r="291" spans="15:25">
      <c r="O291" s="37">
        <f t="shared" si="5"/>
        <v>1.8599999999999939E-2</v>
      </c>
      <c r="P291" s="38" t="str">
        <f>IFERROR(_xll.qlBlackFormula(IF(O291&lt;$C$4,"Put","Call"),O291,$C$4,$C$9*SQRT($C$7)),"")</f>
        <v/>
      </c>
      <c r="Q291" s="39">
        <f>IFERROR(_xll.qlBlackFormula(IF(O291&lt;$C$4,"Put","Call"),O291,$C$4,$C$10*SQRT($C$7),,$C$11),"")</f>
        <v>2.1486954615497107E-3</v>
      </c>
      <c r="R291" s="40">
        <f>IFERROR(_xll.qlBachelierBlackFormula(IF(O291&lt;$C$4,"Put","Call"),O291,$C$4,$C$12*SQRT($C$7)),"")</f>
        <v>1.7885706961912784E-3</v>
      </c>
      <c r="S291" s="41" t="str">
        <f>IFERROR((_xll.qlBlackFormula(IF(O291&lt;$C$4,"Put","Call"),O291+$C$14,$C$4,$C$9*SQRT($C$7))-
2*_xll.qlBlackFormula(IF(O291&lt;$C$4,"Put","Call"),O291,$C$4,$C$9*SQRT($C$7))+
_xll.qlBlackFormula(IF(O291&lt;$C$4,"Put","Call"),O291-$C$14,$C$4,$C$9*SQRT($C$7)))/$C$14^2,"")</f>
        <v/>
      </c>
      <c r="T291" s="42">
        <f>IFERROR((_xll.qlBlackFormula(IF(O291&lt;$C$4,"Put","Call"),O291+$C$14,$C$4,$C$10*SQRT($C$7),,$C$11)-
2*_xll.qlBlackFormula(IF(O291&lt;$C$4,"Put","Call"),O291,$C$4,$C$10*SQRT($C$7),,$C$11)+
_xll.qlBlackFormula(IF(O291&lt;$C$4,"Put","Call"),O291-$C$14,$C$4,$C$10*SQRT($C$7),,$C$11))/$C$14^2,"")</f>
        <v>14.515024598926729</v>
      </c>
      <c r="U291" s="43">
        <f>IFERROR((_xll.qlBachelierBlackFormula(IF(O291&lt;$C$4,"Put","Call"),O291+$C$14,$C$4,$C$12*SQRT($C$7))-
2*_xll.qlBachelierBlackFormula(IF(O291&lt;$C$4,"Put","Call"),O291,$C$4,$C$12*SQRT($C$7))+
_xll.qlBachelierBlackFormula(IF(O291&lt;$C$4,"Put","Call"),O291-$C$14,$C$4,$C$12*SQRT($C$7)))/$C$14^2,"")</f>
        <v>17.342271715903301</v>
      </c>
      <c r="V291" s="61" t="str">
        <f>IFERROR(_xll.qlBachelierBlackFormulaImpliedVol(IF(O291&lt;$C$4,"Put","Call"),O291,$C$4,$C$7,P291),"")</f>
        <v/>
      </c>
      <c r="W291" s="61">
        <f>IFERROR(_xll.qlBachelierBlackFormulaImpliedVol(IF(O291&lt;$C$4,"Put","Call"),O291,$C$4,$C$7,Q291),"")</f>
        <v>7.7639150860399977E-3</v>
      </c>
      <c r="X291" s="61">
        <f>IFERROR(_xll.qlBachelierBlackFormulaImpliedVol(IF(O291&lt;$C$4,"Put","Call"),O291,$C$4,$C$7,R291),"")</f>
        <v>7.2020000000005508E-3</v>
      </c>
      <c r="Y291" s="96">
        <f>_xll.qlSmileSectionVolatility($C$40,O291+$C$31)</f>
        <v>7.991894758336714E-3</v>
      </c>
    </row>
    <row r="292" spans="15:25">
      <c r="O292" s="37">
        <f t="shared" si="5"/>
        <v>1.8699999999999939E-2</v>
      </c>
      <c r="P292" s="38" t="str">
        <f>IFERROR(_xll.qlBlackFormula(IF(O292&lt;$C$4,"Put","Call"),O292,$C$4,$C$9*SQRT($C$7)),"")</f>
        <v/>
      </c>
      <c r="Q292" s="39">
        <f>IFERROR(_xll.qlBlackFormula(IF(O292&lt;$C$4,"Put","Call"),O292,$C$4,$C$10*SQRT($C$7),,$C$11),"")</f>
        <v>2.1297457473121485E-3</v>
      </c>
      <c r="R292" s="40">
        <f>IFERROR(_xll.qlBachelierBlackFormula(IF(O292&lt;$C$4,"Put","Call"),O292,$C$4,$C$12*SQRT($C$7)),"")</f>
        <v>1.7687378143897547E-3</v>
      </c>
      <c r="S292" s="41" t="str">
        <f>IFERROR((_xll.qlBlackFormula(IF(O292&lt;$C$4,"Put","Call"),O292+$C$14,$C$4,$C$9*SQRT($C$7))-
2*_xll.qlBlackFormula(IF(O292&lt;$C$4,"Put","Call"),O292,$C$4,$C$9*SQRT($C$7))+
_xll.qlBlackFormula(IF(O292&lt;$C$4,"Put","Call"),O292-$C$14,$C$4,$C$9*SQRT($C$7)))/$C$14^2,"")</f>
        <v/>
      </c>
      <c r="T292" s="42">
        <f>IFERROR((_xll.qlBlackFormula(IF(O292&lt;$C$4,"Put","Call"),O292+$C$14,$C$4,$C$10*SQRT($C$7),,$C$11)-
2*_xll.qlBlackFormula(IF(O292&lt;$C$4,"Put","Call"),O292,$C$4,$C$10*SQRT($C$7),,$C$11)+
_xll.qlBlackFormula(IF(O292&lt;$C$4,"Put","Call"),O292-$C$14,$C$4,$C$10*SQRT($C$7),,$C$11))/$C$14^2,"")</f>
        <v>14.432330330826915</v>
      </c>
      <c r="U292" s="43">
        <f>IFERROR((_xll.qlBachelierBlackFormula(IF(O292&lt;$C$4,"Put","Call"),O292+$C$14,$C$4,$C$12*SQRT($C$7))-
2*_xll.qlBachelierBlackFormula(IF(O292&lt;$C$4,"Put","Call"),O292,$C$4,$C$12*SQRT($C$7))+
_xll.qlBachelierBlackFormula(IF(O292&lt;$C$4,"Put","Call"),O292-$C$14,$C$4,$C$12*SQRT($C$7)))/$C$14^2,"")</f>
        <v>17.251236463650123</v>
      </c>
      <c r="V292" s="61" t="str">
        <f>IFERROR(_xll.qlBachelierBlackFormulaImpliedVol(IF(O292&lt;$C$4,"Put","Call"),O292,$C$4,$C$7,P292),"")</f>
        <v/>
      </c>
      <c r="W292" s="61">
        <f>IFERROR(_xll.qlBachelierBlackFormulaImpliedVol(IF(O292&lt;$C$4,"Put","Call"),O292,$C$4,$C$7,Q292),"")</f>
        <v>7.767948881418409E-3</v>
      </c>
      <c r="X292" s="61">
        <f>IFERROR(_xll.qlBachelierBlackFormulaImpliedVol(IF(O292&lt;$C$4,"Put","Call"),O292,$C$4,$C$7,R292),"")</f>
        <v>7.2020000000004745E-3</v>
      </c>
      <c r="Y292" s="96">
        <f>_xll.qlSmileSectionVolatility($C$40,O292+$C$31)</f>
        <v>7.9989068620619271E-3</v>
      </c>
    </row>
    <row r="293" spans="15:25">
      <c r="O293" s="37">
        <f t="shared" si="5"/>
        <v>1.8799999999999938E-2</v>
      </c>
      <c r="P293" s="38" t="str">
        <f>IFERROR(_xll.qlBlackFormula(IF(O293&lt;$C$4,"Put","Call"),O293,$C$4,$C$9*SQRT($C$7)),"")</f>
        <v/>
      </c>
      <c r="Q293" s="39">
        <f>IFERROR(_xll.qlBlackFormula(IF(O293&lt;$C$4,"Put","Call"),O293,$C$4,$C$10*SQRT($C$7),,$C$11),"")</f>
        <v>2.1109403565553603E-3</v>
      </c>
      <c r="R293" s="40">
        <f>IFERROR(_xll.qlBachelierBlackFormula(IF(O293&lt;$C$4,"Put","Call"),O293,$C$4,$C$12*SQRT($C$7)),"")</f>
        <v>1.7490774447886477E-3</v>
      </c>
      <c r="S293" s="41" t="str">
        <f>IFERROR((_xll.qlBlackFormula(IF(O293&lt;$C$4,"Put","Call"),O293+$C$14,$C$4,$C$9*SQRT($C$7))-
2*_xll.qlBlackFormula(IF(O293&lt;$C$4,"Put","Call"),O293,$C$4,$C$9*SQRT($C$7))+
_xll.qlBlackFormula(IF(O293&lt;$C$4,"Put","Call"),O293-$C$14,$C$4,$C$9*SQRT($C$7)))/$C$14^2,"")</f>
        <v/>
      </c>
      <c r="T293" s="42">
        <f>IFERROR((_xll.qlBlackFormula(IF(O293&lt;$C$4,"Put","Call"),O293+$C$14,$C$4,$C$10*SQRT($C$7),,$C$11)-
2*_xll.qlBlackFormula(IF(O293&lt;$C$4,"Put","Call"),O293,$C$4,$C$10*SQRT($C$7),,$C$11)+
_xll.qlBlackFormula(IF(O293&lt;$C$4,"Put","Call"),O293-$C$14,$C$4,$C$10*SQRT($C$7),,$C$11))/$C$14^2,"")</f>
        <v>14.34979565728689</v>
      </c>
      <c r="U293" s="43">
        <f>IFERROR((_xll.qlBachelierBlackFormula(IF(O293&lt;$C$4,"Put","Call"),O293+$C$14,$C$4,$C$12*SQRT($C$7))-
2*_xll.qlBachelierBlackFormula(IF(O293&lt;$C$4,"Put","Call"),O293,$C$4,$C$12*SQRT($C$7))+
_xll.qlBachelierBlackFormula(IF(O293&lt;$C$4,"Put","Call"),O293-$C$14,$C$4,$C$12*SQRT($C$7)))/$C$14^2,"")</f>
        <v>17.160012560218931</v>
      </c>
      <c r="V293" s="61" t="str">
        <f>IFERROR(_xll.qlBachelierBlackFormulaImpliedVol(IF(O293&lt;$C$4,"Put","Call"),O293,$C$4,$C$7,P293),"")</f>
        <v/>
      </c>
      <c r="W293" s="61">
        <f>IFERROR(_xll.qlBachelierBlackFormulaImpliedVol(IF(O293&lt;$C$4,"Put","Call"),O293,$C$4,$C$7,Q293),"")</f>
        <v>7.7719813485029416E-3</v>
      </c>
      <c r="X293" s="61">
        <f>IFERROR(_xll.qlBachelierBlackFormulaImpliedVol(IF(O293&lt;$C$4,"Put","Call"),O293,$C$4,$C$7,R293),"")</f>
        <v>7.2020000000003965E-3</v>
      </c>
      <c r="Y293" s="96">
        <f>_xll.qlSmileSectionVolatility($C$40,O293+$C$31)</f>
        <v>8.0059332751060679E-3</v>
      </c>
    </row>
    <row r="294" spans="15:25">
      <c r="O294" s="37">
        <f t="shared" si="5"/>
        <v>1.8899999999999938E-2</v>
      </c>
      <c r="P294" s="38" t="str">
        <f>IFERROR(_xll.qlBlackFormula(IF(O294&lt;$C$4,"Put","Call"),O294,$C$4,$C$9*SQRT($C$7)),"")</f>
        <v/>
      </c>
      <c r="Q294" s="39">
        <f>IFERROR(_xll.qlBlackFormula(IF(O294&lt;$C$4,"Put","Call"),O294,$C$4,$C$10*SQRT($C$7),,$C$11),"")</f>
        <v>2.0922784637648316E-3</v>
      </c>
      <c r="R294" s="40">
        <f>IFERROR(_xll.qlBachelierBlackFormula(IF(O294&lt;$C$4,"Put","Call"),O294,$C$4,$C$12*SQRT($C$7)),"")</f>
        <v>1.7295886751823811E-3</v>
      </c>
      <c r="S294" s="41" t="str">
        <f>IFERROR((_xll.qlBlackFormula(IF(O294&lt;$C$4,"Put","Call"),O294+$C$14,$C$4,$C$9*SQRT($C$7))-
2*_xll.qlBlackFormula(IF(O294&lt;$C$4,"Put","Call"),O294,$C$4,$C$9*SQRT($C$7))+
_xll.qlBlackFormula(IF(O294&lt;$C$4,"Put","Call"),O294-$C$14,$C$4,$C$9*SQRT($C$7)))/$C$14^2,"")</f>
        <v/>
      </c>
      <c r="T294" s="42">
        <f>IFERROR((_xll.qlBlackFormula(IF(O294&lt;$C$4,"Put","Call"),O294+$C$14,$C$4,$C$10*SQRT($C$7),,$C$11)-
2*_xll.qlBlackFormula(IF(O294&lt;$C$4,"Put","Call"),O294,$C$4,$C$10*SQRT($C$7),,$C$11)+
_xll.qlBlackFormula(IF(O294&lt;$C$4,"Put","Call"),O294-$C$14,$C$4,$C$10*SQRT($C$7),,$C$11))/$C$14^2,"")</f>
        <v>14.267365067155424</v>
      </c>
      <c r="U294" s="43">
        <f>IFERROR((_xll.qlBachelierBlackFormula(IF(O294&lt;$C$4,"Put","Call"),O294+$C$14,$C$4,$C$12*SQRT($C$7))-
2*_xll.qlBachelierBlackFormula(IF(O294&lt;$C$4,"Put","Call"),O294,$C$4,$C$12*SQRT($C$7))+
_xll.qlBachelierBlackFormula(IF(O294&lt;$C$4,"Put","Call"),O294-$C$14,$C$4,$C$12*SQRT($C$7)))/$C$14^2,"")</f>
        <v>17.068615618121008</v>
      </c>
      <c r="V294" s="61" t="str">
        <f>IFERROR(_xll.qlBachelierBlackFormulaImpliedVol(IF(O294&lt;$C$4,"Put","Call"),O294,$C$4,$C$7,P294),"")</f>
        <v/>
      </c>
      <c r="W294" s="61">
        <f>IFERROR(_xll.qlBachelierBlackFormulaImpliedVol(IF(O294&lt;$C$4,"Put","Call"),O294,$C$4,$C$7,Q294),"")</f>
        <v>7.7760124892996994E-3</v>
      </c>
      <c r="X294" s="61">
        <f>IFERROR(_xll.qlBachelierBlackFormulaImpliedVol(IF(O294&lt;$C$4,"Put","Call"),O294,$C$4,$C$7,R294),"")</f>
        <v>7.2020000000003045E-3</v>
      </c>
      <c r="Y294" s="96">
        <f>_xll.qlSmileSectionVolatility($C$40,O294+$C$31)</f>
        <v>8.0129739198402054E-3</v>
      </c>
    </row>
    <row r="295" spans="15:25">
      <c r="O295" s="37">
        <f t="shared" si="5"/>
        <v>1.8999999999999937E-2</v>
      </c>
      <c r="P295" s="38" t="str">
        <f>IFERROR(_xll.qlBlackFormula(IF(O295&lt;$C$4,"Put","Call"),O295,$C$4,$C$9*SQRT($C$7)),"")</f>
        <v/>
      </c>
      <c r="Q295" s="39">
        <f>IFERROR(_xll.qlBlackFormula(IF(O295&lt;$C$4,"Put","Call"),O295,$C$4,$C$10*SQRT($C$7),,$C$11),"")</f>
        <v>2.0737592449181254E-3</v>
      </c>
      <c r="R295" s="40">
        <f>IFERROR(_xll.qlBachelierBlackFormula(IF(O295&lt;$C$4,"Put","Call"),O295,$C$4,$C$12*SQRT($C$7)),"")</f>
        <v>1.7102705916073879E-3</v>
      </c>
      <c r="S295" s="41" t="str">
        <f>IFERROR((_xll.qlBlackFormula(IF(O295&lt;$C$4,"Put","Call"),O295+$C$14,$C$4,$C$9*SQRT($C$7))-
2*_xll.qlBlackFormula(IF(O295&lt;$C$4,"Put","Call"),O295,$C$4,$C$9*SQRT($C$7))+
_xll.qlBlackFormula(IF(O295&lt;$C$4,"Put","Call"),O295-$C$14,$C$4,$C$9*SQRT($C$7)))/$C$14^2,"")</f>
        <v/>
      </c>
      <c r="T295" s="42">
        <f>IFERROR((_xll.qlBlackFormula(IF(O295&lt;$C$4,"Put","Call"),O295+$C$14,$C$4,$C$10*SQRT($C$7),,$C$11)-
2*_xll.qlBlackFormula(IF(O295&lt;$C$4,"Put","Call"),O295,$C$4,$C$10*SQRT($C$7),,$C$11)+
_xll.qlBlackFormula(IF(O295&lt;$C$4,"Put","Call"),O295-$C$14,$C$4,$C$10*SQRT($C$7),,$C$11))/$C$14^2,"")</f>
        <v>14.185139174394124</v>
      </c>
      <c r="U295" s="43">
        <f>IFERROR((_xll.qlBachelierBlackFormula(IF(O295&lt;$C$4,"Put","Call"),O295+$C$14,$C$4,$C$12*SQRT($C$7))-
2*_xll.qlBachelierBlackFormula(IF(O295&lt;$C$4,"Put","Call"),O295,$C$4,$C$12*SQRT($C$7))+
_xll.qlBachelierBlackFormula(IF(O295&lt;$C$4,"Put","Call"),O295-$C$14,$C$4,$C$12*SQRT($C$7)))/$C$14^2,"")</f>
        <v>16.977053009931133</v>
      </c>
      <c r="V295" s="61" t="str">
        <f>IFERROR(_xll.qlBachelierBlackFormulaImpliedVol(IF(O295&lt;$C$4,"Put","Call"),O295,$C$4,$C$7,P295),"")</f>
        <v/>
      </c>
      <c r="W295" s="61">
        <f>IFERROR(_xll.qlBachelierBlackFormulaImpliedVol(IF(O295&lt;$C$4,"Put","Call"),O295,$C$4,$C$7,Q295),"")</f>
        <v>7.7800423058095522E-3</v>
      </c>
      <c r="X295" s="61">
        <f>IFERROR(_xll.qlBachelierBlackFormulaImpliedVol(IF(O295&lt;$C$4,"Put","Call"),O295,$C$4,$C$7,R295),"")</f>
        <v>7.202000000000203E-3</v>
      </c>
      <c r="Y295" s="96">
        <f>_xll.qlSmileSectionVolatility($C$40,O295+$C$31)</f>
        <v>8.0200287188167164E-3</v>
      </c>
    </row>
    <row r="296" spans="15:25">
      <c r="O296" s="37">
        <f t="shared" si="5"/>
        <v>1.9099999999999936E-2</v>
      </c>
      <c r="P296" s="38" t="str">
        <f>IFERROR(_xll.qlBlackFormula(IF(O296&lt;$C$4,"Put","Call"),O296,$C$4,$C$9*SQRT($C$7)),"")</f>
        <v/>
      </c>
      <c r="Q296" s="39">
        <f>IFERROR(_xll.qlBlackFormula(IF(O296&lt;$C$4,"Put","Call"),O296,$C$4,$C$10*SQRT($C$7),,$C$11),"")</f>
        <v>2.0553818775242289E-3</v>
      </c>
      <c r="R296" s="40">
        <f>IFERROR(_xll.qlBachelierBlackFormula(IF(O296&lt;$C$4,"Put","Call"),O296,$C$4,$C$12*SQRT($C$7)),"")</f>
        <v>1.6911222784217533E-3</v>
      </c>
      <c r="S296" s="41" t="str">
        <f>IFERROR((_xll.qlBlackFormula(IF(O296&lt;$C$4,"Put","Call"),O296+$C$14,$C$4,$C$9*SQRT($C$7))-
2*_xll.qlBlackFormula(IF(O296&lt;$C$4,"Put","Call"),O296,$C$4,$C$9*SQRT($C$7))+
_xll.qlBlackFormula(IF(O296&lt;$C$4,"Put","Call"),O296-$C$14,$C$4,$C$9*SQRT($C$7)))/$C$14^2,"")</f>
        <v/>
      </c>
      <c r="T296" s="42">
        <f>IFERROR((_xll.qlBlackFormula(IF(O296&lt;$C$4,"Put","Call"),O296+$C$14,$C$4,$C$10*SQRT($C$7),,$C$11)-
2*_xll.qlBlackFormula(IF(O296&lt;$C$4,"Put","Call"),O296,$C$4,$C$10*SQRT($C$7),,$C$11)+
_xll.qlBlackFormula(IF(O296&lt;$C$4,"Put","Call"),O296-$C$14,$C$4,$C$10*SQRT($C$7),,$C$11))/$C$14^2,"")</f>
        <v>14.103041651170045</v>
      </c>
      <c r="U296" s="43">
        <f>IFERROR((_xll.qlBachelierBlackFormula(IF(O296&lt;$C$4,"Put","Call"),O296+$C$14,$C$4,$C$12*SQRT($C$7))-
2*_xll.qlBachelierBlackFormula(IF(O296&lt;$C$4,"Put","Call"),O296,$C$4,$C$12*SQRT($C$7))+
_xll.qlBachelierBlackFormula(IF(O296&lt;$C$4,"Put","Call"),O296-$C$14,$C$4,$C$12*SQRT($C$7)))/$C$14^2,"")</f>
        <v>16.885327771415383</v>
      </c>
      <c r="V296" s="61" t="str">
        <f>IFERROR(_xll.qlBachelierBlackFormulaImpliedVol(IF(O296&lt;$C$4,"Put","Call"),O296,$C$4,$C$7,P296),"")</f>
        <v/>
      </c>
      <c r="W296" s="61">
        <f>IFERROR(_xll.qlBachelierBlackFormulaImpliedVol(IF(O296&lt;$C$4,"Put","Call"),O296,$C$4,$C$7,Q296),"")</f>
        <v>7.7840708000283913E-3</v>
      </c>
      <c r="X296" s="61">
        <f>IFERROR(_xll.qlBachelierBlackFormulaImpliedVol(IF(O296&lt;$C$4,"Put","Call"),O296,$C$4,$C$7,R296),"")</f>
        <v>7.2020000000000946E-3</v>
      </c>
      <c r="Y296" s="96">
        <f>_xll.qlSmileSectionVolatility($C$40,O296+$C$31)</f>
        <v>8.0270975947729344E-3</v>
      </c>
    </row>
    <row r="297" spans="15:25">
      <c r="O297" s="37">
        <f t="shared" si="5"/>
        <v>1.9199999999999936E-2</v>
      </c>
      <c r="P297" s="38" t="str">
        <f>IFERROR(_xll.qlBlackFormula(IF(O297&lt;$C$4,"Put","Call"),O297,$C$4,$C$9*SQRT($C$7)),"")</f>
        <v/>
      </c>
      <c r="Q297" s="39">
        <f>IFERROR(_xll.qlBlackFormula(IF(O297&lt;$C$4,"Put","Call"),O297,$C$4,$C$10*SQRT($C$7),,$C$11),"")</f>
        <v>2.0371455406620782E-3</v>
      </c>
      <c r="R297" s="40">
        <f>IFERROR(_xll.qlBachelierBlackFormula(IF(O297&lt;$C$4,"Put","Call"),O297,$C$4,$C$12*SQRT($C$7)),"")</f>
        <v>1.6721428183846467E-3</v>
      </c>
      <c r="S297" s="41" t="str">
        <f>IFERROR((_xll.qlBlackFormula(IF(O297&lt;$C$4,"Put","Call"),O297+$C$14,$C$4,$C$9*SQRT($C$7))-
2*_xll.qlBlackFormula(IF(O297&lt;$C$4,"Put","Call"),O297,$C$4,$C$9*SQRT($C$7))+
_xll.qlBlackFormula(IF(O297&lt;$C$4,"Put","Call"),O297-$C$14,$C$4,$C$9*SQRT($C$7)))/$C$14^2,"")</f>
        <v/>
      </c>
      <c r="T297" s="42">
        <f>IFERROR((_xll.qlBlackFormula(IF(O297&lt;$C$4,"Put","Call"),O297+$C$14,$C$4,$C$10*SQRT($C$7),,$C$11)-
2*_xll.qlBlackFormula(IF(O297&lt;$C$4,"Put","Call"),O297,$C$4,$C$10*SQRT($C$7),,$C$11)+
_xll.qlBlackFormula(IF(O297&lt;$C$4,"Put","Call"),O297-$C$14,$C$4,$C$10*SQRT($C$7),,$C$11))/$C$14^2,"")</f>
        <v>14.021110661399661</v>
      </c>
      <c r="U297" s="43">
        <f>IFERROR((_xll.qlBachelierBlackFormula(IF(O297&lt;$C$4,"Put","Call"),O297+$C$14,$C$4,$C$12*SQRT($C$7))-
2*_xll.qlBachelierBlackFormula(IF(O297&lt;$C$4,"Put","Call"),O297,$C$4,$C$12*SQRT($C$7))+
_xll.qlBachelierBlackFormula(IF(O297&lt;$C$4,"Put","Call"),O297-$C$14,$C$4,$C$12*SQRT($C$7)))/$C$14^2,"")</f>
        <v>16.793449877233748</v>
      </c>
      <c r="V297" s="61" t="str">
        <f>IFERROR(_xll.qlBachelierBlackFormulaImpliedVol(IF(O297&lt;$C$4,"Put","Call"),O297,$C$4,$C$7,P297),"")</f>
        <v/>
      </c>
      <c r="W297" s="61">
        <f>IFERROR(_xll.qlBachelierBlackFormulaImpliedVol(IF(O297&lt;$C$4,"Put","Call"),O297,$C$4,$C$7,Q297),"")</f>
        <v>7.7880979739469568E-3</v>
      </c>
      <c r="X297" s="61">
        <f>IFERROR(_xll.qlBachelierBlackFormulaImpliedVol(IF(O297&lt;$C$4,"Put","Call"),O297,$C$4,$C$7,R297),"")</f>
        <v>7.2019999999999784E-3</v>
      </c>
      <c r="Y297" s="96">
        <f>_xll.qlSmileSectionVolatility($C$40,O297+$C$31)</f>
        <v>8.0341804706345939E-3</v>
      </c>
    </row>
    <row r="298" spans="15:25">
      <c r="O298" s="37">
        <f t="shared" si="5"/>
        <v>1.9299999999999935E-2</v>
      </c>
      <c r="P298" s="38" t="str">
        <f>IFERROR(_xll.qlBlackFormula(IF(O298&lt;$C$4,"Put","Call"),O298,$C$4,$C$9*SQRT($C$7)),"")</f>
        <v/>
      </c>
      <c r="Q298" s="39">
        <f>IFERROR(_xll.qlBlackFormula(IF(O298&lt;$C$4,"Put","Call"),O298,$C$4,$C$10*SQRT($C$7),,$C$11),"")</f>
        <v>2.019049415018688E-3</v>
      </c>
      <c r="R298" s="40">
        <f>IFERROR(_xll.qlBachelierBlackFormula(IF(O298&lt;$C$4,"Put","Call"),O298,$C$4,$C$12*SQRT($C$7)),"")</f>
        <v>1.6533312927354952E-3</v>
      </c>
      <c r="S298" s="41" t="str">
        <f>IFERROR((_xll.qlBlackFormula(IF(O298&lt;$C$4,"Put","Call"),O298+$C$14,$C$4,$C$9*SQRT($C$7))-
2*_xll.qlBlackFormula(IF(O298&lt;$C$4,"Put","Call"),O298,$C$4,$C$9*SQRT($C$7))+
_xll.qlBlackFormula(IF(O298&lt;$C$4,"Put","Call"),O298-$C$14,$C$4,$C$9*SQRT($C$7)))/$C$14^2,"")</f>
        <v/>
      </c>
      <c r="T298" s="42">
        <f>IFERROR((_xll.qlBlackFormula(IF(O298&lt;$C$4,"Put","Call"),O298+$C$14,$C$4,$C$10*SQRT($C$7),,$C$11)-
2*_xll.qlBlackFormula(IF(O298&lt;$C$4,"Put","Call"),O298,$C$4,$C$10*SQRT($C$7),,$C$11)+
_xll.qlBlackFormula(IF(O298&lt;$C$4,"Put","Call"),O298-$C$14,$C$4,$C$10*SQRT($C$7),,$C$11))/$C$14^2,"")</f>
        <v>13.93934620508297</v>
      </c>
      <c r="U298" s="43">
        <f>IFERROR((_xll.qlBachelierBlackFormula(IF(O298&lt;$C$4,"Put","Call"),O298+$C$14,$C$4,$C$12*SQRT($C$7))-
2*_xll.qlBachelierBlackFormula(IF(O298&lt;$C$4,"Put","Call"),O298,$C$4,$C$12*SQRT($C$7))+
_xll.qlBachelierBlackFormula(IF(O298&lt;$C$4,"Put","Call"),O298-$C$14,$C$4,$C$12*SQRT($C$7)))/$C$14^2,"")</f>
        <v>16.701429735727082</v>
      </c>
      <c r="V298" s="61" t="str">
        <f>IFERROR(_xll.qlBachelierBlackFormulaImpliedVol(IF(O298&lt;$C$4,"Put","Call"),O298,$C$4,$C$7,P298),"")</f>
        <v/>
      </c>
      <c r="W298" s="61">
        <f>IFERROR(_xll.qlBachelierBlackFormulaImpliedVol(IF(O298&lt;$C$4,"Put","Call"),O298,$C$4,$C$7,Q298),"")</f>
        <v>7.7921238295509216E-3</v>
      </c>
      <c r="X298" s="61">
        <f>IFERROR(_xll.qlBachelierBlackFormulaImpliedVol(IF(O298&lt;$C$4,"Put","Call"),O298,$C$4,$C$7,R298),"")</f>
        <v>7.2019999999998613E-3</v>
      </c>
      <c r="Y298" s="96">
        <f>_xll.qlSmileSectionVolatility($C$40,O298+$C$31)</f>
        <v>8.0412772695193369E-3</v>
      </c>
    </row>
    <row r="299" spans="15:25">
      <c r="O299" s="37">
        <f t="shared" si="5"/>
        <v>1.9399999999999935E-2</v>
      </c>
      <c r="P299" s="38" t="str">
        <f>IFERROR(_xll.qlBlackFormula(IF(O299&lt;$C$4,"Put","Call"),O299,$C$4,$C$9*SQRT($C$7)),"")</f>
        <v/>
      </c>
      <c r="Q299" s="39">
        <f>IFERROR(_xll.qlBlackFormula(IF(O299&lt;$C$4,"Put","Call"),O299,$C$4,$C$10*SQRT($C$7),,$C$11),"")</f>
        <v>2.0010926829267181E-3</v>
      </c>
      <c r="R299" s="40">
        <f>IFERROR(_xll.qlBachelierBlackFormula(IF(O299&lt;$C$4,"Put","Call"),O299,$C$4,$C$12*SQRT($C$7)),"")</f>
        <v>1.6346867812729203E-3</v>
      </c>
      <c r="S299" s="41" t="str">
        <f>IFERROR((_xll.qlBlackFormula(IF(O299&lt;$C$4,"Put","Call"),O299+$C$14,$C$4,$C$9*SQRT($C$7))-
2*_xll.qlBlackFormula(IF(O299&lt;$C$4,"Put","Call"),O299,$C$4,$C$9*SQRT($C$7))+
_xll.qlBlackFormula(IF(O299&lt;$C$4,"Put","Call"),O299-$C$14,$C$4,$C$9*SQRT($C$7)))/$C$14^2,"")</f>
        <v/>
      </c>
      <c r="T299" s="42">
        <f>IFERROR((_xll.qlBlackFormula(IF(O299&lt;$C$4,"Put","Call"),O299+$C$14,$C$4,$C$10*SQRT($C$7),,$C$11)-
2*_xll.qlBlackFormula(IF(O299&lt;$C$4,"Put","Call"),O299,$C$4,$C$10*SQRT($C$7),,$C$11)+
_xll.qlBlackFormula(IF(O299&lt;$C$4,"Put","Call"),O299-$C$14,$C$4,$C$10*SQRT($C$7),,$C$11))/$C$14^2,"")</f>
        <v>13.857744812773021</v>
      </c>
      <c r="U299" s="43">
        <f>IFERROR((_xll.qlBachelierBlackFormula(IF(O299&lt;$C$4,"Put","Call"),O299+$C$14,$C$4,$C$12*SQRT($C$7))-
2*_xll.qlBachelierBlackFormula(IF(O299&lt;$C$4,"Put","Call"),O299,$C$4,$C$12*SQRT($C$7))+
_xll.qlBachelierBlackFormula(IF(O299&lt;$C$4,"Put","Call"),O299-$C$14,$C$4,$C$12*SQRT($C$7)))/$C$14^2,"")</f>
        <v>16.609272117384943</v>
      </c>
      <c r="V299" s="61" t="str">
        <f>IFERROR(_xll.qlBachelierBlackFormulaImpliedVol(IF(O299&lt;$C$4,"Put","Call"),O299,$C$4,$C$7,P299),"")</f>
        <v/>
      </c>
      <c r="W299" s="61">
        <f>IFERROR(_xll.qlBachelierBlackFormulaImpliedVol(IF(O299&lt;$C$4,"Put","Call"),O299,$C$4,$C$7,Q299),"")</f>
        <v>7.7961483688209375E-3</v>
      </c>
      <c r="X299" s="61">
        <f>IFERROR(_xll.qlBachelierBlackFormulaImpliedVol(IF(O299&lt;$C$4,"Put","Call"),O299,$C$4,$C$7,R299),"")</f>
        <v>7.2019999999997425E-3</v>
      </c>
      <c r="Y299" s="96">
        <f>_xll.qlSmileSectionVolatility($C$40,O299+$C$31)</f>
        <v>8.0483879147400829E-3</v>
      </c>
    </row>
    <row r="300" spans="15:25">
      <c r="O300" s="37">
        <f t="shared" si="5"/>
        <v>1.9499999999999934E-2</v>
      </c>
      <c r="P300" s="38" t="str">
        <f>IFERROR(_xll.qlBlackFormula(IF(O300&lt;$C$4,"Put","Call"),O300,$C$4,$C$9*SQRT($C$7)),"")</f>
        <v/>
      </c>
      <c r="Q300" s="39">
        <f>IFERROR(_xll.qlBlackFormula(IF(O300&lt;$C$4,"Put","Call"),O300,$C$4,$C$10*SQRT($C$7),,$C$11),"")</f>
        <v>1.9832745284014165E-3</v>
      </c>
      <c r="R300" s="40">
        <f>IFERROR(_xll.qlBachelierBlackFormula(IF(O300&lt;$C$4,"Put","Call"),O300,$C$4,$C$12*SQRT($C$7)),"")</f>
        <v>1.6162083624333911E-3</v>
      </c>
      <c r="S300" s="41" t="str">
        <f>IFERROR((_xll.qlBlackFormula(IF(O300&lt;$C$4,"Put","Call"),O300+$C$14,$C$4,$C$9*SQRT($C$7))-
2*_xll.qlBlackFormula(IF(O300&lt;$C$4,"Put","Call"),O300,$C$4,$C$9*SQRT($C$7))+
_xll.qlBlackFormula(IF(O300&lt;$C$4,"Put","Call"),O300-$C$14,$C$4,$C$9*SQRT($C$7)))/$C$14^2,"")</f>
        <v/>
      </c>
      <c r="T300" s="42">
        <f>IFERROR((_xll.qlBlackFormula(IF(O300&lt;$C$4,"Put","Call"),O300+$C$14,$C$4,$C$10*SQRT($C$7),,$C$11)-
2*_xll.qlBlackFormula(IF(O300&lt;$C$4,"Put","Call"),O300,$C$4,$C$10*SQRT($C$7),,$C$11)+
_xll.qlBlackFormula(IF(O300&lt;$C$4,"Put","Call"),O300-$C$14,$C$4,$C$10*SQRT($C$7),,$C$11))/$C$14^2,"")</f>
        <v>13.776334240045429</v>
      </c>
      <c r="U300" s="43">
        <f>IFERROR((_xll.qlBachelierBlackFormula(IF(O300&lt;$C$4,"Put","Call"),O300+$C$14,$C$4,$C$12*SQRT($C$7))-
2*_xll.qlBachelierBlackFormula(IF(O300&lt;$C$4,"Put","Call"),O300,$C$4,$C$12*SQRT($C$7))+
_xll.qlBachelierBlackFormula(IF(O300&lt;$C$4,"Put","Call"),O300-$C$14,$C$4,$C$12*SQRT($C$7)))/$C$14^2,"")</f>
        <v>16.516990032633405</v>
      </c>
      <c r="V300" s="61" t="str">
        <f>IFERROR(_xll.qlBachelierBlackFormulaImpliedVol(IF(O300&lt;$C$4,"Put","Call"),O300,$C$4,$C$7,P300),"")</f>
        <v/>
      </c>
      <c r="W300" s="61">
        <f>IFERROR(_xll.qlBachelierBlackFormulaImpliedVol(IF(O300&lt;$C$4,"Put","Call"),O300,$C$4,$C$7,Q300),"")</f>
        <v>7.8001715937325855E-3</v>
      </c>
      <c r="X300" s="61">
        <f>IFERROR(_xll.qlBachelierBlackFormulaImpliedVol(IF(O300&lt;$C$4,"Put","Call"),O300,$C$4,$C$7,R300),"")</f>
        <v>7.2019999999996098E-3</v>
      </c>
      <c r="Y300" s="96">
        <f>_xll.qlSmileSectionVolatility($C$40,O300+$C$31)</f>
        <v>8.0555123298083342E-3</v>
      </c>
    </row>
    <row r="301" spans="15:25">
      <c r="O301" s="37">
        <f t="shared" si="5"/>
        <v>1.9599999999999933E-2</v>
      </c>
      <c r="P301" s="38" t="str">
        <f>IFERROR(_xll.qlBlackFormula(IF(O301&lt;$C$4,"Put","Call"),O301,$C$4,$C$9*SQRT($C$7)),"")</f>
        <v/>
      </c>
      <c r="Q301" s="39">
        <f>IFERROR(_xll.qlBlackFormula(IF(O301&lt;$C$4,"Put","Call"),O301,$C$4,$C$10*SQRT($C$7),,$C$11),"")</f>
        <v>1.9655941371771422E-3</v>
      </c>
      <c r="R301" s="40">
        <f>IFERROR(_xll.qlBachelierBlackFormula(IF(O301&lt;$C$4,"Put","Call"),O301,$C$4,$C$12*SQRT($C$7)),"")</f>
        <v>1.5978951133696216E-3</v>
      </c>
      <c r="S301" s="41" t="str">
        <f>IFERROR((_xll.qlBlackFormula(IF(O301&lt;$C$4,"Put","Call"),O301+$C$14,$C$4,$C$9*SQRT($C$7))-
2*_xll.qlBlackFormula(IF(O301&lt;$C$4,"Put","Call"),O301,$C$4,$C$9*SQRT($C$7))+
_xll.qlBlackFormula(IF(O301&lt;$C$4,"Put","Call"),O301-$C$14,$C$4,$C$9*SQRT($C$7)))/$C$14^2,"")</f>
        <v/>
      </c>
      <c r="T301" s="42">
        <f>IFERROR((_xll.qlBlackFormula(IF(O301&lt;$C$4,"Put","Call"),O301+$C$14,$C$4,$C$10*SQRT($C$7),,$C$11)-
2*_xll.qlBlackFormula(IF(O301&lt;$C$4,"Put","Call"),O301,$C$4,$C$10*SQRT($C$7),,$C$11)+
_xll.qlBlackFormula(IF(O301&lt;$C$4,"Put","Call"),O301-$C$14,$C$4,$C$10*SQRT($C$7),,$C$11))/$C$14^2,"")</f>
        <v>13.695065914642868</v>
      </c>
      <c r="U301" s="43">
        <f>IFERROR((_xll.qlBachelierBlackFormula(IF(O301&lt;$C$4,"Put","Call"),O301+$C$14,$C$4,$C$12*SQRT($C$7))-
2*_xll.qlBachelierBlackFormula(IF(O301&lt;$C$4,"Put","Call"),O301,$C$4,$C$12*SQRT($C$7))+
_xll.qlBachelierBlackFormula(IF(O301&lt;$C$4,"Put","Call"),O301-$C$14,$C$4,$C$12*SQRT($C$7)))/$C$14^2,"")</f>
        <v>16.424581313068121</v>
      </c>
      <c r="V301" s="61" t="str">
        <f>IFERROR(_xll.qlBachelierBlackFormulaImpliedVol(IF(O301&lt;$C$4,"Put","Call"),O301,$C$4,$C$7,P301),"")</f>
        <v/>
      </c>
      <c r="W301" s="61">
        <f>IFERROR(_xll.qlBachelierBlackFormulaImpliedVol(IF(O301&lt;$C$4,"Put","Call"),O301,$C$4,$C$7,Q301),"")</f>
        <v>7.8041935062564873E-3</v>
      </c>
      <c r="X301" s="61">
        <f>IFERROR(_xll.qlBachelierBlackFormulaImpliedVol(IF(O301&lt;$C$4,"Put","Call"),O301,$C$4,$C$7,R301),"")</f>
        <v>7.2019999999994744E-3</v>
      </c>
      <c r="Y301" s="96">
        <f>_xll.qlSmileSectionVolatility($C$40,O301+$C$31)</f>
        <v>8.0626504384373517E-3</v>
      </c>
    </row>
    <row r="302" spans="15:25">
      <c r="O302" s="37">
        <f t="shared" si="5"/>
        <v>1.9699999999999933E-2</v>
      </c>
      <c r="P302" s="38" t="str">
        <f>IFERROR(_xll.qlBlackFormula(IF(O302&lt;$C$4,"Put","Call"),O302,$C$4,$C$9*SQRT($C$7)),"")</f>
        <v/>
      </c>
      <c r="Q302" s="39">
        <f>IFERROR(_xll.qlBlackFormula(IF(O302&lt;$C$4,"Put","Call"),O302,$C$4,$C$10*SQRT($C$7),,$C$11),"")</f>
        <v>1.9480506967431907E-3</v>
      </c>
      <c r="R302" s="40">
        <f>IFERROR(_xll.qlBachelierBlackFormula(IF(O302&lt;$C$4,"Put","Call"),O302,$C$4,$C$12*SQRT($C$7)),"")</f>
        <v>1.5797461100286589E-3</v>
      </c>
      <c r="S302" s="41" t="str">
        <f>IFERROR((_xll.qlBlackFormula(IF(O302&lt;$C$4,"Put","Call"),O302+$C$14,$C$4,$C$9*SQRT($C$7))-
2*_xll.qlBlackFormula(IF(O302&lt;$C$4,"Put","Call"),O302,$C$4,$C$9*SQRT($C$7))+
_xll.qlBlackFormula(IF(O302&lt;$C$4,"Put","Call"),O302-$C$14,$C$4,$C$9*SQRT($C$7)))/$C$14^2,"")</f>
        <v/>
      </c>
      <c r="T302" s="42">
        <f>IFERROR((_xll.qlBlackFormula(IF(O302&lt;$C$4,"Put","Call"),O302+$C$14,$C$4,$C$10*SQRT($C$7),,$C$11)-
2*_xll.qlBlackFormula(IF(O302&lt;$C$4,"Put","Call"),O302,$C$4,$C$10*SQRT($C$7),,$C$11)+
_xll.qlBlackFormula(IF(O302&lt;$C$4,"Put","Call"),O302-$C$14,$C$4,$C$10*SQRT($C$7),,$C$11))/$C$14^2,"")</f>
        <v>13.613984939375712</v>
      </c>
      <c r="U302" s="43">
        <f>IFERROR((_xll.qlBachelierBlackFormula(IF(O302&lt;$C$4,"Put","Call"),O302+$C$14,$C$4,$C$12*SQRT($C$7))-
2*_xll.qlBachelierBlackFormula(IF(O302&lt;$C$4,"Put","Call"),O302,$C$4,$C$12*SQRT($C$7))+
_xll.qlBachelierBlackFormula(IF(O302&lt;$C$4,"Put","Call"),O302-$C$14,$C$4,$C$12*SQRT($C$7)))/$C$14^2,"")</f>
        <v>16.332061571200374</v>
      </c>
      <c r="V302" s="61" t="str">
        <f>IFERROR(_xll.qlBachelierBlackFormulaImpliedVol(IF(O302&lt;$C$4,"Put","Call"),O302,$C$4,$C$7,P302),"")</f>
        <v/>
      </c>
      <c r="W302" s="61">
        <f>IFERROR(_xll.qlBachelierBlackFormulaImpliedVol(IF(O302&lt;$C$4,"Put","Call"),O302,$C$4,$C$7,Q302),"")</f>
        <v>7.8082141083582156E-3</v>
      </c>
      <c r="X302" s="61">
        <f>IFERROR(_xll.qlBachelierBlackFormulaImpliedVol(IF(O302&lt;$C$4,"Put","Call"),O302,$C$4,$C$7,R302),"")</f>
        <v>7.2019999999993383E-3</v>
      </c>
      <c r="Y302" s="96">
        <f>_xll.qlSmileSectionVolatility($C$40,O302+$C$31)</f>
        <v>8.0698021645454268E-3</v>
      </c>
    </row>
    <row r="303" spans="15:25">
      <c r="O303" s="37">
        <f t="shared" si="5"/>
        <v>1.9799999999999932E-2</v>
      </c>
      <c r="P303" s="38" t="str">
        <f>IFERROR(_xll.qlBlackFormula(IF(O303&lt;$C$4,"Put","Call"),O303,$C$4,$C$9*SQRT($C$7)),"")</f>
        <v/>
      </c>
      <c r="Q303" s="39">
        <f>IFERROR(_xll.qlBlackFormula(IF(O303&lt;$C$4,"Put","Call"),O303,$C$4,$C$10*SQRT($C$7),,$C$11),"")</f>
        <v>1.9306433963791995E-3</v>
      </c>
      <c r="R303" s="40">
        <f>IFERROR(_xll.qlBachelierBlackFormula(IF(O303&lt;$C$4,"Put","Call"),O303,$C$4,$C$12*SQRT($C$7)),"")</f>
        <v>1.561760427229701E-3</v>
      </c>
      <c r="S303" s="41" t="str">
        <f>IFERROR((_xll.qlBlackFormula(IF(O303&lt;$C$4,"Put","Call"),O303+$C$14,$C$4,$C$9*SQRT($C$7))-
2*_xll.qlBlackFormula(IF(O303&lt;$C$4,"Put","Call"),O303,$C$4,$C$9*SQRT($C$7))+
_xll.qlBlackFormula(IF(O303&lt;$C$4,"Put","Call"),O303-$C$14,$C$4,$C$9*SQRT($C$7)))/$C$14^2,"")</f>
        <v/>
      </c>
      <c r="T303" s="42">
        <f>IFERROR((_xll.qlBlackFormula(IF(O303&lt;$C$4,"Put","Call"),O303+$C$14,$C$4,$C$10*SQRT($C$7),,$C$11)-
2*_xll.qlBlackFormula(IF(O303&lt;$C$4,"Put","Call"),O303,$C$4,$C$10*SQRT($C$7),,$C$11)+
_xll.qlBlackFormula(IF(O303&lt;$C$4,"Put","Call"),O303-$C$14,$C$4,$C$10*SQRT($C$7),,$C$11))/$C$14^2,"")</f>
        <v>13.533115600372625</v>
      </c>
      <c r="U303" s="43">
        <f>IFERROR((_xll.qlBachelierBlackFormula(IF(O303&lt;$C$4,"Put","Call"),O303+$C$14,$C$4,$C$12*SQRT($C$7))-
2*_xll.qlBachelierBlackFormula(IF(O303&lt;$C$4,"Put","Call"),O303,$C$4,$C$12*SQRT($C$7))+
_xll.qlBachelierBlackFormula(IF(O303&lt;$C$4,"Put","Call"),O303-$C$14,$C$4,$C$12*SQRT($C$7)))/$C$14^2,"")</f>
        <v>16.239439914328415</v>
      </c>
      <c r="V303" s="61" t="str">
        <f>IFERROR(_xll.qlBachelierBlackFormulaImpliedVol(IF(O303&lt;$C$4,"Put","Call"),O303,$C$4,$C$7,P303),"")</f>
        <v/>
      </c>
      <c r="W303" s="61">
        <f>IFERROR(_xll.qlBachelierBlackFormulaImpliedVol(IF(O303&lt;$C$4,"Put","Call"),O303,$C$4,$C$7,Q303),"")</f>
        <v>7.8122334019983747E-3</v>
      </c>
      <c r="X303" s="61">
        <f>IFERROR(_xll.qlBachelierBlackFormulaImpliedVol(IF(O303&lt;$C$4,"Put","Call"),O303,$C$4,$C$7,R303),"")</f>
        <v>7.2019999999992021E-3</v>
      </c>
      <c r="Y303" s="96">
        <f>_xll.qlSmileSectionVolatility($C$40,O303+$C$31)</f>
        <v>8.0769674322588199E-3</v>
      </c>
    </row>
    <row r="304" spans="15:25">
      <c r="O304" s="37">
        <f t="shared" si="5"/>
        <v>1.9899999999999932E-2</v>
      </c>
      <c r="P304" s="38" t="str">
        <f>IFERROR(_xll.qlBlackFormula(IF(O304&lt;$C$4,"Put","Call"),O304,$C$4,$C$9*SQRT($C$7)),"")</f>
        <v/>
      </c>
      <c r="Q304" s="39">
        <f>IFERROR(_xll.qlBlackFormula(IF(O304&lt;$C$4,"Put","Call"),O304,$C$4,$C$10*SQRT($C$7),,$C$11),"")</f>
        <v>1.9133714271900165E-3</v>
      </c>
      <c r="R304" s="40">
        <f>IFERROR(_xll.qlBachelierBlackFormula(IF(O304&lt;$C$4,"Put","Call"),O304,$C$4,$C$12*SQRT($C$7)),"")</f>
        <v>1.5439371387415855E-3</v>
      </c>
      <c r="S304" s="41" t="str">
        <f>IFERROR((_xll.qlBlackFormula(IF(O304&lt;$C$4,"Put","Call"),O304+$C$14,$C$4,$C$9*SQRT($C$7))-
2*_xll.qlBlackFormula(IF(O304&lt;$C$4,"Put","Call"),O304,$C$4,$C$9*SQRT($C$7))+
_xll.qlBlackFormula(IF(O304&lt;$C$4,"Put","Call"),O304-$C$14,$C$4,$C$9*SQRT($C$7)))/$C$14^2,"")</f>
        <v/>
      </c>
      <c r="T304" s="42">
        <f>IFERROR((_xll.qlBlackFormula(IF(O304&lt;$C$4,"Put","Call"),O304+$C$14,$C$4,$C$10*SQRT($C$7),,$C$11)-
2*_xll.qlBlackFormula(IF(O304&lt;$C$4,"Put","Call"),O304,$C$4,$C$10*SQRT($C$7),,$C$11)+
_xll.qlBlackFormula(IF(O304&lt;$C$4,"Put","Call"),O304-$C$14,$C$4,$C$10*SQRT($C$7),,$C$11))/$C$14^2,"")</f>
        <v>13.45239197814152</v>
      </c>
      <c r="U304" s="43">
        <f>IFERROR((_xll.qlBachelierBlackFormula(IF(O304&lt;$C$4,"Put","Call"),O304+$C$14,$C$4,$C$12*SQRT($C$7))-
2*_xll.qlBachelierBlackFormula(IF(O304&lt;$C$4,"Put","Call"),O304,$C$4,$C$12*SQRT($C$7))+
_xll.qlBachelierBlackFormula(IF(O304&lt;$C$4,"Put","Call"),O304-$C$14,$C$4,$C$12*SQRT($C$7)))/$C$14^2,"")</f>
        <v>16.146719378218322</v>
      </c>
      <c r="V304" s="61" t="str">
        <f>IFERROR(_xll.qlBachelierBlackFormulaImpliedVol(IF(O304&lt;$C$4,"Put","Call"),O304,$C$4,$C$7,P304),"")</f>
        <v/>
      </c>
      <c r="W304" s="61">
        <f>IFERROR(_xll.qlBachelierBlackFormulaImpliedVol(IF(O304&lt;$C$4,"Put","Call"),O304,$C$4,$C$7,Q304),"")</f>
        <v>7.8162513891326686E-3</v>
      </c>
      <c r="X304" s="61">
        <f>IFERROR(_xll.qlBachelierBlackFormulaImpliedVol(IF(O304&lt;$C$4,"Put","Call"),O304,$C$4,$C$7,R304),"")</f>
        <v>7.2019999999990564E-3</v>
      </c>
      <c r="Y304" s="96">
        <f>_xll.qlSmileSectionVolatility($C$40,O304+$C$31)</f>
        <v>8.0841461659148604E-3</v>
      </c>
    </row>
    <row r="305" spans="15:25">
      <c r="O305" s="37">
        <f t="shared" si="5"/>
        <v>1.9999999999999931E-2</v>
      </c>
      <c r="P305" s="38" t="str">
        <f>IFERROR(_xll.qlBlackFormula(IF(O305&lt;$C$4,"Put","Call"),O305,$C$4,$C$9*SQRT($C$7)),"")</f>
        <v/>
      </c>
      <c r="Q305" s="39">
        <f>IFERROR(_xll.qlBlackFormula(IF(O305&lt;$C$4,"Put","Call"),O305,$C$4,$C$10*SQRT($C$7),,$C$11),"")</f>
        <v>1.8962339821398631E-3</v>
      </c>
      <c r="R305" s="40">
        <f>IFERROR(_xll.qlBachelierBlackFormula(IF(O305&lt;$C$4,"Put","Call"),O305,$C$4,$C$12*SQRT($C$7)),"")</f>
        <v>1.5262753173599778E-3</v>
      </c>
      <c r="S305" s="41" t="str">
        <f>IFERROR((_xll.qlBlackFormula(IF(O305&lt;$C$4,"Put","Call"),O305+$C$14,$C$4,$C$9*SQRT($C$7))-
2*_xll.qlBlackFormula(IF(O305&lt;$C$4,"Put","Call"),O305,$C$4,$C$9*SQRT($C$7))+
_xll.qlBlackFormula(IF(O305&lt;$C$4,"Put","Call"),O305-$C$14,$C$4,$C$9*SQRT($C$7)))/$C$14^2,"")</f>
        <v/>
      </c>
      <c r="T305" s="42">
        <f>IFERROR((_xll.qlBlackFormula(IF(O305&lt;$C$4,"Put","Call"),O305+$C$14,$C$4,$C$10*SQRT($C$7),,$C$11)-
2*_xll.qlBlackFormula(IF(O305&lt;$C$4,"Put","Call"),O305,$C$4,$C$10*SQRT($C$7),,$C$11)+
_xll.qlBlackFormula(IF(O305&lt;$C$4,"Put","Call"),O305-$C$14,$C$4,$C$10*SQRT($C$7),,$C$11))/$C$14^2,"")</f>
        <v>13.371883461621437</v>
      </c>
      <c r="U305" s="43">
        <f>IFERROR((_xll.qlBachelierBlackFormula(IF(O305&lt;$C$4,"Put","Call"),O305+$C$14,$C$4,$C$12*SQRT($C$7))-
2*_xll.qlBachelierBlackFormula(IF(O305&lt;$C$4,"Put","Call"),O305,$C$4,$C$12*SQRT($C$7))+
_xll.qlBachelierBlackFormula(IF(O305&lt;$C$4,"Put","Call"),O305-$C$14,$C$4,$C$12*SQRT($C$7)))/$C$14^2,"")</f>
        <v>16.053907335444872</v>
      </c>
      <c r="V305" s="61" t="str">
        <f>IFERROR(_xll.qlBachelierBlackFormulaImpliedVol(IF(O305&lt;$C$4,"Put","Call"),O305,$C$4,$C$7,P305),"")</f>
        <v/>
      </c>
      <c r="W305" s="61">
        <f>IFERROR(_xll.qlBachelierBlackFormulaImpliedVol(IF(O305&lt;$C$4,"Put","Call"),O305,$C$4,$C$7,Q305),"")</f>
        <v>7.8202680717117581E-3</v>
      </c>
      <c r="X305" s="61">
        <f>IFERROR(_xll.qlBachelierBlackFormulaImpliedVol(IF(O305&lt;$C$4,"Put","Call"),O305,$C$4,$C$7,R305),"")</f>
        <v>7.2019999999989202E-3</v>
      </c>
      <c r="Y305" s="96">
        <f>_xll.qlSmileSectionVolatility($C$40,O305+$C$31)</f>
        <v>8.0913382900649304E-3</v>
      </c>
    </row>
    <row r="306" spans="15:25">
      <c r="O306" s="37">
        <f t="shared" si="5"/>
        <v>2.009999999999993E-2</v>
      </c>
      <c r="P306" s="38" t="str">
        <f>IFERROR(_xll.qlBlackFormula(IF(O306&lt;$C$4,"Put","Call"),O306,$C$4,$C$9*SQRT($C$7)),"")</f>
        <v/>
      </c>
      <c r="Q306" s="39">
        <f>IFERROR(_xll.qlBlackFormula(IF(O306&lt;$C$4,"Put","Call"),O306,$C$4,$C$10*SQRT($C$7),,$C$11),"")</f>
        <v>1.8792302560862208E-3</v>
      </c>
      <c r="R306" s="40">
        <f>IFERROR(_xll.qlBachelierBlackFormula(IF(O306&lt;$C$4,"Put","Call"),O306,$C$4,$C$12*SQRT($C$7)),"")</f>
        <v>1.5087740349842191E-3</v>
      </c>
      <c r="S306" s="41" t="str">
        <f>IFERROR((_xll.qlBlackFormula(IF(O306&lt;$C$4,"Put","Call"),O306+$C$14,$C$4,$C$9*SQRT($C$7))-
2*_xll.qlBlackFormula(IF(O306&lt;$C$4,"Put","Call"),O306,$C$4,$C$9*SQRT($C$7))+
_xll.qlBlackFormula(IF(O306&lt;$C$4,"Put","Call"),O306-$C$14,$C$4,$C$9*SQRT($C$7)))/$C$14^2,"")</f>
        <v/>
      </c>
      <c r="T306" s="42">
        <f>IFERROR((_xll.qlBlackFormula(IF(O306&lt;$C$4,"Put","Call"),O306+$C$14,$C$4,$C$10*SQRT($C$7),,$C$11)-
2*_xll.qlBlackFormula(IF(O306&lt;$C$4,"Put","Call"),O306,$C$4,$C$10*SQRT($C$7),,$C$11)+
_xll.qlBlackFormula(IF(O306&lt;$C$4,"Put","Call"),O306-$C$14,$C$4,$C$10*SQRT($C$7),,$C$11))/$C$14^2,"")</f>
        <v>13.291569234130662</v>
      </c>
      <c r="U306" s="43">
        <f>IFERROR((_xll.qlBachelierBlackFormula(IF(O306&lt;$C$4,"Put","Call"),O306+$C$14,$C$4,$C$12*SQRT($C$7))-
2*_xll.qlBachelierBlackFormula(IF(O306&lt;$C$4,"Put","Call"),O306,$C$4,$C$12*SQRT($C$7))+
_xll.qlBachelierBlackFormula(IF(O306&lt;$C$4,"Put","Call"),O306-$C$14,$C$4,$C$12*SQRT($C$7)))/$C$14^2,"")</f>
        <v>15.961012893306314</v>
      </c>
      <c r="V306" s="61" t="str">
        <f>IFERROR(_xll.qlBachelierBlackFormulaImpliedVol(IF(O306&lt;$C$4,"Put","Call"),O306,$C$4,$C$7,P306),"")</f>
        <v/>
      </c>
      <c r="W306" s="61">
        <f>IFERROR(_xll.qlBachelierBlackFormulaImpliedVol(IF(O306&lt;$C$4,"Put","Call"),O306,$C$4,$C$7,Q306),"")</f>
        <v>7.8242834516814627E-3</v>
      </c>
      <c r="X306" s="61">
        <f>IFERROR(_xll.qlBachelierBlackFormulaImpliedVol(IF(O306&lt;$C$4,"Put","Call"),O306,$C$4,$C$7,R306),"")</f>
        <v>7.2019999999987901E-3</v>
      </c>
      <c r="Y306" s="96">
        <f>_xll.qlSmileSectionVolatility($C$40,O306+$C$31)</f>
        <v>8.098543729477211E-3</v>
      </c>
    </row>
    <row r="307" spans="15:25">
      <c r="O307" s="37">
        <f t="shared" si="5"/>
        <v>2.019999999999993E-2</v>
      </c>
      <c r="P307" s="38" t="str">
        <f>IFERROR(_xll.qlBlackFormula(IF(O307&lt;$C$4,"Put","Call"),O307,$C$4,$C$9*SQRT($C$7)),"")</f>
        <v/>
      </c>
      <c r="Q307" s="39">
        <f>IFERROR(_xll.qlBlackFormula(IF(O307&lt;$C$4,"Put","Call"),O307,$C$4,$C$10*SQRT($C$7),,$C$11),"")</f>
        <v>1.86235944581295E-3</v>
      </c>
      <c r="R307" s="40">
        <f>IFERROR(_xll.qlBachelierBlackFormula(IF(O307&lt;$C$4,"Put","Call"),O307,$C$4,$C$12*SQRT($C$7)),"")</f>
        <v>1.4914323626938446E-3</v>
      </c>
      <c r="S307" s="41" t="str">
        <f>IFERROR((_xll.qlBlackFormula(IF(O307&lt;$C$4,"Put","Call"),O307+$C$14,$C$4,$C$9*SQRT($C$7))-
2*_xll.qlBlackFormula(IF(O307&lt;$C$4,"Put","Call"),O307,$C$4,$C$9*SQRT($C$7))+
_xll.qlBlackFormula(IF(O307&lt;$C$4,"Put","Call"),O307-$C$14,$C$4,$C$9*SQRT($C$7)))/$C$14^2,"")</f>
        <v/>
      </c>
      <c r="T307" s="42">
        <f>IFERROR((_xll.qlBlackFormula(IF(O307&lt;$C$4,"Put","Call"),O307+$C$14,$C$4,$C$10*SQRT($C$7),,$C$11)-
2*_xll.qlBlackFormula(IF(O307&lt;$C$4,"Put","Call"),O307,$C$4,$C$10*SQRT($C$7),,$C$11)+
_xll.qlBlackFormula(IF(O307&lt;$C$4,"Put","Call"),O307-$C$14,$C$4,$C$10*SQRT($C$7),,$C$11))/$C$14^2,"")</f>
        <v>13.211438887328342</v>
      </c>
      <c r="U307" s="43">
        <f>IFERROR((_xll.qlBachelierBlackFormula(IF(O307&lt;$C$4,"Put","Call"),O307+$C$14,$C$4,$C$12*SQRT($C$7))-
2*_xll.qlBachelierBlackFormula(IF(O307&lt;$C$4,"Put","Call"),O307,$C$4,$C$12*SQRT($C$7))+
_xll.qlBachelierBlackFormula(IF(O307&lt;$C$4,"Put","Call"),O307-$C$14,$C$4,$C$12*SQRT($C$7)))/$C$14^2,"")</f>
        <v>15.868049062228717</v>
      </c>
      <c r="V307" s="61" t="str">
        <f>IFERROR(_xll.qlBachelierBlackFormulaImpliedVol(IF(O307&lt;$C$4,"Put","Call"),O307,$C$4,$C$7,P307),"")</f>
        <v/>
      </c>
      <c r="W307" s="61">
        <f>IFERROR(_xll.qlBachelierBlackFormulaImpliedVol(IF(O307&lt;$C$4,"Put","Call"),O307,$C$4,$C$7,Q307),"")</f>
        <v>7.8282975309826551E-3</v>
      </c>
      <c r="X307" s="61">
        <f>IFERROR(_xll.qlBachelierBlackFormulaImpliedVol(IF(O307&lt;$C$4,"Put","Call"),O307,$C$4,$C$7,R307),"")</f>
        <v>7.2019999999986539E-3</v>
      </c>
      <c r="Y307" s="96">
        <f>_xll.qlSmileSectionVolatility($C$40,O307+$C$31)</f>
        <v>8.105762409139617E-3</v>
      </c>
    </row>
    <row r="308" spans="15:25">
      <c r="O308" s="37">
        <f t="shared" si="5"/>
        <v>2.0299999999999929E-2</v>
      </c>
      <c r="P308" s="38" t="str">
        <f>IFERROR(_xll.qlBlackFormula(IF(O308&lt;$C$4,"Put","Call"),O308,$C$4,$C$9*SQRT($C$7)),"")</f>
        <v/>
      </c>
      <c r="Q308" s="39">
        <f>IFERROR(_xll.qlBlackFormula(IF(O308&lt;$C$4,"Put","Call"),O308,$C$4,$C$10*SQRT($C$7),,$C$11),"")</f>
        <v>1.8456207500630178E-3</v>
      </c>
      <c r="R308" s="40">
        <f>IFERROR(_xll.qlBachelierBlackFormula(IF(O308&lt;$C$4,"Put","Call"),O308,$C$4,$C$12*SQRT($C$7)),"")</f>
        <v>1.4742493708247623E-3</v>
      </c>
      <c r="S308" s="41" t="str">
        <f>IFERROR((_xll.qlBlackFormula(IF(O308&lt;$C$4,"Put","Call"),O308+$C$14,$C$4,$C$9*SQRT($C$7))-
2*_xll.qlBlackFormula(IF(O308&lt;$C$4,"Put","Call"),O308,$C$4,$C$9*SQRT($C$7))+
_xll.qlBlackFormula(IF(O308&lt;$C$4,"Put","Call"),O308-$C$14,$C$4,$C$9*SQRT($C$7)))/$C$14^2,"")</f>
        <v/>
      </c>
      <c r="T308" s="42">
        <f>IFERROR((_xll.qlBlackFormula(IF(O308&lt;$C$4,"Put","Call"),O308+$C$14,$C$4,$C$10*SQRT($C$7),,$C$11)-
2*_xll.qlBlackFormula(IF(O308&lt;$C$4,"Put","Call"),O308,$C$4,$C$10*SQRT($C$7),,$C$11)+
_xll.qlBlackFormula(IF(O308&lt;$C$4,"Put","Call"),O308-$C$14,$C$4,$C$10*SQRT($C$7),,$C$11))/$C$14^2,"")</f>
        <v>13.13152017679009</v>
      </c>
      <c r="U308" s="43">
        <f>IFERROR((_xll.qlBachelierBlackFormula(IF(O308&lt;$C$4,"Put","Call"),O308+$C$14,$C$4,$C$12*SQRT($C$7))-
2*_xll.qlBachelierBlackFormula(IF(O308&lt;$C$4,"Put","Call"),O308,$C$4,$C$12*SQRT($C$7))+
_xll.qlBachelierBlackFormula(IF(O308&lt;$C$4,"Put","Call"),O308-$C$14,$C$4,$C$12*SQRT($C$7)))/$C$14^2,"")</f>
        <v>15.775015408531212</v>
      </c>
      <c r="V308" s="61" t="str">
        <f>IFERROR(_xll.qlBachelierBlackFormulaImpliedVol(IF(O308&lt;$C$4,"Put","Call"),O308,$C$4,$C$7,P308),"")</f>
        <v/>
      </c>
      <c r="W308" s="61">
        <f>IFERROR(_xll.qlBachelierBlackFormulaImpliedVol(IF(O308&lt;$C$4,"Put","Call"),O308,$C$4,$C$7,Q308),"")</f>
        <v>7.8323103115513406E-3</v>
      </c>
      <c r="X308" s="61">
        <f>IFERROR(_xll.qlBachelierBlackFormulaImpliedVol(IF(O308&lt;$C$4,"Put","Call"),O308,$C$4,$C$7,R308),"")</f>
        <v>7.2019999999985264E-3</v>
      </c>
      <c r="Y308" s="96">
        <f>_xll.qlSmileSectionVolatility($C$40,O308+$C$31)</f>
        <v>8.1129942542624584E-3</v>
      </c>
    </row>
    <row r="309" spans="15:25">
      <c r="O309" s="37">
        <f t="shared" si="5"/>
        <v>2.0399999999999929E-2</v>
      </c>
      <c r="P309" s="38" t="str">
        <f>IFERROR(_xll.qlBlackFormula(IF(O309&lt;$C$4,"Put","Call"),O309,$C$4,$C$9*SQRT($C$7)),"")</f>
        <v/>
      </c>
      <c r="Q309" s="39">
        <f>IFERROR(_xll.qlBlackFormula(IF(O309&lt;$C$4,"Put","Call"),O309,$C$4,$C$10*SQRT($C$7),,$C$11),"")</f>
        <v>1.8290133695706215E-3</v>
      </c>
      <c r="R309" s="40">
        <f>IFERROR(_xll.qlBachelierBlackFormula(IF(O309&lt;$C$4,"Put","Call"),O309,$C$4,$C$12*SQRT($C$7)),"")</f>
        <v>1.4572241290450576E-3</v>
      </c>
      <c r="S309" s="41" t="str">
        <f>IFERROR((_xll.qlBlackFormula(IF(O309&lt;$C$4,"Put","Call"),O309+$C$14,$C$4,$C$9*SQRT($C$7))-
2*_xll.qlBlackFormula(IF(O309&lt;$C$4,"Put","Call"),O309,$C$4,$C$9*SQRT($C$7))+
_xll.qlBlackFormula(IF(O309&lt;$C$4,"Put","Call"),O309-$C$14,$C$4,$C$9*SQRT($C$7)))/$C$14^2,"")</f>
        <v/>
      </c>
      <c r="T309" s="42">
        <f>IFERROR((_xll.qlBlackFormula(IF(O309&lt;$C$4,"Put","Call"),O309+$C$14,$C$4,$C$10*SQRT($C$7),,$C$11)-
2*_xll.qlBlackFormula(IF(O309&lt;$C$4,"Put","Call"),O309,$C$4,$C$10*SQRT($C$7),,$C$11)+
_xll.qlBlackFormula(IF(O309&lt;$C$4,"Put","Call"),O309-$C$14,$C$4,$C$10*SQRT($C$7),,$C$11))/$C$14^2,"")</f>
        <v>13.051802694175052</v>
      </c>
      <c r="U309" s="43">
        <f>IFERROR((_xll.qlBachelierBlackFormula(IF(O309&lt;$C$4,"Put","Call"),O309+$C$14,$C$4,$C$12*SQRT($C$7))-
2*_xll.qlBachelierBlackFormula(IF(O309&lt;$C$4,"Put","Call"),O309,$C$4,$C$12*SQRT($C$7))+
_xll.qlBachelierBlackFormula(IF(O309&lt;$C$4,"Put","Call"),O309-$C$14,$C$4,$C$12*SQRT($C$7)))/$C$14^2,"")</f>
        <v>15.681922340554655</v>
      </c>
      <c r="V309" s="61" t="str">
        <f>IFERROR(_xll.qlBachelierBlackFormulaImpliedVol(IF(O309&lt;$C$4,"Put","Call"),O309,$C$4,$C$7,P309),"")</f>
        <v/>
      </c>
      <c r="W309" s="61">
        <f>IFERROR(_xll.qlBachelierBlackFormulaImpliedVol(IF(O309&lt;$C$4,"Put","Call"),O309,$C$4,$C$7,Q309),"")</f>
        <v>7.8363217953186081E-3</v>
      </c>
      <c r="X309" s="61">
        <f>IFERROR(_xll.qlBachelierBlackFormulaImpliedVol(IF(O309&lt;$C$4,"Put","Call"),O309,$C$4,$C$7,R309),"")</f>
        <v>7.2019999999984007E-3</v>
      </c>
      <c r="Y309" s="96">
        <f>_xll.qlSmileSectionVolatility($C$40,O309+$C$31)</f>
        <v>8.1202391902811116E-3</v>
      </c>
    </row>
    <row r="310" spans="15:25">
      <c r="O310" s="37">
        <f t="shared" si="5"/>
        <v>2.0499999999999928E-2</v>
      </c>
      <c r="P310" s="38" t="str">
        <f>IFERROR(_xll.qlBlackFormula(IF(O310&lt;$C$4,"Put","Call"),O310,$C$4,$C$9*SQRT($C$7)),"")</f>
        <v/>
      </c>
      <c r="Q310" s="39">
        <f>IFERROR(_xll.qlBlackFormula(IF(O310&lt;$C$4,"Put","Call"),O310,$C$4,$C$10*SQRT($C$7),,$C$11),"")</f>
        <v>1.8125365070928746E-3</v>
      </c>
      <c r="R310" s="40">
        <f>IFERROR(_xll.qlBachelierBlackFormula(IF(O310&lt;$C$4,"Put","Call"),O310,$C$4,$C$12*SQRT($C$7)),"")</f>
        <v>1.4403557064304445E-3</v>
      </c>
      <c r="S310" s="41" t="str">
        <f>IFERROR((_xll.qlBlackFormula(IF(O310&lt;$C$4,"Put","Call"),O310+$C$14,$C$4,$C$9*SQRT($C$7))-
2*_xll.qlBlackFormula(IF(O310&lt;$C$4,"Put","Call"),O310,$C$4,$C$9*SQRT($C$7))+
_xll.qlBlackFormula(IF(O310&lt;$C$4,"Put","Call"),O310-$C$14,$C$4,$C$9*SQRT($C$7)))/$C$14^2,"")</f>
        <v/>
      </c>
      <c r="T310" s="42">
        <f>IFERROR((_xll.qlBlackFormula(IF(O310&lt;$C$4,"Put","Call"),O310+$C$14,$C$4,$C$10*SQRT($C$7),,$C$11)-
2*_xll.qlBlackFormula(IF(O310&lt;$C$4,"Put","Call"),O310,$C$4,$C$10*SQRT($C$7),,$C$11)+
_xll.qlBlackFormula(IF(O310&lt;$C$4,"Put","Call"),O310-$C$14,$C$4,$C$10*SQRT($C$7),,$C$11))/$C$14^2,"")</f>
        <v>12.972251745013708</v>
      </c>
      <c r="U310" s="43">
        <f>IFERROR((_xll.qlBachelierBlackFormula(IF(O310&lt;$C$4,"Put","Call"),O310+$C$14,$C$4,$C$12*SQRT($C$7))-
2*_xll.qlBachelierBlackFormula(IF(O310&lt;$C$4,"Put","Call"),O310,$C$4,$C$12*SQRT($C$7))+
_xll.qlBachelierBlackFormula(IF(O310&lt;$C$4,"Put","Call"),O310-$C$14,$C$4,$C$12*SQRT($C$7)))/$C$14^2,"")</f>
        <v>15.58877636351208</v>
      </c>
      <c r="V310" s="61" t="str">
        <f>IFERROR(_xll.qlBachelierBlackFormulaImpliedVol(IF(O310&lt;$C$4,"Put","Call"),O310,$C$4,$C$7,P310),"")</f>
        <v/>
      </c>
      <c r="W310" s="61">
        <f>IFERROR(_xll.qlBachelierBlackFormulaImpliedVol(IF(O310&lt;$C$4,"Put","Call"),O310,$C$4,$C$7,Q310),"")</f>
        <v>7.8403319842107622E-3</v>
      </c>
      <c r="X310" s="61">
        <f>IFERROR(_xll.qlBachelierBlackFormulaImpliedVol(IF(O310&lt;$C$4,"Put","Call"),O310,$C$4,$C$7,R310),"")</f>
        <v>7.2019999999982888E-3</v>
      </c>
      <c r="Y310" s="96">
        <f>_xll.qlSmileSectionVolatility($C$40,O310+$C$31)</f>
        <v>8.1274971428586529E-3</v>
      </c>
    </row>
    <row r="311" spans="15:25">
      <c r="O311" s="37">
        <f t="shared" si="5"/>
        <v>2.0599999999999927E-2</v>
      </c>
      <c r="P311" s="38" t="str">
        <f>IFERROR(_xll.qlBlackFormula(IF(O311&lt;$C$4,"Put","Call"),O311,$C$4,$C$9*SQRT($C$7)),"")</f>
        <v/>
      </c>
      <c r="Q311" s="39">
        <f>IFERROR(_xll.qlBlackFormula(IF(O311&lt;$C$4,"Put","Call"),O311,$C$4,$C$10*SQRT($C$7),,$C$11),"")</f>
        <v>1.7961893674408001E-3</v>
      </c>
      <c r="R311" s="40">
        <f>IFERROR(_xll.qlBachelierBlackFormula(IF(O311&lt;$C$4,"Put","Call"),O311,$C$4,$C$12*SQRT($C$7)),"")</f>
        <v>1.4236431715393383E-3</v>
      </c>
      <c r="S311" s="41" t="str">
        <f>IFERROR((_xll.qlBlackFormula(IF(O311&lt;$C$4,"Put","Call"),O311+$C$14,$C$4,$C$9*SQRT($C$7))-
2*_xll.qlBlackFormula(IF(O311&lt;$C$4,"Put","Call"),O311,$C$4,$C$9*SQRT($C$7))+
_xll.qlBlackFormula(IF(O311&lt;$C$4,"Put","Call"),O311-$C$14,$C$4,$C$9*SQRT($C$7)))/$C$14^2,"")</f>
        <v/>
      </c>
      <c r="T311" s="42">
        <f>IFERROR((_xll.qlBlackFormula(IF(O311&lt;$C$4,"Put","Call"),O311+$C$14,$C$4,$C$10*SQRT($C$7),,$C$11)-
2*_xll.qlBlackFormula(IF(O311&lt;$C$4,"Put","Call"),O311,$C$4,$C$10*SQRT($C$7),,$C$11)+
_xll.qlBlackFormula(IF(O311&lt;$C$4,"Put","Call"),O311-$C$14,$C$4,$C$10*SQRT($C$7),,$C$11))/$C$14^2,"")</f>
        <v>12.892964473820712</v>
      </c>
      <c r="U311" s="43">
        <f>IFERROR((_xll.qlBachelierBlackFormula(IF(O311&lt;$C$4,"Put","Call"),O311+$C$14,$C$4,$C$12*SQRT($C$7))-
2*_xll.qlBachelierBlackFormula(IF(O311&lt;$C$4,"Put","Call"),O311,$C$4,$C$12*SQRT($C$7))+
_xll.qlBachelierBlackFormula(IF(O311&lt;$C$4,"Put","Call"),O311-$C$14,$C$4,$C$12*SQRT($C$7)))/$C$14^2,"")</f>
        <v>15.495588753106082</v>
      </c>
      <c r="V311" s="61" t="str">
        <f>IFERROR(_xll.qlBachelierBlackFormulaImpliedVol(IF(O311&lt;$C$4,"Put","Call"),O311,$C$4,$C$7,P311),"")</f>
        <v/>
      </c>
      <c r="W311" s="61">
        <f>IFERROR(_xll.qlBachelierBlackFormulaImpliedVol(IF(O311&lt;$C$4,"Put","Call"),O311,$C$4,$C$7,Q311),"")</f>
        <v>7.8443408801491775E-3</v>
      </c>
      <c r="X311" s="61">
        <f>IFERROR(_xll.qlBachelierBlackFormulaImpliedVol(IF(O311&lt;$C$4,"Put","Call"),O311,$C$4,$C$7,R311),"")</f>
        <v>7.2019999999981795E-3</v>
      </c>
      <c r="Y311" s="96">
        <f>_xll.qlSmileSectionVolatility($C$40,O311+$C$31)</f>
        <v>8.1347680378883718E-3</v>
      </c>
    </row>
    <row r="312" spans="15:25">
      <c r="O312" s="37">
        <f t="shared" si="5"/>
        <v>2.0699999999999927E-2</v>
      </c>
      <c r="P312" s="38" t="str">
        <f>IFERROR(_xll.qlBlackFormula(IF(O312&lt;$C$4,"Put","Call"),O312,$C$4,$C$9*SQRT($C$7)),"")</f>
        <v/>
      </c>
      <c r="Q312" s="39">
        <f>IFERROR(_xll.qlBlackFormula(IF(O312&lt;$C$4,"Put","Call"),O312,$C$4,$C$10*SQRT($C$7),,$C$11),"")</f>
        <v>1.7799711575100449E-3</v>
      </c>
      <c r="R312" s="40">
        <f>IFERROR(_xll.qlBachelierBlackFormula(IF(O312&lt;$C$4,"Put","Call"),O312,$C$4,$C$12*SQRT($C$7)),"")</f>
        <v>1.4070855924875471E-3</v>
      </c>
      <c r="S312" s="41" t="str">
        <f>IFERROR((_xll.qlBlackFormula(IF(O312&lt;$C$4,"Put","Call"),O312+$C$14,$C$4,$C$9*SQRT($C$7))-
2*_xll.qlBlackFormula(IF(O312&lt;$C$4,"Put","Call"),O312,$C$4,$C$9*SQRT($C$7))+
_xll.qlBlackFormula(IF(O312&lt;$C$4,"Put","Call"),O312-$C$14,$C$4,$C$9*SQRT($C$7)))/$C$14^2,"")</f>
        <v/>
      </c>
      <c r="T312" s="42">
        <f>IFERROR((_xll.qlBlackFormula(IF(O312&lt;$C$4,"Put","Call"),O312+$C$14,$C$4,$C$10*SQRT($C$7),,$C$11)-
2*_xll.qlBlackFormula(IF(O312&lt;$C$4,"Put","Call"),O312,$C$4,$C$10*SQRT($C$7),,$C$11)+
_xll.qlBlackFormula(IF(O312&lt;$C$4,"Put","Call"),O312-$C$14,$C$4,$C$10*SQRT($C$7),,$C$11))/$C$14^2,"")</f>
        <v>12.813840266634458</v>
      </c>
      <c r="U312" s="43">
        <f>IFERROR((_xll.qlBachelierBlackFormula(IF(O312&lt;$C$4,"Put","Call"),O312+$C$14,$C$4,$C$12*SQRT($C$7))-
2*_xll.qlBachelierBlackFormula(IF(O312&lt;$C$4,"Put","Call"),O312,$C$4,$C$12*SQRT($C$7))+
_xll.qlBachelierBlackFormula(IF(O312&lt;$C$4,"Put","Call"),O312-$C$14,$C$4,$C$12*SQRT($C$7)))/$C$14^2,"")</f>
        <v>15.402362978783612</v>
      </c>
      <c r="V312" s="61" t="str">
        <f>IFERROR(_xll.qlBachelierBlackFormulaImpliedVol(IF(O312&lt;$C$4,"Put","Call"),O312,$C$4,$C$7,P312),"")</f>
        <v/>
      </c>
      <c r="W312" s="61">
        <f>IFERROR(_xll.qlBachelierBlackFormulaImpliedVol(IF(O312&lt;$C$4,"Put","Call"),O312,$C$4,$C$7,Q312),"")</f>
        <v>7.8483484850505065E-3</v>
      </c>
      <c r="X312" s="61">
        <f>IFERROR(_xll.qlBachelierBlackFormulaImpliedVol(IF(O312&lt;$C$4,"Put","Call"),O312,$C$4,$C$7,R312),"")</f>
        <v>7.2019999999980841E-3</v>
      </c>
      <c r="Y312" s="96">
        <f>_xll.qlSmileSectionVolatility($C$40,O312+$C$31)</f>
        <v>8.1420518014962608E-3</v>
      </c>
    </row>
    <row r="313" spans="15:25">
      <c r="O313" s="37">
        <f t="shared" si="5"/>
        <v>2.0799999999999926E-2</v>
      </c>
      <c r="P313" s="38" t="str">
        <f>IFERROR(_xll.qlBlackFormula(IF(O313&lt;$C$4,"Put","Call"),O313,$C$4,$C$9*SQRT($C$7)),"")</f>
        <v/>
      </c>
      <c r="Q313" s="39">
        <f>IFERROR(_xll.qlBlackFormula(IF(O313&lt;$C$4,"Put","Call"),O313,$C$4,$C$10*SQRT($C$7),,$C$11),"")</f>
        <v>1.7638810863108041E-3</v>
      </c>
      <c r="R313" s="40">
        <f>IFERROR(_xll.qlBachelierBlackFormula(IF(O313&lt;$C$4,"Put","Call"),O313,$C$4,$C$12*SQRT($C$7)),"")</f>
        <v>1.390682037022562E-3</v>
      </c>
      <c r="S313" s="41" t="str">
        <f>IFERROR((_xll.qlBlackFormula(IF(O313&lt;$C$4,"Put","Call"),O313+$C$14,$C$4,$C$9*SQRT($C$7))-
2*_xll.qlBlackFormula(IF(O313&lt;$C$4,"Put","Call"),O313,$C$4,$C$9*SQRT($C$7))+
_xll.qlBlackFormula(IF(O313&lt;$C$4,"Put","Call"),O313-$C$14,$C$4,$C$9*SQRT($C$7)))/$C$14^2,"")</f>
        <v/>
      </c>
      <c r="T313" s="42">
        <f>IFERROR((_xll.qlBlackFormula(IF(O313&lt;$C$4,"Put","Call"),O313+$C$14,$C$4,$C$10*SQRT($C$7),,$C$11)-
2*_xll.qlBlackFormula(IF(O313&lt;$C$4,"Put","Call"),O313,$C$4,$C$10*SQRT($C$7),,$C$11)+
_xll.qlBlackFormula(IF(O313&lt;$C$4,"Put","Call"),O313-$C$14,$C$4,$C$10*SQRT($C$7),,$C$11))/$C$14^2,"")</f>
        <v>12.734962390181792</v>
      </c>
      <c r="U313" s="43">
        <f>IFERROR((_xll.qlBachelierBlackFormula(IF(O313&lt;$C$4,"Put","Call"),O313+$C$14,$C$4,$C$12*SQRT($C$7))-
2*_xll.qlBachelierBlackFormula(IF(O313&lt;$C$4,"Put","Call"),O313,$C$4,$C$12*SQRT($C$7))+
_xll.qlBachelierBlackFormula(IF(O313&lt;$C$4,"Put","Call"),O313-$C$14,$C$4,$C$12*SQRT($C$7)))/$C$14^2,"")</f>
        <v>15.309105545757706</v>
      </c>
      <c r="V313" s="61" t="str">
        <f>IFERROR(_xll.qlBachelierBlackFormulaImpliedVol(IF(O313&lt;$C$4,"Put","Call"),O313,$C$4,$C$7,P313),"")</f>
        <v/>
      </c>
      <c r="W313" s="61">
        <f>IFERROR(_xll.qlBachelierBlackFormulaImpliedVol(IF(O313&lt;$C$4,"Put","Call"),O313,$C$4,$C$7,Q313),"")</f>
        <v>7.852354800826503E-3</v>
      </c>
      <c r="X313" s="61">
        <f>IFERROR(_xll.qlBachelierBlackFormulaImpliedVol(IF(O313&lt;$C$4,"Put","Call"),O313,$C$4,$C$7,R313),"")</f>
        <v>7.2019999999979965E-3</v>
      </c>
      <c r="Y313" s="96">
        <f>_xll.qlSmileSectionVolatility($C$40,O313+$C$31)</f>
        <v>8.1493483600433743E-3</v>
      </c>
    </row>
    <row r="314" spans="15:25">
      <c r="O314" s="37">
        <f t="shared" si="5"/>
        <v>2.0899999999999926E-2</v>
      </c>
      <c r="P314" s="38" t="str">
        <f>IFERROR(_xll.qlBlackFormula(IF(O314&lt;$C$4,"Put","Call"),O314,$C$4,$C$9*SQRT($C$7)),"")</f>
        <v/>
      </c>
      <c r="Q314" s="39">
        <f>IFERROR(_xll.qlBlackFormula(IF(O314&lt;$C$4,"Put","Call"),O314,$C$4,$C$10*SQRT($C$7),,$C$11),"")</f>
        <v>1.7479183649974639E-3</v>
      </c>
      <c r="R314" s="40">
        <f>IFERROR(_xll.qlBachelierBlackFormula(IF(O314&lt;$C$4,"Put","Call"),O314,$C$4,$C$12*SQRT($C$7)),"")</f>
        <v>1.3744315725974466E-3</v>
      </c>
      <c r="S314" s="41" t="str">
        <f>IFERROR((_xll.qlBlackFormula(IF(O314&lt;$C$4,"Put","Call"),O314+$C$14,$C$4,$C$9*SQRT($C$7))-
2*_xll.qlBlackFormula(IF(O314&lt;$C$4,"Put","Call"),O314,$C$4,$C$9*SQRT($C$7))+
_xll.qlBlackFormula(IF(O314&lt;$C$4,"Put","Call"),O314-$C$14,$C$4,$C$9*SQRT($C$7)))/$C$14^2,"")</f>
        <v/>
      </c>
      <c r="T314" s="42">
        <f>IFERROR((_xll.qlBlackFormula(IF(O314&lt;$C$4,"Put","Call"),O314+$C$14,$C$4,$C$10*SQRT($C$7),,$C$11)-
2*_xll.qlBlackFormula(IF(O314&lt;$C$4,"Put","Call"),O314,$C$4,$C$10*SQRT($C$7),,$C$11)+
_xll.qlBlackFormula(IF(O314&lt;$C$4,"Put","Call"),O314-$C$14,$C$4,$C$10*SQRT($C$7),,$C$11))/$C$14^2,"")</f>
        <v>12.656299619440148</v>
      </c>
      <c r="U314" s="43">
        <f>IFERROR((_xll.qlBachelierBlackFormula(IF(O314&lt;$C$4,"Put","Call"),O314+$C$14,$C$4,$C$12*SQRT($C$7))-
2*_xll.qlBachelierBlackFormula(IF(O314&lt;$C$4,"Put","Call"),O314,$C$4,$C$12*SQRT($C$7))+
_xll.qlBachelierBlackFormula(IF(O314&lt;$C$4,"Put","Call"),O314-$C$14,$C$4,$C$12*SQRT($C$7)))/$C$14^2,"")</f>
        <v>15.215827729730957</v>
      </c>
      <c r="V314" s="61" t="str">
        <f>IFERROR(_xll.qlBachelierBlackFormulaImpliedVol(IF(O314&lt;$C$4,"Put","Call"),O314,$C$4,$C$7,P314),"")</f>
        <v/>
      </c>
      <c r="W314" s="61">
        <f>IFERROR(_xll.qlBachelierBlackFormulaImpliedVol(IF(O314&lt;$C$4,"Put","Call"),O314,$C$4,$C$7,Q314),"")</f>
        <v>7.8563598293842022E-3</v>
      </c>
      <c r="X314" s="61">
        <f>IFERROR(_xll.qlBachelierBlackFormulaImpliedVol(IF(O314&lt;$C$4,"Put","Call"),O314,$C$4,$C$7,R314),"")</f>
        <v>7.201999999997921E-3</v>
      </c>
      <c r="Y314" s="96">
        <f>_xll.qlSmileSectionVolatility($C$40,O314+$C$31)</f>
        <v>8.1566576401282172E-3</v>
      </c>
    </row>
    <row r="315" spans="15:25">
      <c r="O315" s="37">
        <f t="shared" si="5"/>
        <v>2.0999999999999925E-2</v>
      </c>
      <c r="P315" s="38" t="str">
        <f>IFERROR(_xll.qlBlackFormula(IF(O315&lt;$C$4,"Put","Call"),O315,$C$4,$C$9*SQRT($C$7)),"")</f>
        <v/>
      </c>
      <c r="Q315" s="39">
        <f>IFERROR(_xll.qlBlackFormula(IF(O315&lt;$C$4,"Put","Call"),O315,$C$4,$C$10*SQRT($C$7),,$C$11),"")</f>
        <v>1.7320822068975679E-3</v>
      </c>
      <c r="R315" s="40">
        <f>IFERROR(_xll.qlBachelierBlackFormula(IF(O315&lt;$C$4,"Put","Call"),O315,$C$4,$C$12*SQRT($C$7)),"")</f>
        <v>1.3583332664443195E-3</v>
      </c>
      <c r="S315" s="41" t="str">
        <f>IFERROR((_xll.qlBlackFormula(IF(O315&lt;$C$4,"Put","Call"),O315+$C$14,$C$4,$C$9*SQRT($C$7))-
2*_xll.qlBlackFormula(IF(O315&lt;$C$4,"Put","Call"),O315,$C$4,$C$9*SQRT($C$7))+
_xll.qlBlackFormula(IF(O315&lt;$C$4,"Put","Call"),O315-$C$14,$C$4,$C$9*SQRT($C$7)))/$C$14^2,"")</f>
        <v/>
      </c>
      <c r="T315" s="42">
        <f>IFERROR((_xll.qlBlackFormula(IF(O315&lt;$C$4,"Put","Call"),O315+$C$14,$C$4,$C$10*SQRT($C$7),,$C$11)-
2*_xll.qlBlackFormula(IF(O315&lt;$C$4,"Put","Call"),O315,$C$4,$C$10*SQRT($C$7),,$C$11)+
_xll.qlBlackFormula(IF(O315&lt;$C$4,"Put","Call"),O315-$C$14,$C$4,$C$10*SQRT($C$7),,$C$11))/$C$14^2,"")</f>
        <v>12.577858893303429</v>
      </c>
      <c r="U315" s="43">
        <f>IFERROR((_xll.qlBachelierBlackFormula(IF(O315&lt;$C$4,"Put","Call"),O315+$C$14,$C$4,$C$12*SQRT($C$7))-
2*_xll.qlBachelierBlackFormula(IF(O315&lt;$C$4,"Put","Call"),O315,$C$4,$C$12*SQRT($C$7))+
_xll.qlBachelierBlackFormula(IF(O315&lt;$C$4,"Put","Call"),O315-$C$14,$C$4,$C$12*SQRT($C$7)))/$C$14^2,"")</f>
        <v>15.12253646959727</v>
      </c>
      <c r="V315" s="61" t="str">
        <f>IFERROR(_xll.qlBachelierBlackFormulaImpliedVol(IF(O315&lt;$C$4,"Put","Call"),O315,$C$4,$C$7,P315),"")</f>
        <v/>
      </c>
      <c r="W315" s="61">
        <f>IFERROR(_xll.qlBachelierBlackFormulaImpliedVol(IF(O315&lt;$C$4,"Put","Call"),O315,$C$4,$C$7,Q315),"")</f>
        <v>7.8603635726258413E-3</v>
      </c>
      <c r="X315" s="61">
        <f>IFERROR(_xll.qlBachelierBlackFormulaImpliedVol(IF(O315&lt;$C$4,"Put","Call"),O315,$C$4,$C$7,R315),"")</f>
        <v>7.2019999999978612E-3</v>
      </c>
      <c r="Y315" s="96">
        <f>_xll.qlSmileSectionVolatility($C$40,O315+$C$31)</f>
        <v>8.163979568589011E-3</v>
      </c>
    </row>
    <row r="316" spans="15:25">
      <c r="O316" s="37">
        <f t="shared" si="5"/>
        <v>2.1099999999999924E-2</v>
      </c>
      <c r="P316" s="38" t="str">
        <f>IFERROR(_xll.qlBlackFormula(IF(O316&lt;$C$4,"Put","Call"),O316,$C$4,$C$9*SQRT($C$7)),"")</f>
        <v/>
      </c>
      <c r="Q316" s="39">
        <f>IFERROR(_xll.qlBlackFormula(IF(O316&lt;$C$4,"Put","Call"),O316,$C$4,$C$10*SQRT($C$7),,$C$11),"")</f>
        <v>1.7163718275403431E-3</v>
      </c>
      <c r="R316" s="40">
        <f>IFERROR(_xll.qlBachelierBlackFormula(IF(O316&lt;$C$4,"Put","Call"),O316,$C$4,$C$12*SQRT($C$7)),"")</f>
        <v>1.3423861856474107E-3</v>
      </c>
      <c r="S316" s="41" t="str">
        <f>IFERROR((_xll.qlBlackFormula(IF(O316&lt;$C$4,"Put","Call"),O316+$C$14,$C$4,$C$9*SQRT($C$7))-
2*_xll.qlBlackFormula(IF(O316&lt;$C$4,"Put","Call"),O316,$C$4,$C$9*SQRT($C$7))+
_xll.qlBlackFormula(IF(O316&lt;$C$4,"Put","Call"),O316-$C$14,$C$4,$C$9*SQRT($C$7)))/$C$14^2,"")</f>
        <v/>
      </c>
      <c r="T316" s="42">
        <f>IFERROR((_xll.qlBlackFormula(IF(O316&lt;$C$4,"Put","Call"),O316+$C$14,$C$4,$C$10*SQRT($C$7),,$C$11)-
2*_xll.qlBlackFormula(IF(O316&lt;$C$4,"Put","Call"),O316,$C$4,$C$10*SQRT($C$7),,$C$11)+
_xll.qlBlackFormula(IF(O316&lt;$C$4,"Put","Call"),O316-$C$14,$C$4,$C$10*SQRT($C$7),,$C$11))/$C$14^2,"")</f>
        <v>12.499636742324682</v>
      </c>
      <c r="U316" s="43">
        <f>IFERROR((_xll.qlBachelierBlackFormula(IF(O316&lt;$C$4,"Put","Call"),O316+$C$14,$C$4,$C$12*SQRT($C$7))-
2*_xll.qlBachelierBlackFormula(IF(O316&lt;$C$4,"Put","Call"),O316,$C$4,$C$12*SQRT($C$7))+
_xll.qlBachelierBlackFormula(IF(O316&lt;$C$4,"Put","Call"),O316-$C$14,$C$4,$C$12*SQRT($C$7)))/$C$14^2,"")</f>
        <v>15.02923740320794</v>
      </c>
      <c r="V316" s="61" t="str">
        <f>IFERROR(_xll.qlBachelierBlackFormulaImpliedVol(IF(O316&lt;$C$4,"Put","Call"),O316,$C$4,$C$7,P316),"")</f>
        <v/>
      </c>
      <c r="W316" s="61">
        <f>IFERROR(_xll.qlBachelierBlackFormulaImpliedVol(IF(O316&lt;$C$4,"Put","Call"),O316,$C$4,$C$7,Q316),"")</f>
        <v>7.8643660324488902E-3</v>
      </c>
      <c r="X316" s="61">
        <f>IFERROR(_xll.qlBachelierBlackFormulaImpliedVol(IF(O316&lt;$C$4,"Put","Call"),O316,$C$4,$C$7,R316),"")</f>
        <v>7.2019999999978134E-3</v>
      </c>
      <c r="Y316" s="96">
        <f>_xll.qlSmileSectionVolatility($C$40,O316+$C$31)</f>
        <v>8.1713140725058909E-3</v>
      </c>
    </row>
    <row r="317" spans="15:25">
      <c r="O317" s="37">
        <f t="shared" si="5"/>
        <v>2.1199999999999924E-2</v>
      </c>
      <c r="P317" s="38" t="str">
        <f>IFERROR(_xll.qlBlackFormula(IF(O317&lt;$C$4,"Put","Call"),O317,$C$4,$C$9*SQRT($C$7)),"")</f>
        <v/>
      </c>
      <c r="Q317" s="39">
        <f>IFERROR(_xll.qlBlackFormula(IF(O317&lt;$C$4,"Put","Call"),O317,$C$4,$C$10*SQRT($C$7),,$C$11),"")</f>
        <v>1.7007864446847189E-3</v>
      </c>
      <c r="R317" s="40">
        <f>IFERROR(_xll.qlBachelierBlackFormula(IF(O317&lt;$C$4,"Put","Call"),O317,$C$4,$C$12*SQRT($C$7)),"")</f>
        <v>1.3265893972156922E-3</v>
      </c>
      <c r="S317" s="41" t="str">
        <f>IFERROR((_xll.qlBlackFormula(IF(O317&lt;$C$4,"Put","Call"),O317+$C$14,$C$4,$C$9*SQRT($C$7))-
2*_xll.qlBlackFormula(IF(O317&lt;$C$4,"Put","Call"),O317,$C$4,$C$9*SQRT($C$7))+
_xll.qlBlackFormula(IF(O317&lt;$C$4,"Put","Call"),O317-$C$14,$C$4,$C$9*SQRT($C$7)))/$C$14^2,"")</f>
        <v/>
      </c>
      <c r="T317" s="42">
        <f>IFERROR((_xll.qlBlackFormula(IF(O317&lt;$C$4,"Put","Call"),O317+$C$14,$C$4,$C$10*SQRT($C$7),,$C$11)-
2*_xll.qlBlackFormula(IF(O317&lt;$C$4,"Put","Call"),O317,$C$4,$C$10*SQRT($C$7),,$C$11)+
_xll.qlBlackFormula(IF(O317&lt;$C$4,"Put","Call"),O317-$C$14,$C$4,$C$10*SQRT($C$7),,$C$11))/$C$14^2,"")</f>
        <v>12.421633166503909</v>
      </c>
      <c r="U317" s="43">
        <f>IFERROR((_xll.qlBachelierBlackFormula(IF(O317&lt;$C$4,"Put","Call"),O317+$C$14,$C$4,$C$12*SQRT($C$7))-
2*_xll.qlBachelierBlackFormula(IF(O317&lt;$C$4,"Put","Call"),O317,$C$4,$C$12*SQRT($C$7))+
_xll.qlBachelierBlackFormula(IF(O317&lt;$C$4,"Put","Call"),O317-$C$14,$C$4,$C$12*SQRT($C$7)))/$C$14^2,"")</f>
        <v>14.935937035776004</v>
      </c>
      <c r="V317" s="61" t="str">
        <f>IFERROR(_xll.qlBachelierBlackFormulaImpliedVol(IF(O317&lt;$C$4,"Put","Call"),O317,$C$4,$C$7,P317),"")</f>
        <v/>
      </c>
      <c r="W317" s="61">
        <f>IFERROR(_xll.qlBachelierBlackFormulaImpliedVol(IF(O317&lt;$C$4,"Put","Call"),O317,$C$4,$C$7,Q317),"")</f>
        <v>7.8683672107461213E-3</v>
      </c>
      <c r="X317" s="61">
        <f>IFERROR(_xll.qlBachelierBlackFormulaImpliedVol(IF(O317&lt;$C$4,"Put","Call"),O317,$C$4,$C$7,R317),"")</f>
        <v>7.2019999999977814E-3</v>
      </c>
      <c r="Y317" s="96">
        <f>_xll.qlSmileSectionVolatility($C$40,O317+$C$31)</f>
        <v>8.1786610792030558E-3</v>
      </c>
    </row>
    <row r="318" spans="15:25">
      <c r="O318" s="37">
        <f t="shared" si="5"/>
        <v>2.1299999999999923E-2</v>
      </c>
      <c r="P318" s="38" t="str">
        <f>IFERROR(_xll.qlBlackFormula(IF(O318&lt;$C$4,"Put","Call"),O318,$C$4,$C$9*SQRT($C$7)),"")</f>
        <v/>
      </c>
      <c r="Q318" s="39">
        <f>IFERROR(_xll.qlBlackFormula(IF(O318&lt;$C$4,"Put","Call"),O318,$C$4,$C$10*SQRT($C$7),,$C$11),"")</f>
        <v>1.6853252783467949E-3</v>
      </c>
      <c r="R318" s="40">
        <f>IFERROR(_xll.qlBachelierBlackFormula(IF(O318&lt;$C$4,"Put","Call"),O318,$C$4,$C$12*SQRT($C$7)),"")</f>
        <v>1.3109419681550656E-3</v>
      </c>
      <c r="S318" s="41" t="str">
        <f>IFERROR((_xll.qlBlackFormula(IF(O318&lt;$C$4,"Put","Call"),O318+$C$14,$C$4,$C$9*SQRT($C$7))-
2*_xll.qlBlackFormula(IF(O318&lt;$C$4,"Put","Call"),O318,$C$4,$C$9*SQRT($C$7))+
_xll.qlBlackFormula(IF(O318&lt;$C$4,"Put","Call"),O318-$C$14,$C$4,$C$9*SQRT($C$7)))/$C$14^2,"")</f>
        <v/>
      </c>
      <c r="T318" s="42">
        <f>IFERROR((_xll.qlBlackFormula(IF(O318&lt;$C$4,"Put","Call"),O318+$C$14,$C$4,$C$10*SQRT($C$7),,$C$11)-
2*_xll.qlBlackFormula(IF(O318&lt;$C$4,"Put","Call"),O318,$C$4,$C$10*SQRT($C$7),,$C$11)+
_xll.qlBlackFormula(IF(O318&lt;$C$4,"Put","Call"),O318-$C$14,$C$4,$C$10*SQRT($C$7),,$C$11))/$C$14^2,"")</f>
        <v>12.343851635288061</v>
      </c>
      <c r="U318" s="43">
        <f>IFERROR((_xll.qlBachelierBlackFormula(IF(O318&lt;$C$4,"Put","Call"),O318+$C$14,$C$4,$C$12*SQRT($C$7))-
2*_xll.qlBachelierBlackFormula(IF(O318&lt;$C$4,"Put","Call"),O318,$C$4,$C$12*SQRT($C$7))+
_xll.qlBachelierBlackFormula(IF(O318&lt;$C$4,"Put","Call"),O318-$C$14,$C$4,$C$12*SQRT($C$7)))/$C$14^2,"")</f>
        <v>14.842643607237971</v>
      </c>
      <c r="V318" s="61" t="str">
        <f>IFERROR(_xll.qlBachelierBlackFormulaImpliedVol(IF(O318&lt;$C$4,"Put","Call"),O318,$C$4,$C$7,P318),"")</f>
        <v/>
      </c>
      <c r="W318" s="61">
        <f>IFERROR(_xll.qlBachelierBlackFormulaImpliedVol(IF(O318&lt;$C$4,"Put","Call"),O318,$C$4,$C$7,Q318),"")</f>
        <v>7.8723671094055488E-3</v>
      </c>
      <c r="X318" s="61">
        <f>IFERROR(_xll.qlBachelierBlackFormulaImpliedVol(IF(O318&lt;$C$4,"Put","Call"),O318,$C$4,$C$7,R318),"")</f>
        <v>7.2019999999977666E-3</v>
      </c>
      <c r="Y318" s="96">
        <f>_xll.qlSmileSectionVolatility($C$40,O318+$C$31)</f>
        <v>8.186020516250881E-3</v>
      </c>
    </row>
    <row r="319" spans="15:25">
      <c r="O319" s="37">
        <f t="shared" si="5"/>
        <v>2.1399999999999923E-2</v>
      </c>
      <c r="P319" s="38" t="str">
        <f>IFERROR(_xll.qlBlackFormula(IF(O319&lt;$C$4,"Put","Call"),O319,$C$4,$C$9*SQRT($C$7)),"")</f>
        <v/>
      </c>
      <c r="Q319" s="39">
        <f>IFERROR(_xll.qlBlackFormula(IF(O319&lt;$C$4,"Put","Call"),O319,$C$4,$C$10*SQRT($C$7),,$C$11),"")</f>
        <v>1.6699875508268368E-3</v>
      </c>
      <c r="R319" s="40">
        <f>IFERROR(_xll.qlBachelierBlackFormula(IF(O319&lt;$C$4,"Put","Call"),O319,$C$4,$C$12*SQRT($C$7)),"")</f>
        <v>1.2954429655401066E-3</v>
      </c>
      <c r="S319" s="41" t="str">
        <f>IFERROR((_xll.qlBlackFormula(IF(O319&lt;$C$4,"Put","Call"),O319+$C$14,$C$4,$C$9*SQRT($C$7))-
2*_xll.qlBlackFormula(IF(O319&lt;$C$4,"Put","Call"),O319,$C$4,$C$9*SQRT($C$7))+
_xll.qlBlackFormula(IF(O319&lt;$C$4,"Put","Call"),O319-$C$14,$C$4,$C$9*SQRT($C$7)))/$C$14^2,"")</f>
        <v/>
      </c>
      <c r="T319" s="42">
        <f>IFERROR((_xll.qlBlackFormula(IF(O319&lt;$C$4,"Put","Call"),O319+$C$14,$C$4,$C$10*SQRT($C$7),,$C$11)-
2*_xll.qlBlackFormula(IF(O319&lt;$C$4,"Put","Call"),O319,$C$4,$C$10*SQRT($C$7),,$C$11)+
_xll.qlBlackFormula(IF(O319&lt;$C$4,"Put","Call"),O319-$C$14,$C$4,$C$10*SQRT($C$7),,$C$11))/$C$14^2,"")</f>
        <v>12.266309495911898</v>
      </c>
      <c r="U319" s="43">
        <f>IFERROR((_xll.qlBachelierBlackFormula(IF(O319&lt;$C$4,"Put","Call"),O319+$C$14,$C$4,$C$12*SQRT($C$7))-
2*_xll.qlBachelierBlackFormula(IF(O319&lt;$C$4,"Put","Call"),O319,$C$4,$C$12*SQRT($C$7))+
_xll.qlBachelierBlackFormula(IF(O319&lt;$C$4,"Put","Call"),O319-$C$14,$C$4,$C$12*SQRT($C$7)))/$C$14^2,"")</f>
        <v>14.749364490168615</v>
      </c>
      <c r="V319" s="61" t="str">
        <f>IFERROR(_xll.qlBachelierBlackFormulaImpliedVol(IF(O319&lt;$C$4,"Put","Call"),O319,$C$4,$C$7,P319),"")</f>
        <v/>
      </c>
      <c r="W319" s="61">
        <f>IFERROR(_xll.qlBachelierBlackFormulaImpliedVol(IF(O319&lt;$C$4,"Put","Call"),O319,$C$4,$C$7,Q319),"")</f>
        <v>7.8763657303104924E-3</v>
      </c>
      <c r="X319" s="61">
        <f>IFERROR(_xll.qlBachelierBlackFormulaImpliedVol(IF(O319&lt;$C$4,"Put","Call"),O319,$C$4,$C$7,R319),"")</f>
        <v>7.2019999999977692E-3</v>
      </c>
      <c r="Y319" s="96">
        <f>_xll.qlSmileSectionVolatility($C$40,O319+$C$31)</f>
        <v>8.1933923114679459E-3</v>
      </c>
    </row>
    <row r="320" spans="15:25">
      <c r="O320" s="37">
        <f t="shared" si="5"/>
        <v>2.1499999999999922E-2</v>
      </c>
      <c r="P320" s="38" t="str">
        <f>IFERROR(_xll.qlBlackFormula(IF(O320&lt;$C$4,"Put","Call"),O320,$C$4,$C$9*SQRT($C$7)),"")</f>
        <v/>
      </c>
      <c r="Q320" s="39">
        <f>IFERROR(_xll.qlBlackFormula(IF(O320&lt;$C$4,"Put","Call"),O320,$C$4,$C$10*SQRT($C$7),,$C$11),"")</f>
        <v>1.6547724867357737E-3</v>
      </c>
      <c r="R320" s="40">
        <f>IFERROR(_xll.qlBachelierBlackFormula(IF(O320&lt;$C$4,"Put","Call"),O320,$C$4,$C$12*SQRT($C$7)),"")</f>
        <v>1.2800914565853565E-3</v>
      </c>
      <c r="S320" s="41" t="str">
        <f>IFERROR((_xll.qlBlackFormula(IF(O320&lt;$C$4,"Put","Call"),O320+$C$14,$C$4,$C$9*SQRT($C$7))-
2*_xll.qlBlackFormula(IF(O320&lt;$C$4,"Put","Call"),O320,$C$4,$C$9*SQRT($C$7))+
_xll.qlBlackFormula(IF(O320&lt;$C$4,"Put","Call"),O320-$C$14,$C$4,$C$9*SQRT($C$7)))/$C$14^2,"")</f>
        <v/>
      </c>
      <c r="T320" s="42">
        <f>IFERROR((_xll.qlBlackFormula(IF(O320&lt;$C$4,"Put","Call"),O320+$C$14,$C$4,$C$10*SQRT($C$7),,$C$11)-
2*_xll.qlBlackFormula(IF(O320&lt;$C$4,"Put","Call"),O320,$C$4,$C$10*SQRT($C$7),,$C$11)+
_xll.qlBlackFormula(IF(O320&lt;$C$4,"Put","Call"),O320-$C$14,$C$4,$C$10*SQRT($C$7),,$C$11))/$C$14^2,"")</f>
        <v>12.189025830333655</v>
      </c>
      <c r="U320" s="43">
        <f>IFERROR((_xll.qlBachelierBlackFormula(IF(O320&lt;$C$4,"Put","Call"),O320+$C$14,$C$4,$C$12*SQRT($C$7))-
2*_xll.qlBachelierBlackFormula(IF(O320&lt;$C$4,"Put","Call"),O320,$C$4,$C$12*SQRT($C$7))+
_xll.qlBachelierBlackFormula(IF(O320&lt;$C$4,"Put","Call"),O320-$C$14,$C$4,$C$12*SQRT($C$7)))/$C$14^2,"")</f>
        <v>14.65610662346184</v>
      </c>
      <c r="V320" s="61" t="str">
        <f>IFERROR(_xll.qlBachelierBlackFormulaImpliedVol(IF(O320&lt;$C$4,"Put","Call"),O320,$C$4,$C$7,P320),"")</f>
        <v/>
      </c>
      <c r="W320" s="61">
        <f>IFERROR(_xll.qlBachelierBlackFormulaImpliedVol(IF(O320&lt;$C$4,"Put","Call"),O320,$C$4,$C$7,Q320),"")</f>
        <v>7.8803630753395641E-3</v>
      </c>
      <c r="X320" s="61">
        <f>IFERROR(_xll.qlBachelierBlackFormulaImpliedVol(IF(O320&lt;$C$4,"Put","Call"),O320,$C$4,$C$7,R320),"")</f>
        <v>7.2019999999977866E-3</v>
      </c>
      <c r="Y320" s="96">
        <f>_xll.qlSmileSectionVolatility($C$40,O320+$C$31)</f>
        <v>8.2007763929229718E-3</v>
      </c>
    </row>
    <row r="321" spans="15:25">
      <c r="O321" s="37">
        <f t="shared" si="5"/>
        <v>2.1599999999999921E-2</v>
      </c>
      <c r="P321" s="38" t="str">
        <f>IFERROR(_xll.qlBlackFormula(IF(O321&lt;$C$4,"Put","Call"),O321,$C$4,$C$9*SQRT($C$7)),"")</f>
        <v/>
      </c>
      <c r="Q321" s="39">
        <f>IFERROR(_xll.qlBlackFormula(IF(O321&lt;$C$4,"Put","Call"),O321,$C$4,$C$10*SQRT($C$7),,$C$11),"")</f>
        <v>1.639679313021206E-3</v>
      </c>
      <c r="R321" s="40">
        <f>IFERROR(_xll.qlBachelierBlackFormula(IF(O321&lt;$C$4,"Put","Call"),O321,$C$4,$C$12*SQRT($C$7)),"")</f>
        <v>1.264886508716148E-3</v>
      </c>
      <c r="S321" s="41" t="str">
        <f>IFERROR((_xll.qlBlackFormula(IF(O321&lt;$C$4,"Put","Call"),O321+$C$14,$C$4,$C$9*SQRT($C$7))-
2*_xll.qlBlackFormula(IF(O321&lt;$C$4,"Put","Call"),O321,$C$4,$C$9*SQRT($C$7))+
_xll.qlBlackFormula(IF(O321&lt;$C$4,"Put","Call"),O321-$C$14,$C$4,$C$9*SQRT($C$7)))/$C$14^2,"")</f>
        <v/>
      </c>
      <c r="T321" s="42">
        <f>IFERROR((_xll.qlBlackFormula(IF(O321&lt;$C$4,"Put","Call"),O321+$C$14,$C$4,$C$10*SQRT($C$7),,$C$11)-
2*_xll.qlBlackFormula(IF(O321&lt;$C$4,"Put","Call"),O321,$C$4,$C$10*SQRT($C$7),,$C$11)+
_xll.qlBlackFormula(IF(O321&lt;$C$4,"Put","Call"),O321-$C$14,$C$4,$C$10*SQRT($C$7),,$C$11))/$C$14^2,"")</f>
        <v>12.111936453784722</v>
      </c>
      <c r="U321" s="43">
        <f>IFERROR((_xll.qlBachelierBlackFormula(IF(O321&lt;$C$4,"Put","Call"),O321+$C$14,$C$4,$C$12*SQRT($C$7))-
2*_xll.qlBachelierBlackFormula(IF(O321&lt;$C$4,"Put","Call"),O321,$C$4,$C$12*SQRT($C$7))+
_xll.qlBachelierBlackFormula(IF(O321&lt;$C$4,"Put","Call"),O321-$C$14,$C$4,$C$12*SQRT($C$7)))/$C$14^2,"")</f>
        <v>14.56287651233068</v>
      </c>
      <c r="V321" s="61" t="str">
        <f>IFERROR(_xll.qlBachelierBlackFormulaImpliedVol(IF(O321&lt;$C$4,"Put","Call"),O321,$C$4,$C$7,P321),"")</f>
        <v/>
      </c>
      <c r="W321" s="61">
        <f>IFERROR(_xll.qlBachelierBlackFormulaImpliedVol(IF(O321&lt;$C$4,"Put","Call"),O321,$C$4,$C$7,Q321),"")</f>
        <v>7.8843591463667786E-3</v>
      </c>
      <c r="X321" s="61">
        <f>IFERROR(_xll.qlBachelierBlackFormulaImpliedVol(IF(O321&lt;$C$4,"Put","Call"),O321,$C$4,$C$7,R321),"")</f>
        <v>7.2019999999978247E-3</v>
      </c>
      <c r="Y321" s="96">
        <f>_xll.qlSmileSectionVolatility($C$40,O321+$C$31)</f>
        <v>8.2081726889367632E-3</v>
      </c>
    </row>
    <row r="322" spans="15:25">
      <c r="O322" s="37">
        <f t="shared" si="5"/>
        <v>2.1699999999999921E-2</v>
      </c>
      <c r="P322" s="38" t="str">
        <f>IFERROR(_xll.qlBlackFormula(IF(O322&lt;$C$4,"Put","Call"),O322,$C$4,$C$9*SQRT($C$7)),"")</f>
        <v/>
      </c>
      <c r="Q322" s="39">
        <f>IFERROR(_xll.qlBlackFormula(IF(O322&lt;$C$4,"Put","Call"),O322,$C$4,$C$10*SQRT($C$7),,$C$11),"")</f>
        <v>1.6247072589928302E-3</v>
      </c>
      <c r="R322" s="40">
        <f>IFERROR(_xll.qlBachelierBlackFormula(IF(O322&lt;$C$4,"Put","Call"),O322,$C$4,$C$12*SQRT($C$7)),"")</f>
        <v>1.249827189638961E-3</v>
      </c>
      <c r="S322" s="41" t="str">
        <f>IFERROR((_xll.qlBlackFormula(IF(O322&lt;$C$4,"Put","Call"),O322+$C$14,$C$4,$C$9*SQRT($C$7))-
2*_xll.qlBlackFormula(IF(O322&lt;$C$4,"Put","Call"),O322,$C$4,$C$9*SQRT($C$7))+
_xll.qlBlackFormula(IF(O322&lt;$C$4,"Put","Call"),O322-$C$14,$C$4,$C$9*SQRT($C$7)))/$C$14^2,"")</f>
        <v/>
      </c>
      <c r="T322" s="42">
        <f>IFERROR((_xll.qlBlackFormula(IF(O322&lt;$C$4,"Put","Call"),O322+$C$14,$C$4,$C$10*SQRT($C$7),,$C$11)-
2*_xll.qlBlackFormula(IF(O322&lt;$C$4,"Put","Call"),O322,$C$4,$C$10*SQRT($C$7),,$C$11)+
_xll.qlBlackFormula(IF(O322&lt;$C$4,"Put","Call"),O322-$C$14,$C$4,$C$10*SQRT($C$7),,$C$11))/$C$14^2,"")</f>
        <v>12.035109020480661</v>
      </c>
      <c r="U322" s="43">
        <f>IFERROR((_xll.qlBachelierBlackFormula(IF(O322&lt;$C$4,"Put","Call"),O322+$C$14,$C$4,$C$12*SQRT($C$7))-
2*_xll.qlBachelierBlackFormula(IF(O322&lt;$C$4,"Put","Call"),O322,$C$4,$C$12*SQRT($C$7))+
_xll.qlBachelierBlackFormula(IF(O322&lt;$C$4,"Put","Call"),O322-$C$14,$C$4,$C$12*SQRT($C$7)))/$C$14^2,"")</f>
        <v>14.469681529349909</v>
      </c>
      <c r="V322" s="61" t="str">
        <f>IFERROR(_xll.qlBachelierBlackFormulaImpliedVol(IF(O322&lt;$C$4,"Put","Call"),O322,$C$4,$C$7,P322),"")</f>
        <v/>
      </c>
      <c r="W322" s="61">
        <f>IFERROR(_xll.qlBachelierBlackFormulaImpliedVol(IF(O322&lt;$C$4,"Put","Call"),O322,$C$4,$C$7,Q322),"")</f>
        <v>7.8883539452613994E-3</v>
      </c>
      <c r="X322" s="61">
        <f>IFERROR(_xll.qlBachelierBlackFormulaImpliedVol(IF(O322&lt;$C$4,"Put","Call"),O322,$C$4,$C$7,R322),"")</f>
        <v>7.2019999999978846E-3</v>
      </c>
      <c r="Y322" s="96">
        <f>_xll.qlSmileSectionVolatility($C$40,O322+$C$31)</f>
        <v>8.2155811280840499E-3</v>
      </c>
    </row>
    <row r="323" spans="15:25">
      <c r="O323" s="37">
        <f t="shared" si="5"/>
        <v>2.179999999999992E-2</v>
      </c>
      <c r="P323" s="38" t="str">
        <f>IFERROR(_xll.qlBlackFormula(IF(O323&lt;$C$4,"Put","Call"),O323,$C$4,$C$9*SQRT($C$7)),"")</f>
        <v/>
      </c>
      <c r="Q323" s="39">
        <f>IFERROR(_xll.qlBlackFormula(IF(O323&lt;$C$4,"Put","Call"),O323,$C$4,$C$10*SQRT($C$7),,$C$11),"")</f>
        <v>1.60985555634751E-3</v>
      </c>
      <c r="R323" s="40">
        <f>IFERROR(_xll.qlBachelierBlackFormula(IF(O323&lt;$C$4,"Put","Call"),O323,$C$4,$C$12*SQRT($C$7)),"")</f>
        <v>1.2349125674112988E-3</v>
      </c>
      <c r="S323" s="41" t="str">
        <f>IFERROR((_xll.qlBlackFormula(IF(O323&lt;$C$4,"Put","Call"),O323+$C$14,$C$4,$C$9*SQRT($C$7))-
2*_xll.qlBlackFormula(IF(O323&lt;$C$4,"Put","Call"),O323,$C$4,$C$9*SQRT($C$7))+
_xll.qlBlackFormula(IF(O323&lt;$C$4,"Put","Call"),O323-$C$14,$C$4,$C$9*SQRT($C$7)))/$C$14^2,"")</f>
        <v/>
      </c>
      <c r="T323" s="42">
        <f>IFERROR((_xll.qlBlackFormula(IF(O323&lt;$C$4,"Put","Call"),O323+$C$14,$C$4,$C$10*SQRT($C$7),,$C$11)-
2*_xll.qlBlackFormula(IF(O323&lt;$C$4,"Put","Call"),O323,$C$4,$C$10*SQRT($C$7),,$C$11)+
_xll.qlBlackFormula(IF(O323&lt;$C$4,"Put","Call"),O323-$C$14,$C$4,$C$10*SQRT($C$7),,$C$11))/$C$14^2,"")</f>
        <v>11.958533122080617</v>
      </c>
      <c r="U323" s="43">
        <f>IFERROR((_xll.qlBachelierBlackFormula(IF(O323&lt;$C$4,"Put","Call"),O323+$C$14,$C$4,$C$12*SQRT($C$7))-
2*_xll.qlBachelierBlackFormula(IF(O323&lt;$C$4,"Put","Call"),O323,$C$4,$C$12*SQRT($C$7))+
_xll.qlBachelierBlackFormula(IF(O323&lt;$C$4,"Put","Call"),O323-$C$14,$C$4,$C$12*SQRT($C$7)))/$C$14^2,"")</f>
        <v>14.376529480775169</v>
      </c>
      <c r="V323" s="61" t="str">
        <f>IFERROR(_xll.qlBachelierBlackFormulaImpliedVol(IF(O323&lt;$C$4,"Put","Call"),O323,$C$4,$C$7,P323),"")</f>
        <v/>
      </c>
      <c r="W323" s="61">
        <f>IFERROR(_xll.qlBachelierBlackFormulaImpliedVol(IF(O323&lt;$C$4,"Put","Call"),O323,$C$4,$C$7,Q323),"")</f>
        <v>7.8923474738880998E-3</v>
      </c>
      <c r="X323" s="61">
        <f>IFERROR(_xll.qlBachelierBlackFormulaImpliedVol(IF(O323&lt;$C$4,"Put","Call"),O323,$C$4,$C$7,R323),"")</f>
        <v>7.2019999999979618E-3</v>
      </c>
      <c r="Y323" s="96">
        <f>_xll.qlSmileSectionVolatility($C$40,O323+$C$31)</f>
        <v>8.223001639195272E-3</v>
      </c>
    </row>
    <row r="324" spans="15:25">
      <c r="O324" s="37">
        <f t="shared" si="5"/>
        <v>2.189999999999992E-2</v>
      </c>
      <c r="P324" s="38" t="str">
        <f>IFERROR(_xll.qlBlackFormula(IF(O324&lt;$C$4,"Put","Call"),O324,$C$4,$C$9*SQRT($C$7)),"")</f>
        <v/>
      </c>
      <c r="Q324" s="39">
        <f>IFERROR(_xll.qlBlackFormula(IF(O324&lt;$C$4,"Put","Call"),O324,$C$4,$C$10*SQRT($C$7),,$C$11),"")</f>
        <v>1.5951234391937581E-3</v>
      </c>
      <c r="R324" s="40">
        <f>IFERROR(_xll.qlBachelierBlackFormula(IF(O324&lt;$C$4,"Put","Call"),O324,$C$4,$C$12*SQRT($C$7)),"")</f>
        <v>1.2201417105110845E-3</v>
      </c>
      <c r="S324" s="41" t="str">
        <f>IFERROR((_xll.qlBlackFormula(IF(O324&lt;$C$4,"Put","Call"),O324+$C$14,$C$4,$C$9*SQRT($C$7))-
2*_xll.qlBlackFormula(IF(O324&lt;$C$4,"Put","Call"),O324,$C$4,$C$9*SQRT($C$7))+
_xll.qlBlackFormula(IF(O324&lt;$C$4,"Put","Call"),O324-$C$14,$C$4,$C$9*SQRT($C$7)))/$C$14^2,"")</f>
        <v/>
      </c>
      <c r="T324" s="42">
        <f>IFERROR((_xll.qlBlackFormula(IF(O324&lt;$C$4,"Put","Call"),O324+$C$14,$C$4,$C$10*SQRT($C$7),,$C$11)-
2*_xll.qlBlackFormula(IF(O324&lt;$C$4,"Put","Call"),O324,$C$4,$C$10*SQRT($C$7),,$C$11)+
_xll.qlBlackFormula(IF(O324&lt;$C$4,"Put","Call"),O324-$C$14,$C$4,$C$10*SQRT($C$7),,$C$11))/$C$14^2,"")</f>
        <v>11.882175798838546</v>
      </c>
      <c r="U324" s="43">
        <f>IFERROR((_xll.qlBachelierBlackFormula(IF(O324&lt;$C$4,"Put","Call"),O324+$C$14,$C$4,$C$12*SQRT($C$7))-
2*_xll.qlBachelierBlackFormula(IF(O324&lt;$C$4,"Put","Call"),O324,$C$4,$C$12*SQRT($C$7))+
_xll.qlBachelierBlackFormula(IF(O324&lt;$C$4,"Put","Call"),O324-$C$14,$C$4,$C$12*SQRT($C$7)))/$C$14^2,"")</f>
        <v>14.283424269734279</v>
      </c>
      <c r="V324" s="61" t="str">
        <f>IFERROR(_xll.qlBachelierBlackFormulaImpliedVol(IF(O324&lt;$C$4,"Put","Call"),O324,$C$4,$C$7,P324),"")</f>
        <v/>
      </c>
      <c r="W324" s="61">
        <f>IFERROR(_xll.qlBachelierBlackFormulaImpliedVol(IF(O324&lt;$C$4,"Put","Call"),O324,$C$4,$C$7,Q324),"")</f>
        <v>7.8963397341069476E-3</v>
      </c>
      <c r="X324" s="61">
        <f>IFERROR(_xll.qlBachelierBlackFormulaImpliedVol(IF(O324&lt;$C$4,"Put","Call"),O324,$C$4,$C$7,R324),"")</f>
        <v>7.2019999999980598E-3</v>
      </c>
      <c r="Y324" s="96">
        <f>_xll.qlSmileSectionVolatility($C$40,O324+$C$31)</f>
        <v>8.23043415135832E-3</v>
      </c>
    </row>
    <row r="325" spans="15:25">
      <c r="O325" s="37">
        <f t="shared" si="5"/>
        <v>2.1999999999999919E-2</v>
      </c>
      <c r="P325" s="38" t="str">
        <f>IFERROR(_xll.qlBlackFormula(IF(O325&lt;$C$4,"Put","Call"),O325,$C$4,$C$9*SQRT($C$7)),"")</f>
        <v/>
      </c>
      <c r="Q325" s="39">
        <f>IFERROR(_xll.qlBlackFormula(IF(O325&lt;$C$4,"Put","Call"),O325,$C$4,$C$10*SQRT($C$7),,$C$11),"")</f>
        <v>1.5805101440757325E-3</v>
      </c>
      <c r="R325" s="40">
        <f>IFERROR(_xll.qlBachelierBlackFormula(IF(O325&lt;$C$4,"Put","Call"),O325,$C$4,$C$12*SQRT($C$7)),"")</f>
        <v>1.2055136879055486E-3</v>
      </c>
      <c r="S325" s="41" t="str">
        <f>IFERROR((_xll.qlBlackFormula(IF(O325&lt;$C$4,"Put","Call"),O325+$C$14,$C$4,$C$9*SQRT($C$7))-
2*_xll.qlBlackFormula(IF(O325&lt;$C$4,"Put","Call"),O325,$C$4,$C$9*SQRT($C$7))+
_xll.qlBlackFormula(IF(O325&lt;$C$4,"Put","Call"),O325-$C$14,$C$4,$C$9*SQRT($C$7)))/$C$14^2,"")</f>
        <v/>
      </c>
      <c r="T325" s="42">
        <f>IFERROR((_xll.qlBlackFormula(IF(O325&lt;$C$4,"Put","Call"),O325+$C$14,$C$4,$C$10*SQRT($C$7),,$C$11)-
2*_xll.qlBlackFormula(IF(O325&lt;$C$4,"Put","Call"),O325,$C$4,$C$10*SQRT($C$7),,$C$11)+
_xll.qlBlackFormula(IF(O325&lt;$C$4,"Put","Call"),O325-$C$14,$C$4,$C$10*SQRT($C$7),,$C$11))/$C$14^2,"")</f>
        <v>11.806083888288299</v>
      </c>
      <c r="U325" s="43">
        <f>IFERROR((_xll.qlBachelierBlackFormula(IF(O325&lt;$C$4,"Put","Call"),O325+$C$14,$C$4,$C$12*SQRT($C$7))-
2*_xll.qlBachelierBlackFormula(IF(O325&lt;$C$4,"Put","Call"),O325,$C$4,$C$12*SQRT($C$7))+
_xll.qlBachelierBlackFormula(IF(O325&lt;$C$4,"Put","Call"),O325-$C$14,$C$4,$C$12*SQRT($C$7)))/$C$14^2,"")</f>
        <v>14.190375870887229</v>
      </c>
      <c r="V325" s="61" t="str">
        <f>IFERROR(_xll.qlBachelierBlackFormulaImpliedVol(IF(O325&lt;$C$4,"Put","Call"),O325,$C$4,$C$7,P325),"")</f>
        <v/>
      </c>
      <c r="W325" s="61">
        <f>IFERROR(_xll.qlBachelierBlackFormulaImpliedVol(IF(O325&lt;$C$4,"Put","Call"),O325,$C$4,$C$7,Q325),"")</f>
        <v>7.9003307277733508E-3</v>
      </c>
      <c r="X325" s="61">
        <f>IFERROR(_xll.qlBachelierBlackFormulaImpliedVol(IF(O325&lt;$C$4,"Put","Call"),O325,$C$4,$C$7,R325),"")</f>
        <v>7.2019999999981777E-3</v>
      </c>
      <c r="Y325" s="96">
        <f>_xll.qlSmileSectionVolatility($C$40,O325+$C$31)</f>
        <v>8.237878593920259E-3</v>
      </c>
    </row>
    <row r="326" spans="15:25">
      <c r="O326" s="37">
        <f t="shared" si="5"/>
        <v>2.2099999999999918E-2</v>
      </c>
      <c r="P326" s="38" t="str">
        <f>IFERROR(_xll.qlBlackFormula(IF(O326&lt;$C$4,"Put","Call"),O326,$C$4,$C$9*SQRT($C$7)),"")</f>
        <v/>
      </c>
      <c r="Q326" s="39">
        <f>IFERROR(_xll.qlBlackFormula(IF(O326&lt;$C$4,"Put","Call"),O326,$C$4,$C$10*SQRT($C$7),,$C$11),"")</f>
        <v>1.5660149099968254E-3</v>
      </c>
      <c r="R326" s="40">
        <f>IFERROR(_xll.qlBachelierBlackFormula(IF(O326&lt;$C$4,"Put","Call"),O326,$C$4,$C$12*SQRT($C$7)),"")</f>
        <v>1.1910275691196332E-3</v>
      </c>
      <c r="S326" s="41" t="str">
        <f>IFERROR((_xll.qlBlackFormula(IF(O326&lt;$C$4,"Put","Call"),O326+$C$14,$C$4,$C$9*SQRT($C$7))-
2*_xll.qlBlackFormula(IF(O326&lt;$C$4,"Put","Call"),O326,$C$4,$C$9*SQRT($C$7))+
_xll.qlBlackFormula(IF(O326&lt;$C$4,"Put","Call"),O326-$C$14,$C$4,$C$9*SQRT($C$7)))/$C$14^2,"")</f>
        <v/>
      </c>
      <c r="T326" s="42">
        <f>IFERROR((_xll.qlBlackFormula(IF(O326&lt;$C$4,"Put","Call"),O326+$C$14,$C$4,$C$10*SQRT($C$7),,$C$11)-
2*_xll.qlBlackFormula(IF(O326&lt;$C$4,"Put","Call"),O326,$C$4,$C$10*SQRT($C$7),,$C$11)+
_xll.qlBlackFormula(IF(O326&lt;$C$4,"Put","Call"),O326-$C$14,$C$4,$C$10*SQRT($C$7),,$C$11))/$C$14^2,"")</f>
        <v>11.730231369577737</v>
      </c>
      <c r="U326" s="43">
        <f>IFERROR((_xll.qlBachelierBlackFormula(IF(O326&lt;$C$4,"Put","Call"),O326+$C$14,$C$4,$C$12*SQRT($C$7))-
2*_xll.qlBachelierBlackFormula(IF(O326&lt;$C$4,"Put","Call"),O326,$C$4,$C$12*SQRT($C$7))+
_xll.qlBachelierBlackFormula(IF(O326&lt;$C$4,"Put","Call"),O326-$C$14,$C$4,$C$12*SQRT($C$7)))/$C$14^2,"")</f>
        <v>14.09739122312792</v>
      </c>
      <c r="V326" s="61" t="str">
        <f>IFERROR(_xll.qlBachelierBlackFormulaImpliedVol(IF(O326&lt;$C$4,"Put","Call"),O326,$C$4,$C$7,P326),"")</f>
        <v/>
      </c>
      <c r="W326" s="61">
        <f>IFERROR(_xll.qlBachelierBlackFormulaImpliedVol(IF(O326&lt;$C$4,"Put","Call"),O326,$C$4,$C$7,Q326),"")</f>
        <v>7.9043204567382005E-3</v>
      </c>
      <c r="X326" s="61">
        <f>IFERROR(_xll.qlBachelierBlackFormulaImpliedVol(IF(O326&lt;$C$4,"Put","Call"),O326,$C$4,$C$7,R326),"")</f>
        <v>7.2019999999983174E-3</v>
      </c>
      <c r="Y326" s="96">
        <f>_xll.qlSmileSectionVolatility($C$40,O326+$C$31)</f>
        <v>8.2453348964888484E-3</v>
      </c>
    </row>
    <row r="327" spans="15:25">
      <c r="O327" s="37">
        <f t="shared" si="5"/>
        <v>2.2199999999999918E-2</v>
      </c>
      <c r="P327" s="38" t="str">
        <f>IFERROR(_xll.qlBlackFormula(IF(O327&lt;$C$4,"Put","Call"),O327,$C$4,$C$9*SQRT($C$7)),"")</f>
        <v/>
      </c>
      <c r="Q327" s="39">
        <f>IFERROR(_xll.qlBlackFormula(IF(O327&lt;$C$4,"Put","Call"),O327,$C$4,$C$10*SQRT($C$7),,$C$11),"")</f>
        <v>1.5516369784426467E-3</v>
      </c>
      <c r="R327" s="40">
        <f>IFERROR(_xll.qlBachelierBlackFormula(IF(O327&lt;$C$4,"Put","Call"),O327,$C$4,$C$12*SQRT($C$7)),"")</f>
        <v>1.1766824243038773E-3</v>
      </c>
      <c r="S327" s="41" t="str">
        <f>IFERROR((_xll.qlBlackFormula(IF(O327&lt;$C$4,"Put","Call"),O327+$C$14,$C$4,$C$9*SQRT($C$7))-
2*_xll.qlBlackFormula(IF(O327&lt;$C$4,"Put","Call"),O327,$C$4,$C$9*SQRT($C$7))+
_xll.qlBlackFormula(IF(O327&lt;$C$4,"Put","Call"),O327-$C$14,$C$4,$C$9*SQRT($C$7)))/$C$14^2,"")</f>
        <v/>
      </c>
      <c r="T327" s="42">
        <f>IFERROR((_xll.qlBlackFormula(IF(O327&lt;$C$4,"Put","Call"),O327+$C$14,$C$4,$C$10*SQRT($C$7),,$C$11)-
2*_xll.qlBlackFormula(IF(O327&lt;$C$4,"Put","Call"),O327,$C$4,$C$10*SQRT($C$7),,$C$11)+
_xll.qlBlackFormula(IF(O327&lt;$C$4,"Put","Call"),O327-$C$14,$C$4,$C$10*SQRT($C$7),,$C$11))/$C$14^2,"")</f>
        <v>11.654633855218144</v>
      </c>
      <c r="U327" s="43">
        <f>IFERROR((_xll.qlBachelierBlackFormula(IF(O327&lt;$C$4,"Put","Call"),O327+$C$14,$C$4,$C$12*SQRT($C$7))-
2*_xll.qlBachelierBlackFormula(IF(O327&lt;$C$4,"Put","Call"),O327,$C$4,$C$12*SQRT($C$7))+
_xll.qlBachelierBlackFormula(IF(O327&lt;$C$4,"Put","Call"),O327-$C$14,$C$4,$C$12*SQRT($C$7)))/$C$14^2,"")</f>
        <v>14.004475530626781</v>
      </c>
      <c r="V327" s="61" t="str">
        <f>IFERROR(_xll.qlBachelierBlackFormulaImpliedVol(IF(O327&lt;$C$4,"Put","Call"),O327,$C$4,$C$7,P327),"")</f>
        <v/>
      </c>
      <c r="W327" s="61">
        <f>IFERROR(_xll.qlBachelierBlackFormulaImpliedVol(IF(O327&lt;$C$4,"Put","Call"),O327,$C$4,$C$7,Q327),"")</f>
        <v>7.9083089228477177E-3</v>
      </c>
      <c r="X327" s="61">
        <f>IFERROR(_xll.qlBachelierBlackFormulaImpliedVol(IF(O327&lt;$C$4,"Put","Call"),O327,$C$4,$C$7,R327),"")</f>
        <v>7.2019999999984778E-3</v>
      </c>
      <c r="Y327" s="96">
        <f>_xll.qlSmileSectionVolatility($C$40,O327+$C$31)</f>
        <v>8.2528029889342332E-3</v>
      </c>
    </row>
    <row r="328" spans="15:25">
      <c r="O328" s="37">
        <f t="shared" si="5"/>
        <v>2.2299999999999917E-2</v>
      </c>
      <c r="P328" s="38" t="str">
        <f>IFERROR(_xll.qlBlackFormula(IF(O328&lt;$C$4,"Put","Call"),O328,$C$4,$C$9*SQRT($C$7)),"")</f>
        <v/>
      </c>
      <c r="Q328" s="39">
        <f>IFERROR(_xll.qlBlackFormula(IF(O328&lt;$C$4,"Put","Call"),O328,$C$4,$C$10*SQRT($C$7),,$C$11),"")</f>
        <v>1.5373755934036757E-3</v>
      </c>
      <c r="R328" s="40">
        <f>IFERROR(_xll.qlBachelierBlackFormula(IF(O328&lt;$C$4,"Put","Call"),O328,$C$4,$C$12*SQRT($C$7)),"")</f>
        <v>1.1624773243017858E-3</v>
      </c>
      <c r="S328" s="41" t="str">
        <f>IFERROR((_xll.qlBlackFormula(IF(O328&lt;$C$4,"Put","Call"),O328+$C$14,$C$4,$C$9*SQRT($C$7))-
2*_xll.qlBlackFormula(IF(O328&lt;$C$4,"Put","Call"),O328,$C$4,$C$9*SQRT($C$7))+
_xll.qlBlackFormula(IF(O328&lt;$C$4,"Put","Call"),O328-$C$14,$C$4,$C$9*SQRT($C$7)))/$C$14^2,"")</f>
        <v/>
      </c>
      <c r="T328" s="42">
        <f>IFERROR((_xll.qlBlackFormula(IF(O328&lt;$C$4,"Put","Call"),O328+$C$14,$C$4,$C$10*SQRT($C$7),,$C$11)-
2*_xll.qlBlackFormula(IF(O328&lt;$C$4,"Put","Call"),O328,$C$4,$C$10*SQRT($C$7),,$C$11)+
_xll.qlBlackFormula(IF(O328&lt;$C$4,"Put","Call"),O328-$C$14,$C$4,$C$10*SQRT($C$7),,$C$11))/$C$14^2,"")</f>
        <v>11.579287875762567</v>
      </c>
      <c r="U328" s="43">
        <f>IFERROR((_xll.qlBachelierBlackFormula(IF(O328&lt;$C$4,"Put","Call"),O328+$C$14,$C$4,$C$12*SQRT($C$7))-
2*_xll.qlBachelierBlackFormula(IF(O328&lt;$C$4,"Put","Call"),O328,$C$4,$C$12*SQRT($C$7))+
_xll.qlBachelierBlackFormula(IF(O328&lt;$C$4,"Put","Call"),O328-$C$14,$C$4,$C$12*SQRT($C$7)))/$C$14^2,"")</f>
        <v>13.911634864915978</v>
      </c>
      <c r="V328" s="61" t="str">
        <f>IFERROR(_xll.qlBachelierBlackFormulaImpliedVol(IF(O328&lt;$C$4,"Put","Call"),O328,$C$4,$C$7,P328),"")</f>
        <v/>
      </c>
      <c r="W328" s="61">
        <f>IFERROR(_xll.qlBachelierBlackFormulaImpliedVol(IF(O328&lt;$C$4,"Put","Call"),O328,$C$4,$C$7,Q328),"")</f>
        <v>7.9122961279436358E-3</v>
      </c>
      <c r="X328" s="61">
        <f>IFERROR(_xll.qlBachelierBlackFormulaImpliedVol(IF(O328&lt;$C$4,"Put","Call"),O328,$C$4,$C$7,R328),"")</f>
        <v>7.2019999999986539E-3</v>
      </c>
      <c r="Y328" s="96">
        <f>_xll.qlSmileSectionVolatility($C$40,O328+$C$31)</f>
        <v>8.2602828013903663E-3</v>
      </c>
    </row>
    <row r="329" spans="15:25">
      <c r="O329" s="37">
        <f t="shared" si="5"/>
        <v>2.2399999999999917E-2</v>
      </c>
      <c r="P329" s="38" t="str">
        <f>IFERROR(_xll.qlBlackFormula(IF(O329&lt;$C$4,"Put","Call"),O329,$C$4,$C$9*SQRT($C$7)),"")</f>
        <v/>
      </c>
      <c r="Q329" s="39">
        <f>IFERROR(_xll.qlBlackFormula(IF(O329&lt;$C$4,"Put","Call"),O329,$C$4,$C$10*SQRT($C$7),,$C$11),"")</f>
        <v>1.523230001397315E-3</v>
      </c>
      <c r="R329" s="40">
        <f>IFERROR(_xll.qlBachelierBlackFormula(IF(O329&lt;$C$4,"Put","Call"),O329,$C$4,$C$12*SQRT($C$7)),"")</f>
        <v>1.1484113407166821E-3</v>
      </c>
      <c r="S329" s="41" t="str">
        <f>IFERROR((_xll.qlBlackFormula(IF(O329&lt;$C$4,"Put","Call"),O329+$C$14,$C$4,$C$9*SQRT($C$7))-
2*_xll.qlBlackFormula(IF(O329&lt;$C$4,"Put","Call"),O329,$C$4,$C$9*SQRT($C$7))+
_xll.qlBlackFormula(IF(O329&lt;$C$4,"Put","Call"),O329-$C$14,$C$4,$C$9*SQRT($C$7)))/$C$14^2,"")</f>
        <v/>
      </c>
      <c r="T329" s="42">
        <f>IFERROR((_xll.qlBlackFormula(IF(O329&lt;$C$4,"Put","Call"),O329+$C$14,$C$4,$C$10*SQRT($C$7),,$C$11)-
2*_xll.qlBlackFormula(IF(O329&lt;$C$4,"Put","Call"),O329,$C$4,$C$10*SQRT($C$7),,$C$11)+
_xll.qlBlackFormula(IF(O329&lt;$C$4,"Put","Call"),O329-$C$14,$C$4,$C$10*SQRT($C$7),,$C$11))/$C$14^2,"")</f>
        <v>11.504188227040579</v>
      </c>
      <c r="U329" s="43">
        <f>IFERROR((_xll.qlBachelierBlackFormula(IF(O329&lt;$C$4,"Put","Call"),O329+$C$14,$C$4,$C$12*SQRT($C$7))-
2*_xll.qlBachelierBlackFormula(IF(O329&lt;$C$4,"Put","Call"),O329,$C$4,$C$12*SQRT($C$7))+
_xll.qlBachelierBlackFormula(IF(O329&lt;$C$4,"Put","Call"),O329-$C$14,$C$4,$C$12*SQRT($C$7)))/$C$14^2,"")</f>
        <v>13.818877032251153</v>
      </c>
      <c r="V329" s="61" t="str">
        <f>IFERROR(_xll.qlBachelierBlackFormulaImpliedVol(IF(O329&lt;$C$4,"Put","Call"),O329,$C$4,$C$7,P329),"")</f>
        <v/>
      </c>
      <c r="W329" s="61">
        <f>IFERROR(_xll.qlBachelierBlackFormulaImpliedVol(IF(O329&lt;$C$4,"Put","Call"),O329,$C$4,$C$7,Q329),"")</f>
        <v>7.9162820738631363E-3</v>
      </c>
      <c r="X329" s="61">
        <f>IFERROR(_xll.qlBachelierBlackFormulaImpliedVol(IF(O329&lt;$C$4,"Put","Call"),O329,$C$4,$C$7,R329),"")</f>
        <v>7.2019999999988578E-3</v>
      </c>
      <c r="Y329" s="96">
        <f>_xll.qlSmileSectionVolatility($C$40,O329+$C$31)</f>
        <v>8.267774264256518E-3</v>
      </c>
    </row>
    <row r="330" spans="15:25">
      <c r="O330" s="37">
        <f t="shared" si="5"/>
        <v>2.2499999999999916E-2</v>
      </c>
      <c r="P330" s="38" t="str">
        <f>IFERROR(_xll.qlBlackFormula(IF(O330&lt;$C$4,"Put","Call"),O330,$C$4,$C$9*SQRT($C$7)),"")</f>
        <v/>
      </c>
      <c r="Q330" s="39">
        <f>IFERROR(_xll.qlBlackFormula(IF(O330&lt;$C$4,"Put","Call"),O330,$C$4,$C$10*SQRT($C$7),,$C$11),"")</f>
        <v>1.5091994514895204E-3</v>
      </c>
      <c r="R330" s="40">
        <f>IFERROR(_xll.qlBachelierBlackFormula(IF(O330&lt;$C$4,"Put","Call"),O330,$C$4,$C$12*SQRT($C$7)),"")</f>
        <v>1.1344835459780249E-3</v>
      </c>
      <c r="S330" s="41" t="str">
        <f>IFERROR((_xll.qlBlackFormula(IF(O330&lt;$C$4,"Put","Call"),O330+$C$14,$C$4,$C$9*SQRT($C$7))-
2*_xll.qlBlackFormula(IF(O330&lt;$C$4,"Put","Call"),O330,$C$4,$C$9*SQRT($C$7))+
_xll.qlBlackFormula(IF(O330&lt;$C$4,"Put","Call"),O330-$C$14,$C$4,$C$9*SQRT($C$7)))/$C$14^2,"")</f>
        <v/>
      </c>
      <c r="T330" s="42">
        <f>IFERROR((_xll.qlBlackFormula(IF(O330&lt;$C$4,"Put","Call"),O330+$C$14,$C$4,$C$10*SQRT($C$7),,$C$11)-
2*_xll.qlBlackFormula(IF(O330&lt;$C$4,"Put","Call"),O330,$C$4,$C$10*SQRT($C$7),,$C$11)+
_xll.qlBlackFormula(IF(O330&lt;$C$4,"Put","Call"),O330-$C$14,$C$4,$C$10*SQRT($C$7),,$C$11))/$C$14^2,"")</f>
        <v>11.429347052116512</v>
      </c>
      <c r="U330" s="43">
        <f>IFERROR((_xll.qlBachelierBlackFormula(IF(O330&lt;$C$4,"Put","Call"),O330+$C$14,$C$4,$C$12*SQRT($C$7))-
2*_xll.qlBachelierBlackFormula(IF(O330&lt;$C$4,"Put","Call"),O330,$C$4,$C$12*SQRT($C$7))+
_xll.qlBachelierBlackFormula(IF(O330&lt;$C$4,"Put","Call"),O330-$C$14,$C$4,$C$12*SQRT($C$7)))/$C$14^2,"")</f>
        <v>13.726207670483603</v>
      </c>
      <c r="V330" s="61" t="str">
        <f>IFERROR(_xll.qlBachelierBlackFormulaImpliedVol(IF(O330&lt;$C$4,"Put","Call"),O330,$C$4,$C$7,P330),"")</f>
        <v/>
      </c>
      <c r="W330" s="61">
        <f>IFERROR(_xll.qlBachelierBlackFormulaImpliedVol(IF(O330&lt;$C$4,"Put","Call"),O330,$C$4,$C$7,Q330),"")</f>
        <v>7.9202667624388417E-3</v>
      </c>
      <c r="X330" s="61">
        <f>IFERROR(_xll.qlBachelierBlackFormulaImpliedVol(IF(O330&lt;$C$4,"Put","Call"),O330,$C$4,$C$7,R330),"")</f>
        <v>7.2019999999990729E-3</v>
      </c>
      <c r="Y330" s="96">
        <f>_xll.qlSmileSectionVolatility($C$40,O330+$C$31)</f>
        <v>8.2752773081986447E-3</v>
      </c>
    </row>
    <row r="331" spans="15:25">
      <c r="O331" s="37">
        <f t="shared" si="5"/>
        <v>2.2599999999999915E-2</v>
      </c>
      <c r="P331" s="38" t="str">
        <f>IFERROR(_xll.qlBlackFormula(IF(O331&lt;$C$4,"Put","Call"),O331,$C$4,$C$9*SQRT($C$7)),"")</f>
        <v/>
      </c>
      <c r="Q331" s="39">
        <f>IFERROR(_xll.qlBlackFormula(IF(O331&lt;$C$4,"Put","Call"),O331,$C$4,$C$10*SQRT($C$7),,$C$11),"")</f>
        <v>1.495283195315996E-3</v>
      </c>
      <c r="R331" s="40">
        <f>IFERROR(_xll.qlBachelierBlackFormula(IF(O331&lt;$C$4,"Put","Call"),O331,$C$4,$C$12*SQRT($C$7)),"")</f>
        <v>1.1206930134071932E-3</v>
      </c>
      <c r="S331" s="41" t="str">
        <f>IFERROR((_xll.qlBlackFormula(IF(O331&lt;$C$4,"Put","Call"),O331+$C$14,$C$4,$C$9*SQRT($C$7))-
2*_xll.qlBlackFormula(IF(O331&lt;$C$4,"Put","Call"),O331,$C$4,$C$9*SQRT($C$7))+
_xll.qlBlackFormula(IF(O331&lt;$C$4,"Put","Call"),O331-$C$14,$C$4,$C$9*SQRT($C$7)))/$C$14^2,"")</f>
        <v/>
      </c>
      <c r="T331" s="42">
        <f>IFERROR((_xll.qlBlackFormula(IF(O331&lt;$C$4,"Put","Call"),O331+$C$14,$C$4,$C$10*SQRT($C$7),,$C$11)-
2*_xll.qlBlackFormula(IF(O331&lt;$C$4,"Put","Call"),O331,$C$4,$C$10*SQRT($C$7),,$C$11)+
_xll.qlBlackFormula(IF(O331&lt;$C$4,"Put","Call"),O331-$C$14,$C$4,$C$10*SQRT($C$7),,$C$11))/$C$14^2,"")</f>
        <v>11.354773024607745</v>
      </c>
      <c r="U331" s="43">
        <f>IFERROR((_xll.qlBachelierBlackFormula(IF(O331&lt;$C$4,"Put","Call"),O331+$C$14,$C$4,$C$12*SQRT($C$7))-
2*_xll.qlBachelierBlackFormula(IF(O331&lt;$C$4,"Put","Call"),O331,$C$4,$C$12*SQRT($C$7))+
_xll.qlBachelierBlackFormula(IF(O331&lt;$C$4,"Put","Call"),O331-$C$14,$C$4,$C$12*SQRT($C$7)))/$C$14^2,"")</f>
        <v>13.63363458586897</v>
      </c>
      <c r="V331" s="61" t="str">
        <f>IFERROR(_xll.qlBachelierBlackFormulaImpliedVol(IF(O331&lt;$C$4,"Put","Call"),O331,$C$4,$C$7,P331),"")</f>
        <v/>
      </c>
      <c r="W331" s="61">
        <f>IFERROR(_xll.qlBachelierBlackFormulaImpliedVol(IF(O331&lt;$C$4,"Put","Call"),O331,$C$4,$C$7,Q331),"")</f>
        <v>7.9242501954989043E-3</v>
      </c>
      <c r="X331" s="61">
        <f>IFERROR(_xll.qlBachelierBlackFormulaImpliedVol(IF(O331&lt;$C$4,"Put","Call"),O331,$C$4,$C$7,R331),"")</f>
        <v>7.2019999999993079E-3</v>
      </c>
      <c r="Y331" s="96">
        <f>_xll.qlSmileSectionVolatility($C$40,O331+$C$31)</f>
        <v>8.2827918641508076E-3</v>
      </c>
    </row>
    <row r="332" spans="15:25">
      <c r="O332" s="37">
        <f t="shared" si="5"/>
        <v>2.2699999999999915E-2</v>
      </c>
      <c r="P332" s="38" t="str">
        <f>IFERROR(_xll.qlBlackFormula(IF(O332&lt;$C$4,"Put","Call"),O332,$C$4,$C$9*SQRT($C$7)),"")</f>
        <v/>
      </c>
      <c r="Q332" s="39">
        <f>IFERROR(_xll.qlBlackFormula(IF(O332&lt;$C$4,"Put","Call"),O332,$C$4,$C$10*SQRT($C$7),,$C$11),"")</f>
        <v>1.4814804871028237E-3</v>
      </c>
      <c r="R332" s="40">
        <f>IFERROR(_xll.qlBachelierBlackFormula(IF(O332&lt;$C$4,"Put","Call"),O332,$C$4,$C$12*SQRT($C$7)),"")</f>
        <v>1.1070388172827279E-3</v>
      </c>
      <c r="S332" s="41" t="str">
        <f>IFERROR((_xll.qlBlackFormula(IF(O332&lt;$C$4,"Put","Call"),O332+$C$14,$C$4,$C$9*SQRT($C$7))-
2*_xll.qlBlackFormula(IF(O332&lt;$C$4,"Put","Call"),O332,$C$4,$C$9*SQRT($C$7))+
_xll.qlBlackFormula(IF(O332&lt;$C$4,"Put","Call"),O332-$C$14,$C$4,$C$9*SQRT($C$7)))/$C$14^2,"")</f>
        <v/>
      </c>
      <c r="T332" s="42">
        <f>IFERROR((_xll.qlBlackFormula(IF(O332&lt;$C$4,"Put","Call"),O332+$C$14,$C$4,$C$10*SQRT($C$7),,$C$11)-
2*_xll.qlBlackFormula(IF(O332&lt;$C$4,"Put","Call"),O332,$C$4,$C$10*SQRT($C$7),,$C$11)+
_xll.qlBlackFormula(IF(O332&lt;$C$4,"Put","Call"),O332-$C$14,$C$4,$C$10*SQRT($C$7),,$C$11))/$C$14^2,"")</f>
        <v>11.280471348684706</v>
      </c>
      <c r="U332" s="43">
        <f>IFERROR((_xll.qlBachelierBlackFormula(IF(O332&lt;$C$4,"Put","Call"),O332+$C$14,$C$4,$C$12*SQRT($C$7))-
2*_xll.qlBachelierBlackFormula(IF(O332&lt;$C$4,"Put","Call"),O332,$C$4,$C$12*SQRT($C$7))+
_xll.qlBachelierBlackFormula(IF(O332&lt;$C$4,"Put","Call"),O332-$C$14,$C$4,$C$12*SQRT($C$7)))/$C$14^2,"")</f>
        <v>13.541163849939419</v>
      </c>
      <c r="V332" s="61" t="str">
        <f>IFERROR(_xll.qlBachelierBlackFormulaImpliedVol(IF(O332&lt;$C$4,"Put","Call"),O332,$C$4,$C$7,P332),"")</f>
        <v/>
      </c>
      <c r="W332" s="61">
        <f>IFERROR(_xll.qlBachelierBlackFormulaImpliedVol(IF(O332&lt;$C$4,"Put","Call"),O332,$C$4,$C$7,Q332),"")</f>
        <v>7.9282323748669208E-3</v>
      </c>
      <c r="X332" s="61">
        <f>IFERROR(_xll.qlBachelierBlackFormulaImpliedVol(IF(O332&lt;$C$4,"Put","Call"),O332,$C$4,$C$7,R332),"")</f>
        <v>7.2019999999995647E-3</v>
      </c>
      <c r="Y332" s="96">
        <f>_xll.qlSmileSectionVolatility($C$40,O332+$C$31)</f>
        <v>8.290317863316422E-3</v>
      </c>
    </row>
    <row r="333" spans="15:25">
      <c r="O333" s="37">
        <f t="shared" si="5"/>
        <v>2.2799999999999914E-2</v>
      </c>
      <c r="P333" s="38" t="str">
        <f>IFERROR(_xll.qlBlackFormula(IF(O333&lt;$C$4,"Put","Call"),O333,$C$4,$C$9*SQRT($C$7)),"")</f>
        <v/>
      </c>
      <c r="Q333" s="39">
        <f>IFERROR(_xll.qlBlackFormula(IF(O333&lt;$C$4,"Put","Call"),O333,$C$4,$C$10*SQRT($C$7),,$C$11),"")</f>
        <v>1.4677905836867917E-3</v>
      </c>
      <c r="R333" s="40">
        <f>IFERROR(_xll.qlBachelierBlackFormula(IF(O333&lt;$C$4,"Put","Call"),O333,$C$4,$C$12*SQRT($C$7)),"")</f>
        <v>1.0935200329050192E-3</v>
      </c>
      <c r="S333" s="41" t="str">
        <f>IFERROR((_xll.qlBlackFormula(IF(O333&lt;$C$4,"Put","Call"),O333+$C$14,$C$4,$C$9*SQRT($C$7))-
2*_xll.qlBlackFormula(IF(O333&lt;$C$4,"Put","Call"),O333,$C$4,$C$9*SQRT($C$7))+
_xll.qlBlackFormula(IF(O333&lt;$C$4,"Put","Call"),O333-$C$14,$C$4,$C$9*SQRT($C$7)))/$C$14^2,"")</f>
        <v/>
      </c>
      <c r="T333" s="42">
        <f>IFERROR((_xll.qlBlackFormula(IF(O333&lt;$C$4,"Put","Call"),O333+$C$14,$C$4,$C$10*SQRT($C$7),,$C$11)-
2*_xll.qlBlackFormula(IF(O333&lt;$C$4,"Put","Call"),O333,$C$4,$C$10*SQRT($C$7),,$C$11)+
_xll.qlBlackFormula(IF(O333&lt;$C$4,"Put","Call"),O333-$C$14,$C$4,$C$10*SQRT($C$7),,$C$11))/$C$14^2,"")</f>
        <v>11.206386513196165</v>
      </c>
      <c r="U333" s="43">
        <f>IFERROR((_xll.qlBachelierBlackFormula(IF(O333&lt;$C$4,"Put","Call"),O333+$C$14,$C$4,$C$12*SQRT($C$7))-
2*_xll.qlBachelierBlackFormula(IF(O333&lt;$C$4,"Put","Call"),O333,$C$4,$C$12*SQRT($C$7))+
_xll.qlBachelierBlackFormula(IF(O333&lt;$C$4,"Put","Call"),O333-$C$14,$C$4,$C$12*SQRT($C$7)))/$C$14^2,"")</f>
        <v>13.448802401588855</v>
      </c>
      <c r="V333" s="61" t="str">
        <f>IFERROR(_xll.qlBachelierBlackFormulaImpliedVol(IF(O333&lt;$C$4,"Put","Call"),O333,$C$4,$C$7,P333),"")</f>
        <v/>
      </c>
      <c r="W333" s="61">
        <f>IFERROR(_xll.qlBachelierBlackFormulaImpliedVol(IF(O333&lt;$C$4,"Put","Call"),O333,$C$4,$C$7,Q333),"")</f>
        <v>7.9322133023621028E-3</v>
      </c>
      <c r="X333" s="61">
        <f>IFERROR(_xll.qlBachelierBlackFormulaImpliedVol(IF(O333&lt;$C$4,"Put","Call"),O333,$C$4,$C$7,R333),"")</f>
        <v>7.2019999999998405E-3</v>
      </c>
      <c r="Y333" s="96">
        <f>_xll.qlSmileSectionVolatility($C$40,O333+$C$31)</f>
        <v>8.2978552371695147E-3</v>
      </c>
    </row>
    <row r="334" spans="15:25">
      <c r="O334" s="37">
        <f t="shared" si="5"/>
        <v>2.2899999999999913E-2</v>
      </c>
      <c r="P334" s="38" t="str">
        <f>IFERROR(_xll.qlBlackFormula(IF(O334&lt;$C$4,"Put","Call"),O334,$C$4,$C$9*SQRT($C$7)),"")</f>
        <v/>
      </c>
      <c r="Q334" s="39">
        <f>IFERROR(_xll.qlBlackFormula(IF(O334&lt;$C$4,"Put","Call"),O334,$C$4,$C$10*SQRT($C$7),,$C$11),"")</f>
        <v>1.4542127445350411E-3</v>
      </c>
      <c r="R334" s="40">
        <f>IFERROR(_xll.qlBachelierBlackFormula(IF(O334&lt;$C$4,"Put","Call"),O334,$C$4,$C$12*SQRT($C$7)),"")</f>
        <v>1.0801357366604482E-3</v>
      </c>
      <c r="S334" s="41" t="str">
        <f>IFERROR((_xll.qlBlackFormula(IF(O334&lt;$C$4,"Put","Call"),O334+$C$14,$C$4,$C$9*SQRT($C$7))-
2*_xll.qlBlackFormula(IF(O334&lt;$C$4,"Put","Call"),O334,$C$4,$C$9*SQRT($C$7))+
_xll.qlBlackFormula(IF(O334&lt;$C$4,"Put","Call"),O334-$C$14,$C$4,$C$9*SQRT($C$7)))/$C$14^2,"")</f>
        <v/>
      </c>
      <c r="T334" s="42">
        <f>IFERROR((_xll.qlBlackFormula(IF(O334&lt;$C$4,"Put","Call"),O334+$C$14,$C$4,$C$10*SQRT($C$7),,$C$11)-
2*_xll.qlBlackFormula(IF(O334&lt;$C$4,"Put","Call"),O334,$C$4,$C$10*SQRT($C$7),,$C$11)+
_xll.qlBlackFormula(IF(O334&lt;$C$4,"Put","Call"),O334-$C$14,$C$4,$C$10*SQRT($C$7),,$C$11))/$C$14^2,"")</f>
        <v>11.132608723762871</v>
      </c>
      <c r="U334" s="43">
        <f>IFERROR((_xll.qlBachelierBlackFormula(IF(O334&lt;$C$4,"Put","Call"),O334+$C$14,$C$4,$C$12*SQRT($C$7))-
2*_xll.qlBachelierBlackFormula(IF(O334&lt;$C$4,"Put","Call"),O334,$C$4,$C$12*SQRT($C$7))+
_xll.qlBachelierBlackFormula(IF(O334&lt;$C$4,"Put","Call"),O334-$C$14,$C$4,$C$12*SQRT($C$7)))/$C$14^2,"")</f>
        <v>13.356556746030313</v>
      </c>
      <c r="V334" s="61" t="str">
        <f>IFERROR(_xll.qlBachelierBlackFormulaImpliedVol(IF(O334&lt;$C$4,"Put","Call"),O334,$C$4,$C$7,P334),"")</f>
        <v/>
      </c>
      <c r="W334" s="61">
        <f>IFERROR(_xll.qlBachelierBlackFormulaImpliedVol(IF(O334&lt;$C$4,"Put","Call"),O334,$C$4,$C$7,Q334),"")</f>
        <v>7.9361929797990838E-3</v>
      </c>
      <c r="X334" s="61">
        <f>IFERROR(_xll.qlBachelierBlackFormulaImpliedVol(IF(O334&lt;$C$4,"Put","Call"),O334,$C$4,$C$7,R334),"")</f>
        <v>7.2020000000001267E-3</v>
      </c>
      <c r="Y334" s="96">
        <f>_xll.qlSmileSectionVolatility($C$40,O334+$C$31)</f>
        <v>8.3054039174559682E-3</v>
      </c>
    </row>
    <row r="335" spans="15:25">
      <c r="O335" s="37">
        <f t="shared" si="5"/>
        <v>2.2999999999999913E-2</v>
      </c>
      <c r="P335" s="38" t="str">
        <f>IFERROR(_xll.qlBlackFormula(IF(O335&lt;$C$4,"Put","Call"),O335,$C$4,$C$9*SQRT($C$7)),"")</f>
        <v/>
      </c>
      <c r="Q335" s="39">
        <f>IFERROR(_xll.qlBlackFormula(IF(O335&lt;$C$4,"Put","Call"),O335,$C$4,$C$10*SQRT($C$7),,$C$11),"")</f>
        <v>1.4407462317644927E-3</v>
      </c>
      <c r="R335" s="40">
        <f>IFERROR(_xll.qlBachelierBlackFormula(IF(O335&lt;$C$4,"Put","Call"),O335,$C$4,$C$12*SQRT($C$7)),"")</f>
        <v>1.066885006084959E-3</v>
      </c>
      <c r="S335" s="41" t="str">
        <f>IFERROR((_xll.qlBlackFormula(IF(O335&lt;$C$4,"Put","Call"),O335+$C$14,$C$4,$C$9*SQRT($C$7))-
2*_xll.qlBlackFormula(IF(O335&lt;$C$4,"Put","Call"),O335,$C$4,$C$9*SQRT($C$7))+
_xll.qlBlackFormula(IF(O335&lt;$C$4,"Put","Call"),O335-$C$14,$C$4,$C$9*SQRT($C$7)))/$C$14^2,"")</f>
        <v/>
      </c>
      <c r="T335" s="42">
        <f>IFERROR((_xll.qlBlackFormula(IF(O335&lt;$C$4,"Put","Call"),O335+$C$14,$C$4,$C$10*SQRT($C$7),,$C$11)-
2*_xll.qlBlackFormula(IF(O335&lt;$C$4,"Put","Call"),O335,$C$4,$C$10*SQRT($C$7),,$C$11)+
_xll.qlBlackFormula(IF(O335&lt;$C$4,"Put","Call"),O335-$C$14,$C$4,$C$10*SQRT($C$7),,$C$11))/$C$14^2,"")</f>
        <v>11.059089408127498</v>
      </c>
      <c r="U335" s="43">
        <f>IFERROR((_xll.qlBachelierBlackFormula(IF(O335&lt;$C$4,"Put","Call"),O335+$C$14,$C$4,$C$12*SQRT($C$7))-
2*_xll.qlBachelierBlackFormula(IF(O335&lt;$C$4,"Put","Call"),O335,$C$4,$C$12*SQRT($C$7))+
_xll.qlBachelierBlackFormula(IF(O335&lt;$C$4,"Put","Call"),O335-$C$14,$C$4,$C$12*SQRT($C$7)))/$C$14^2,"")</f>
        <v>13.26443165375335</v>
      </c>
      <c r="V335" s="61" t="str">
        <f>IFERROR(_xll.qlBachelierBlackFormulaImpliedVol(IF(O335&lt;$C$4,"Put","Call"),O335,$C$4,$C$7,P335),"")</f>
        <v/>
      </c>
      <c r="W335" s="61">
        <f>IFERROR(_xll.qlBachelierBlackFormulaImpliedVol(IF(O335&lt;$C$4,"Put","Call"),O335,$C$4,$C$7,Q335),"")</f>
        <v>7.9401714089881066E-3</v>
      </c>
      <c r="X335" s="61">
        <f>IFERROR(_xll.qlBachelierBlackFormulaImpliedVol(IF(O335&lt;$C$4,"Put","Call"),O335,$C$4,$C$7,R335),"")</f>
        <v>7.2020000000004268E-3</v>
      </c>
      <c r="Y335" s="96">
        <f>_xll.qlSmileSectionVolatility($C$40,O335+$C$31)</f>
        <v>8.3129638361946409E-3</v>
      </c>
    </row>
    <row r="336" spans="15:25">
      <c r="O336" s="37">
        <f t="shared" si="5"/>
        <v>2.3099999999999912E-2</v>
      </c>
      <c r="P336" s="38" t="str">
        <f>IFERROR(_xll.qlBlackFormula(IF(O336&lt;$C$4,"Put","Call"),O336,$C$4,$C$9*SQRT($C$7)),"")</f>
        <v/>
      </c>
      <c r="Q336" s="39">
        <f>IFERROR(_xll.qlBlackFormula(IF(O336&lt;$C$4,"Put","Call"),O336,$C$4,$C$10*SQRT($C$7),,$C$11),"")</f>
        <v>1.4273903101606616E-3</v>
      </c>
      <c r="R336" s="40">
        <f>IFERROR(_xll.qlBachelierBlackFormula(IF(O336&lt;$C$4,"Put","Call"),O336,$C$4,$C$12*SQRT($C$7)),"")</f>
        <v>1.0537669199270662E-3</v>
      </c>
      <c r="S336" s="41" t="str">
        <f>IFERROR((_xll.qlBlackFormula(IF(O336&lt;$C$4,"Put","Call"),O336+$C$14,$C$4,$C$9*SQRT($C$7))-
2*_xll.qlBlackFormula(IF(O336&lt;$C$4,"Put","Call"),O336,$C$4,$C$9*SQRT($C$7))+
_xll.qlBlackFormula(IF(O336&lt;$C$4,"Put","Call"),O336-$C$14,$C$4,$C$9*SQRT($C$7)))/$C$14^2,"")</f>
        <v/>
      </c>
      <c r="T336" s="42">
        <f>IFERROR((_xll.qlBlackFormula(IF(O336&lt;$C$4,"Put","Call"),O336+$C$14,$C$4,$C$10*SQRT($C$7),,$C$11)-
2*_xll.qlBlackFormula(IF(O336&lt;$C$4,"Put","Call"),O336,$C$4,$C$10*SQRT($C$7),,$C$11)+
_xll.qlBlackFormula(IF(O336&lt;$C$4,"Put","Call"),O336-$C$14,$C$4,$C$10*SQRT($C$7),,$C$11))/$C$14^2,"")</f>
        <v>10.985832035736998</v>
      </c>
      <c r="U336" s="43">
        <f>IFERROR((_xll.qlBachelierBlackFormula(IF(O336&lt;$C$4,"Put","Call"),O336+$C$14,$C$4,$C$12*SQRT($C$7))-
2*_xll.qlBachelierBlackFormula(IF(O336&lt;$C$4,"Put","Call"),O336,$C$4,$C$12*SQRT($C$7))+
_xll.qlBachelierBlackFormula(IF(O336&lt;$C$4,"Put","Call"),O336-$C$14,$C$4,$C$12*SQRT($C$7)))/$C$14^2,"")</f>
        <v>13.172434497332741</v>
      </c>
      <c r="V336" s="61" t="str">
        <f>IFERROR(_xll.qlBachelierBlackFormulaImpliedVol(IF(O336&lt;$C$4,"Put","Call"),O336,$C$4,$C$7,P336),"")</f>
        <v/>
      </c>
      <c r="W336" s="61">
        <f>IFERROR(_xll.qlBachelierBlackFormulaImpliedVol(IF(O336&lt;$C$4,"Put","Call"),O336,$C$4,$C$7,Q336),"")</f>
        <v>7.9441485917349959E-3</v>
      </c>
      <c r="X336" s="61">
        <f>IFERROR(_xll.qlBachelierBlackFormulaImpliedVol(IF(O336&lt;$C$4,"Put","Call"),O336,$C$4,$C$7,R336),"")</f>
        <v>7.2020000000007408E-3</v>
      </c>
      <c r="Y336" s="96">
        <f>_xll.qlSmileSectionVolatility($C$40,O336+$C$31)</f>
        <v>8.3205349256784793E-3</v>
      </c>
    </row>
    <row r="337" spans="15:25">
      <c r="O337" s="37">
        <f t="shared" ref="O337:O400" si="6">O336+0.01%</f>
        <v>2.3199999999999912E-2</v>
      </c>
      <c r="P337" s="38" t="str">
        <f>IFERROR(_xll.qlBlackFormula(IF(O337&lt;$C$4,"Put","Call"),O337,$C$4,$C$9*SQRT($C$7)),"")</f>
        <v/>
      </c>
      <c r="Q337" s="39">
        <f>IFERROR(_xll.qlBlackFormula(IF(O337&lt;$C$4,"Put","Call"),O337,$C$4,$C$10*SQRT($C$7),,$C$11),"")</f>
        <v>1.4141442471960475E-3</v>
      </c>
      <c r="R337" s="40">
        <f>IFERROR(_xll.qlBachelierBlackFormula(IF(O337&lt;$C$4,"Put","Call"),O337,$C$4,$C$12*SQRT($C$7)),"")</f>
        <v>1.0407805582102916E-3</v>
      </c>
      <c r="S337" s="41" t="str">
        <f>IFERROR((_xll.qlBlackFormula(IF(O337&lt;$C$4,"Put","Call"),O337+$C$14,$C$4,$C$9*SQRT($C$7))-
2*_xll.qlBlackFormula(IF(O337&lt;$C$4,"Put","Call"),O337,$C$4,$C$9*SQRT($C$7))+
_xll.qlBlackFormula(IF(O337&lt;$C$4,"Put","Call"),O337-$C$14,$C$4,$C$9*SQRT($C$7)))/$C$14^2,"")</f>
        <v/>
      </c>
      <c r="T337" s="42">
        <f>IFERROR((_xll.qlBlackFormula(IF(O337&lt;$C$4,"Put","Call"),O337+$C$14,$C$4,$C$10*SQRT($C$7),,$C$11)-
2*_xll.qlBlackFormula(IF(O337&lt;$C$4,"Put","Call"),O337,$C$4,$C$10*SQRT($C$7),,$C$11)+
_xll.qlBlackFormula(IF(O337&lt;$C$4,"Put","Call"),O337-$C$14,$C$4,$C$10*SQRT($C$7),,$C$11))/$C$14^2,"")</f>
        <v>10.912876505231317</v>
      </c>
      <c r="U337" s="43">
        <f>IFERROR((_xll.qlBachelierBlackFormula(IF(O337&lt;$C$4,"Put","Call"),O337+$C$14,$C$4,$C$12*SQRT($C$7))-
2*_xll.qlBachelierBlackFormula(IF(O337&lt;$C$4,"Put","Call"),O337,$C$4,$C$12*SQRT($C$7))+
_xll.qlBachelierBlackFormula(IF(O337&lt;$C$4,"Put","Call"),O337-$C$14,$C$4,$C$12*SQRT($C$7)))/$C$14^2,"")</f>
        <v>13.08056744517283</v>
      </c>
      <c r="V337" s="61" t="str">
        <f>IFERROR(_xll.qlBachelierBlackFormulaImpliedVol(IF(O337&lt;$C$4,"Put","Call"),O337,$C$4,$C$7,P337),"")</f>
        <v/>
      </c>
      <c r="W337" s="61">
        <f>IFERROR(_xll.qlBachelierBlackFormulaImpliedVol(IF(O337&lt;$C$4,"Put","Call"),O337,$C$4,$C$7,Q337),"")</f>
        <v>7.9481245298410972E-3</v>
      </c>
      <c r="X337" s="61">
        <f>IFERROR(_xll.qlBachelierBlackFormulaImpliedVol(IF(O337&lt;$C$4,"Put","Call"),O337,$C$4,$C$7,R337),"")</f>
        <v>7.2020000000010695E-3</v>
      </c>
      <c r="Y337" s="96">
        <f>_xll.qlSmileSectionVolatility($C$40,O337+$C$31)</f>
        <v>8.32811711847555E-3</v>
      </c>
    </row>
    <row r="338" spans="15:25">
      <c r="O338" s="37">
        <f t="shared" si="6"/>
        <v>2.3299999999999911E-2</v>
      </c>
      <c r="P338" s="38" t="str">
        <f>IFERROR(_xll.qlBlackFormula(IF(O338&lt;$C$4,"Put","Call"),O338,$C$4,$C$9*SQRT($C$7)),"")</f>
        <v/>
      </c>
      <c r="Q338" s="39">
        <f>IFERROR(_xll.qlBlackFormula(IF(O338&lt;$C$4,"Put","Call"),O338,$C$4,$C$10*SQRT($C$7),,$C$11),"")</f>
        <v>1.4010073130481717E-3</v>
      </c>
      <c r="R338" s="40">
        <f>IFERROR(_xll.qlBachelierBlackFormula(IF(O338&lt;$C$4,"Put","Call"),O338,$C$4,$C$12*SQRT($C$7)),"")</f>
        <v>1.0279250022950134E-3</v>
      </c>
      <c r="S338" s="41" t="str">
        <f>IFERROR((_xll.qlBlackFormula(IF(O338&lt;$C$4,"Put","Call"),O338+$C$14,$C$4,$C$9*SQRT($C$7))-
2*_xll.qlBlackFormula(IF(O338&lt;$C$4,"Put","Call"),O338,$C$4,$C$9*SQRT($C$7))+
_xll.qlBlackFormula(IF(O338&lt;$C$4,"Put","Call"),O338-$C$14,$C$4,$C$9*SQRT($C$7)))/$C$14^2,"")</f>
        <v/>
      </c>
      <c r="T338" s="42">
        <f>IFERROR((_xll.qlBlackFormula(IF(O338&lt;$C$4,"Put","Call"),O338+$C$14,$C$4,$C$10*SQRT($C$7),,$C$11)-
2*_xll.qlBlackFormula(IF(O338&lt;$C$4,"Put","Call"),O338,$C$4,$C$10*SQRT($C$7),,$C$11)+
_xll.qlBlackFormula(IF(O338&lt;$C$4,"Put","Call"),O338-$C$14,$C$4,$C$10*SQRT($C$7),,$C$11))/$C$14^2,"")</f>
        <v>10.840153427671417</v>
      </c>
      <c r="U338" s="43">
        <f>IFERROR((_xll.qlBachelierBlackFormula(IF(O338&lt;$C$4,"Put","Call"),O338+$C$14,$C$4,$C$12*SQRT($C$7))-
2*_xll.qlBachelierBlackFormula(IF(O338&lt;$C$4,"Put","Call"),O338,$C$4,$C$12*SQRT($C$7))+
_xll.qlBachelierBlackFormula(IF(O338&lt;$C$4,"Put","Call"),O338-$C$14,$C$4,$C$12*SQRT($C$7)))/$C$14^2,"")</f>
        <v>12.98884264033795</v>
      </c>
      <c r="V338" s="61" t="str">
        <f>IFERROR(_xll.qlBachelierBlackFormulaImpliedVol(IF(O338&lt;$C$4,"Put","Call"),O338,$C$4,$C$7,P338),"")</f>
        <v/>
      </c>
      <c r="W338" s="61">
        <f>IFERROR(_xll.qlBachelierBlackFormulaImpliedVol(IF(O338&lt;$C$4,"Put","Call"),O338,$C$4,$C$7,Q338),"")</f>
        <v>7.9520992251034279E-3</v>
      </c>
      <c r="X338" s="61">
        <f>IFERROR(_xll.qlBachelierBlackFormulaImpliedVol(IF(O338&lt;$C$4,"Put","Call"),O338,$C$4,$C$7,R338),"")</f>
        <v>7.2020000000014035E-3</v>
      </c>
      <c r="Y338" s="96">
        <f>_xll.qlSmileSectionVolatility($C$40,O338+$C$31)</f>
        <v>8.3357103474301312E-3</v>
      </c>
    </row>
    <row r="339" spans="15:25">
      <c r="O339" s="37">
        <f t="shared" si="6"/>
        <v>2.339999999999991E-2</v>
      </c>
      <c r="P339" s="38" t="str">
        <f>IFERROR(_xll.qlBlackFormula(IF(O339&lt;$C$4,"Put","Call"),O339,$C$4,$C$9*SQRT($C$7)),"")</f>
        <v/>
      </c>
      <c r="Q339" s="39">
        <f>IFERROR(_xll.qlBlackFormula(IF(O339&lt;$C$4,"Put","Call"),O339,$C$4,$C$10*SQRT($C$7),,$C$11),"")</f>
        <v>1.3879787806170378E-3</v>
      </c>
      <c r="R339" s="40">
        <f>IFERROR(_xll.qlBachelierBlackFormula(IF(O339&lt;$C$4,"Put","Call"),O339,$C$4,$C$12*SQRT($C$7)),"")</f>
        <v>1.0151993349397466E-3</v>
      </c>
      <c r="S339" s="41" t="str">
        <f>IFERROR((_xll.qlBlackFormula(IF(O339&lt;$C$4,"Put","Call"),O339+$C$14,$C$4,$C$9*SQRT($C$7))-
2*_xll.qlBlackFormula(IF(O339&lt;$C$4,"Put","Call"),O339,$C$4,$C$9*SQRT($C$7))+
_xll.qlBlackFormula(IF(O339&lt;$C$4,"Put","Call"),O339-$C$14,$C$4,$C$9*SQRT($C$7)))/$C$14^2,"")</f>
        <v/>
      </c>
      <c r="T339" s="42">
        <f>IFERROR((_xll.qlBlackFormula(IF(O339&lt;$C$4,"Put","Call"),O339+$C$14,$C$4,$C$10*SQRT($C$7),,$C$11)-
2*_xll.qlBlackFormula(IF(O339&lt;$C$4,"Put","Call"),O339,$C$4,$C$10*SQRT($C$7),,$C$11)+
_xll.qlBlackFormula(IF(O339&lt;$C$4,"Put","Call"),O339-$C$14,$C$4,$C$10*SQRT($C$7),,$C$11))/$C$14^2,"")</f>
        <v>10.767706171144198</v>
      </c>
      <c r="U339" s="43">
        <f>IFERROR((_xll.qlBachelierBlackFormula(IF(O339&lt;$C$4,"Put","Call"),O339+$C$14,$C$4,$C$12*SQRT($C$7))-
2*_xll.qlBachelierBlackFormula(IF(O339&lt;$C$4,"Put","Call"),O339,$C$4,$C$12*SQRT($C$7))+
_xll.qlBachelierBlackFormula(IF(O339&lt;$C$4,"Put","Call"),O339-$C$14,$C$4,$C$12*SQRT($C$7)))/$C$14^2,"")</f>
        <v>12.897265286998527</v>
      </c>
      <c r="V339" s="61" t="str">
        <f>IFERROR(_xll.qlBachelierBlackFormulaImpliedVol(IF(O339&lt;$C$4,"Put","Call"),O339,$C$4,$C$7,P339),"")</f>
        <v/>
      </c>
      <c r="W339" s="61">
        <f>IFERROR(_xll.qlBachelierBlackFormulaImpliedVol(IF(O339&lt;$C$4,"Put","Call"),O339,$C$4,$C$7,Q339),"")</f>
        <v>7.9560726793145888E-3</v>
      </c>
      <c r="X339" s="61">
        <f>IFERROR(_xll.qlBachelierBlackFormulaImpliedVol(IF(O339&lt;$C$4,"Put","Call"),O339,$C$4,$C$7,R339),"")</f>
        <v>7.2020000000017469E-3</v>
      </c>
      <c r="Y339" s="96">
        <f>_xll.qlSmileSectionVolatility($C$40,O339+$C$31)</f>
        <v>8.3433145456635674E-3</v>
      </c>
    </row>
    <row r="340" spans="15:25">
      <c r="O340" s="37">
        <f t="shared" si="6"/>
        <v>2.349999999999991E-2</v>
      </c>
      <c r="P340" s="38" t="str">
        <f>IFERROR(_xll.qlBlackFormula(IF(O340&lt;$C$4,"Put","Call"),O340,$C$4,$C$9*SQRT($C$7)),"")</f>
        <v/>
      </c>
      <c r="Q340" s="39">
        <f>IFERROR(_xll.qlBlackFormula(IF(O340&lt;$C$4,"Put","Call"),O340,$C$4,$C$10*SQRT($C$7),,$C$11),"")</f>
        <v>1.3750579255422148E-3</v>
      </c>
      <c r="R340" s="40">
        <f>IFERROR(_xll.qlBachelierBlackFormula(IF(O340&lt;$C$4,"Put","Call"),O340,$C$4,$C$12*SQRT($C$7)),"")</f>
        <v>1.002602640361817E-3</v>
      </c>
      <c r="S340" s="41" t="str">
        <f>IFERROR((_xll.qlBlackFormula(IF(O340&lt;$C$4,"Put","Call"),O340+$C$14,$C$4,$C$9*SQRT($C$7))-
2*_xll.qlBlackFormula(IF(O340&lt;$C$4,"Put","Call"),O340,$C$4,$C$9*SQRT($C$7))+
_xll.qlBlackFormula(IF(O340&lt;$C$4,"Put","Call"),O340-$C$14,$C$4,$C$9*SQRT($C$7)))/$C$14^2,"")</f>
        <v/>
      </c>
      <c r="T340" s="42">
        <f>IFERROR((_xll.qlBlackFormula(IF(O340&lt;$C$4,"Put","Call"),O340+$C$14,$C$4,$C$10*SQRT($C$7),,$C$11)-
2*_xll.qlBlackFormula(IF(O340&lt;$C$4,"Put","Call"),O340,$C$4,$C$10*SQRT($C$7),,$C$11)+
_xll.qlBlackFormula(IF(O340&lt;$C$4,"Put","Call"),O340-$C$14,$C$4,$C$10*SQRT($C$7),,$C$11))/$C$14^2,"")</f>
        <v>10.695552082884419</v>
      </c>
      <c r="U340" s="43">
        <f>IFERROR((_xll.qlBachelierBlackFormula(IF(O340&lt;$C$4,"Put","Call"),O340+$C$14,$C$4,$C$12*SQRT($C$7))-
2*_xll.qlBachelierBlackFormula(IF(O340&lt;$C$4,"Put","Call"),O340,$C$4,$C$12*SQRT($C$7))+
_xll.qlBachelierBlackFormula(IF(O340&lt;$C$4,"Put","Call"),O340-$C$14,$C$4,$C$12*SQRT($C$7)))/$C$14^2,"")</f>
        <v>12.805838420920646</v>
      </c>
      <c r="V340" s="61" t="str">
        <f>IFERROR(_xll.qlBachelierBlackFormulaImpliedVol(IF(O340&lt;$C$4,"Put","Call"),O340,$C$4,$C$7,P340),"")</f>
        <v/>
      </c>
      <c r="W340" s="61">
        <f>IFERROR(_xll.qlBachelierBlackFormulaImpliedVol(IF(O340&lt;$C$4,"Put","Call"),O340,$C$4,$C$7,Q340),"")</f>
        <v>7.9600448942627397E-3</v>
      </c>
      <c r="X340" s="61">
        <f>IFERROR(_xll.qlBachelierBlackFormulaImpliedVol(IF(O340&lt;$C$4,"Put","Call"),O340,$C$4,$C$7,R340),"")</f>
        <v>7.2020000000020982E-3</v>
      </c>
      <c r="Y340" s="96">
        <f>_xll.qlSmileSectionVolatility($C$40,O340+$C$31)</f>
        <v>8.3509296465752725E-3</v>
      </c>
    </row>
    <row r="341" spans="15:25">
      <c r="O341" s="37">
        <f t="shared" si="6"/>
        <v>2.3599999999999909E-2</v>
      </c>
      <c r="P341" s="38" t="str">
        <f>IFERROR(_xll.qlBlackFormula(IF(O341&lt;$C$4,"Put","Call"),O341,$C$4,$C$9*SQRT($C$7)),"")</f>
        <v/>
      </c>
      <c r="Q341" s="39">
        <f>IFERROR(_xll.qlBlackFormula(IF(O341&lt;$C$4,"Put","Call"),O341,$C$4,$C$10*SQRT($C$7),,$C$11),"")</f>
        <v>1.3622440262195407E-3</v>
      </c>
      <c r="R341" s="40">
        <f>IFERROR(_xll.qlBachelierBlackFormula(IF(O341&lt;$C$4,"Put","Call"),O341,$C$4,$C$12*SQRT($C$7)),"")</f>
        <v>9.9013400429745361E-4</v>
      </c>
      <c r="S341" s="41" t="str">
        <f>IFERROR((_xll.qlBlackFormula(IF(O341&lt;$C$4,"Put","Call"),O341+$C$14,$C$4,$C$9*SQRT($C$7))-
2*_xll.qlBlackFormula(IF(O341&lt;$C$4,"Put","Call"),O341,$C$4,$C$9*SQRT($C$7))+
_xll.qlBlackFormula(IF(O341&lt;$C$4,"Put","Call"),O341-$C$14,$C$4,$C$9*SQRT($C$7)))/$C$14^2,"")</f>
        <v/>
      </c>
      <c r="T341" s="42">
        <f>IFERROR((_xll.qlBlackFormula(IF(O341&lt;$C$4,"Put","Call"),O341+$C$14,$C$4,$C$10*SQRT($C$7),,$C$11)-
2*_xll.qlBlackFormula(IF(O341&lt;$C$4,"Put","Call"),O341,$C$4,$C$10*SQRT($C$7),,$C$11)+
_xll.qlBlackFormula(IF(O341&lt;$C$4,"Put","Call"),O341-$C$14,$C$4,$C$10*SQRT($C$7),,$C$11))/$C$14^2,"")</f>
        <v>10.623666876763416</v>
      </c>
      <c r="U341" s="43">
        <f>IFERROR((_xll.qlBachelierBlackFormula(IF(O341&lt;$C$4,"Put","Call"),O341+$C$14,$C$4,$C$12*SQRT($C$7))-
2*_xll.qlBachelierBlackFormula(IF(O341&lt;$C$4,"Put","Call"),O341,$C$4,$C$12*SQRT($C$7))+
_xll.qlBachelierBlackFormula(IF(O341&lt;$C$4,"Put","Call"),O341-$C$14,$C$4,$C$12*SQRT($C$7)))/$C$14^2,"")</f>
        <v>12.714568980998209</v>
      </c>
      <c r="V341" s="61" t="str">
        <f>IFERROR(_xll.qlBachelierBlackFormulaImpliedVol(IF(O341&lt;$C$4,"Put","Call"),O341,$C$4,$C$7,P341),"")</f>
        <v/>
      </c>
      <c r="W341" s="61">
        <f>IFERROR(_xll.qlBachelierBlackFormulaImpliedVol(IF(O341&lt;$C$4,"Put","Call"),O341,$C$4,$C$7,Q341),"")</f>
        <v>7.9640158717317767E-3</v>
      </c>
      <c r="X341" s="61">
        <f>IFERROR(_xll.qlBachelierBlackFormulaImpliedVol(IF(O341&lt;$C$4,"Put","Call"),O341,$C$4,$C$7,R341),"")</f>
        <v>7.2020000000024495E-3</v>
      </c>
      <c r="Y341" s="96">
        <f>_xll.qlSmileSectionVolatility($C$40,O341+$C$31)</f>
        <v>8.3585555838435726E-3</v>
      </c>
    </row>
    <row r="342" spans="15:25">
      <c r="O342" s="37">
        <f t="shared" si="6"/>
        <v>2.3699999999999909E-2</v>
      </c>
      <c r="P342" s="38" t="str">
        <f>IFERROR(_xll.qlBlackFormula(IF(O342&lt;$C$4,"Put","Call"),O342,$C$4,$C$9*SQRT($C$7)),"")</f>
        <v/>
      </c>
      <c r="Q342" s="39">
        <f>IFERROR(_xll.qlBlackFormula(IF(O342&lt;$C$4,"Put","Call"),O342,$C$4,$C$10*SQRT($C$7),,$C$11),"")</f>
        <v>1.3495363638172976E-3</v>
      </c>
      <c r="R342" s="40">
        <f>IFERROR(_xll.qlBachelierBlackFormula(IF(O342&lt;$C$4,"Put","Call"),O342,$C$4,$C$12*SQRT($C$7)),"")</f>
        <v>9.7779251406127045E-4</v>
      </c>
      <c r="S342" s="41" t="str">
        <f>IFERROR((_xll.qlBlackFormula(IF(O342&lt;$C$4,"Put","Call"),O342+$C$14,$C$4,$C$9*SQRT($C$7))-
2*_xll.qlBlackFormula(IF(O342&lt;$C$4,"Put","Call"),O342,$C$4,$C$9*SQRT($C$7))+
_xll.qlBlackFormula(IF(O342&lt;$C$4,"Put","Call"),O342-$C$14,$C$4,$C$9*SQRT($C$7)))/$C$14^2,"")</f>
        <v/>
      </c>
      <c r="T342" s="42">
        <f>IFERROR((_xll.qlBlackFormula(IF(O342&lt;$C$4,"Put","Call"),O342+$C$14,$C$4,$C$10*SQRT($C$7),,$C$11)-
2*_xll.qlBlackFormula(IF(O342&lt;$C$4,"Put","Call"),O342,$C$4,$C$10*SQRT($C$7),,$C$11)+
_xll.qlBlackFormula(IF(O342&lt;$C$4,"Put","Call"),O342-$C$14,$C$4,$C$10*SQRT($C$7),,$C$11))/$C$14^2,"")</f>
        <v>10.552054022228141</v>
      </c>
      <c r="U342" s="43">
        <f>IFERROR((_xll.qlBachelierBlackFormula(IF(O342&lt;$C$4,"Put","Call"),O342+$C$14,$C$4,$C$12*SQRT($C$7))-
2*_xll.qlBachelierBlackFormula(IF(O342&lt;$C$4,"Put","Call"),O342,$C$4,$C$12*SQRT($C$7))+
_xll.qlBachelierBlackFormula(IF(O342&lt;$C$4,"Put","Call"),O342-$C$14,$C$4,$C$12*SQRT($C$7)))/$C$14^2,"")</f>
        <v>12.623463906125121</v>
      </c>
      <c r="V342" s="61" t="str">
        <f>IFERROR(_xll.qlBachelierBlackFormulaImpliedVol(IF(O342&lt;$C$4,"Put","Call"),O342,$C$4,$C$7,P342),"")</f>
        <v/>
      </c>
      <c r="W342" s="61">
        <f>IFERROR(_xll.qlBachelierBlackFormulaImpliedVol(IF(O342&lt;$C$4,"Put","Call"),O342,$C$4,$C$7,Q342),"")</f>
        <v>7.9679856135011894E-3</v>
      </c>
      <c r="X342" s="61">
        <f>IFERROR(_xll.qlBachelierBlackFormulaImpliedVol(IF(O342&lt;$C$4,"Put","Call"),O342,$C$4,$C$7,R342),"")</f>
        <v>7.2020000000028034E-3</v>
      </c>
      <c r="Y342" s="96">
        <f>_xll.qlSmileSectionVolatility($C$40,O342+$C$31)</f>
        <v>8.3661922914265059E-3</v>
      </c>
    </row>
    <row r="343" spans="15:25">
      <c r="O343" s="37">
        <f t="shared" si="6"/>
        <v>2.3799999999999908E-2</v>
      </c>
      <c r="P343" s="38" t="str">
        <f>IFERROR(_xll.qlBlackFormula(IF(O343&lt;$C$4,"Put","Call"),O343,$C$4,$C$9*SQRT($C$7)),"")</f>
        <v/>
      </c>
      <c r="Q343" s="39">
        <f>IFERROR(_xll.qlBlackFormula(IF(O343&lt;$C$4,"Put","Call"),O343,$C$4,$C$10*SQRT($C$7),,$C$11),"")</f>
        <v>1.3369342222920039E-3</v>
      </c>
      <c r="R343" s="40">
        <f>IFERROR(_xll.qlBachelierBlackFormula(IF(O343&lt;$C$4,"Put","Call"),O343,$C$4,$C$12*SQRT($C$7)),"")</f>
        <v>9.6557725860515293E-4</v>
      </c>
      <c r="S343" s="41" t="str">
        <f>IFERROR((_xll.qlBlackFormula(IF(O343&lt;$C$4,"Put","Call"),O343+$C$14,$C$4,$C$9*SQRT($C$7))-
2*_xll.qlBlackFormula(IF(O343&lt;$C$4,"Put","Call"),O343,$C$4,$C$9*SQRT($C$7))+
_xll.qlBlackFormula(IF(O343&lt;$C$4,"Put","Call"),O343-$C$14,$C$4,$C$9*SQRT($C$7)))/$C$14^2,"")</f>
        <v/>
      </c>
      <c r="T343" s="42">
        <f>IFERROR((_xll.qlBlackFormula(IF(O343&lt;$C$4,"Put","Call"),O343+$C$14,$C$4,$C$10*SQRT($C$7),,$C$11)-
2*_xll.qlBlackFormula(IF(O343&lt;$C$4,"Put","Call"),O343,$C$4,$C$10*SQRT($C$7),,$C$11)+
_xll.qlBlackFormula(IF(O343&lt;$C$4,"Put","Call"),O343-$C$14,$C$4,$C$10*SQRT($C$7),,$C$11))/$C$14^2,"")</f>
        <v>10.480736070683783</v>
      </c>
      <c r="U343" s="43">
        <f>IFERROR((_xll.qlBachelierBlackFormula(IF(O343&lt;$C$4,"Put","Call"),O343+$C$14,$C$4,$C$12*SQRT($C$7))-
2*_xll.qlBachelierBlackFormula(IF(O343&lt;$C$4,"Put","Call"),O343,$C$4,$C$12*SQRT($C$7))+
_xll.qlBachelierBlackFormula(IF(O343&lt;$C$4,"Put","Call"),O343-$C$14,$C$4,$C$12*SQRT($C$7)))/$C$14^2,"")</f>
        <v>12.532527966790941</v>
      </c>
      <c r="V343" s="61" t="str">
        <f>IFERROR(_xll.qlBachelierBlackFormulaImpliedVol(IF(O343&lt;$C$4,"Put","Call"),O343,$C$4,$C$7,P343),"")</f>
        <v/>
      </c>
      <c r="W343" s="61">
        <f>IFERROR(_xll.qlBachelierBlackFormulaImpliedVol(IF(O343&lt;$C$4,"Put","Call"),O343,$C$4,$C$7,Q343),"")</f>
        <v>7.9719541213461656E-3</v>
      </c>
      <c r="X343" s="61">
        <f>IFERROR(_xll.qlBachelierBlackFormulaImpliedVol(IF(O343&lt;$C$4,"Put","Call"),O343,$C$4,$C$7,R343),"")</f>
        <v>7.2020000000031564E-3</v>
      </c>
      <c r="Y343" s="96">
        <f>_xll.qlSmileSectionVolatility($C$40,O343+$C$31)</f>
        <v>8.3738397035626865E-3</v>
      </c>
    </row>
    <row r="344" spans="15:25">
      <c r="O344" s="37">
        <f t="shared" si="6"/>
        <v>2.3899999999999907E-2</v>
      </c>
      <c r="P344" s="38" t="str">
        <f>IFERROR(_xll.qlBlackFormula(IF(O344&lt;$C$4,"Put","Call"),O344,$C$4,$C$9*SQRT($C$7)),"")</f>
        <v/>
      </c>
      <c r="Q344" s="39">
        <f>IFERROR(_xll.qlBlackFormula(IF(O344&lt;$C$4,"Put","Call"),O344,$C$4,$C$10*SQRT($C$7),,$C$11),"")</f>
        <v>1.3244368884037863E-3</v>
      </c>
      <c r="R344" s="40">
        <f>IFERROR(_xll.qlBachelierBlackFormula(IF(O344&lt;$C$4,"Put","Call"),O344,$C$4,$C$12*SQRT($C$7)),"")</f>
        <v>9.5348732857652866E-4</v>
      </c>
      <c r="S344" s="41" t="str">
        <f>IFERROR((_xll.qlBlackFormula(IF(O344&lt;$C$4,"Put","Call"),O344+$C$14,$C$4,$C$9*SQRT($C$7))-
2*_xll.qlBlackFormula(IF(O344&lt;$C$4,"Put","Call"),O344,$C$4,$C$9*SQRT($C$7))+
_xll.qlBlackFormula(IF(O344&lt;$C$4,"Put","Call"),O344-$C$14,$C$4,$C$9*SQRT($C$7)))/$C$14^2,"")</f>
        <v/>
      </c>
      <c r="T344" s="42">
        <f>IFERROR((_xll.qlBlackFormula(IF(O344&lt;$C$4,"Put","Call"),O344+$C$14,$C$4,$C$10*SQRT($C$7),,$C$11)-
2*_xll.qlBlackFormula(IF(O344&lt;$C$4,"Put","Call"),O344,$C$4,$C$10*SQRT($C$7),,$C$11)+
_xll.qlBlackFormula(IF(O344&lt;$C$4,"Put","Call"),O344-$C$14,$C$4,$C$10*SQRT($C$7),,$C$11))/$C$14^2,"")</f>
        <v>10.409699144342532</v>
      </c>
      <c r="U344" s="43">
        <f>IFERROR((_xll.qlBachelierBlackFormula(IF(O344&lt;$C$4,"Put","Call"),O344+$C$14,$C$4,$C$12*SQRT($C$7))-
2*_xll.qlBachelierBlackFormula(IF(O344&lt;$C$4,"Put","Call"),O344,$C$4,$C$12*SQRT($C$7))+
_xll.qlBachelierBlackFormula(IF(O344&lt;$C$4,"Put","Call"),O344-$C$14,$C$4,$C$12*SQRT($C$7)))/$C$14^2,"")</f>
        <v>12.441766800846965</v>
      </c>
      <c r="V344" s="61" t="str">
        <f>IFERROR(_xll.qlBachelierBlackFormulaImpliedVol(IF(O344&lt;$C$4,"Put","Call"),O344,$C$4,$C$7,P344),"")</f>
        <v/>
      </c>
      <c r="W344" s="61">
        <f>IFERROR(_xll.qlBachelierBlackFormulaImpliedVol(IF(O344&lt;$C$4,"Put","Call"),O344,$C$4,$C$7,Q344),"")</f>
        <v>7.9759213970375699E-3</v>
      </c>
      <c r="X344" s="61">
        <f>IFERROR(_xll.qlBachelierBlackFormulaImpliedVol(IF(O344&lt;$C$4,"Put","Call"),O344,$C$4,$C$7,R344),"")</f>
        <v>7.2020000000035085E-3</v>
      </c>
      <c r="Y344" s="96">
        <f>_xll.qlSmileSectionVolatility($C$40,O344+$C$31)</f>
        <v>8.3814977547719306E-3</v>
      </c>
    </row>
    <row r="345" spans="15:25">
      <c r="O345" s="37">
        <f t="shared" si="6"/>
        <v>2.3999999999999907E-2</v>
      </c>
      <c r="P345" s="38" t="str">
        <f>IFERROR(_xll.qlBlackFormula(IF(O345&lt;$C$4,"Put","Call"),O345,$C$4,$C$9*SQRT($C$7)),"")</f>
        <v/>
      </c>
      <c r="Q345" s="39">
        <f>IFERROR(_xll.qlBlackFormula(IF(O345&lt;$C$4,"Put","Call"),O345,$C$4,$C$10*SQRT($C$7),,$C$11),"")</f>
        <v>1.3120436517313205E-3</v>
      </c>
      <c r="R345" s="40">
        <f>IFERROR(_xll.qlBachelierBlackFormula(IF(O345&lt;$C$4,"Put","Call"),O345,$C$4,$C$12*SQRT($C$7)),"")</f>
        <v>9.4152181637602653E-4</v>
      </c>
      <c r="S345" s="41" t="str">
        <f>IFERROR((_xll.qlBlackFormula(IF(O345&lt;$C$4,"Put","Call"),O345+$C$14,$C$4,$C$9*SQRT($C$7))-
2*_xll.qlBlackFormula(IF(O345&lt;$C$4,"Put","Call"),O345,$C$4,$C$9*SQRT($C$7))+
_xll.qlBlackFormula(IF(O345&lt;$C$4,"Put","Call"),O345-$C$14,$C$4,$C$9*SQRT($C$7)))/$C$14^2,"")</f>
        <v/>
      </c>
      <c r="T345" s="42">
        <f>IFERROR((_xll.qlBlackFormula(IF(O345&lt;$C$4,"Put","Call"),O345+$C$14,$C$4,$C$10*SQRT($C$7),,$C$11)-
2*_xll.qlBlackFormula(IF(O345&lt;$C$4,"Put","Call"),O345,$C$4,$C$10*SQRT($C$7),,$C$11)+
_xll.qlBlackFormula(IF(O345&lt;$C$4,"Put","Call"),O345-$C$14,$C$4,$C$10*SQRT($C$7),,$C$11))/$C$14^2,"")</f>
        <v>10.338936304310486</v>
      </c>
      <c r="U345" s="43">
        <f>IFERROR((_xll.qlBachelierBlackFormula(IF(O345&lt;$C$4,"Put","Call"),O345+$C$14,$C$4,$C$12*SQRT($C$7))-
2*_xll.qlBachelierBlackFormula(IF(O345&lt;$C$4,"Put","Call"),O345,$C$4,$C$12*SQRT($C$7))+
_xll.qlBachelierBlackFormula(IF(O345&lt;$C$4,"Put","Call"),O345-$C$14,$C$4,$C$12*SQRT($C$7)))/$C$14^2,"")</f>
        <v>12.351186913506229</v>
      </c>
      <c r="V345" s="61" t="str">
        <f>IFERROR(_xll.qlBachelierBlackFormulaImpliedVol(IF(O345&lt;$C$4,"Put","Call"),O345,$C$4,$C$7,P345),"")</f>
        <v/>
      </c>
      <c r="W345" s="61">
        <f>IFERROR(_xll.qlBachelierBlackFormulaImpliedVol(IF(O345&lt;$C$4,"Put","Call"),O345,$C$4,$C$7,Q345),"")</f>
        <v>7.9798874423419822E-3</v>
      </c>
      <c r="X345" s="61">
        <f>IFERROR(_xll.qlBachelierBlackFormulaImpliedVol(IF(O345&lt;$C$4,"Put","Call"),O345,$C$4,$C$7,R345),"")</f>
        <v>7.2020000000038546E-3</v>
      </c>
      <c r="Y345" s="96">
        <f>_xll.qlSmileSectionVolatility($C$40,O345+$C$31)</f>
        <v>8.3891663798560633E-3</v>
      </c>
    </row>
    <row r="346" spans="15:25">
      <c r="O346" s="37">
        <f t="shared" si="6"/>
        <v>2.4099999999999906E-2</v>
      </c>
      <c r="P346" s="38" t="str">
        <f>IFERROR(_xll.qlBlackFormula(IF(O346&lt;$C$4,"Put","Call"),O346,$C$4,$C$9*SQRT($C$7)),"")</f>
        <v/>
      </c>
      <c r="Q346" s="39">
        <f>IFERROR(_xll.qlBlackFormula(IF(O346&lt;$C$4,"Put","Call"),O346,$C$4,$C$10*SQRT($C$7),,$C$11),"")</f>
        <v>1.2997538046863218E-3</v>
      </c>
      <c r="R346" s="40">
        <f>IFERROR(_xll.qlBachelierBlackFormula(IF(O346&lt;$C$4,"Put","Call"),O346,$C$4,$C$12*SQRT($C$7)),"")</f>
        <v>9.2967981621451361E-4</v>
      </c>
      <c r="S346" s="41" t="str">
        <f>IFERROR((_xll.qlBlackFormula(IF(O346&lt;$C$4,"Put","Call"),O346+$C$14,$C$4,$C$9*SQRT($C$7))-
2*_xll.qlBlackFormula(IF(O346&lt;$C$4,"Put","Call"),O346,$C$4,$C$9*SQRT($C$7))+
_xll.qlBlackFormula(IF(O346&lt;$C$4,"Put","Call"),O346-$C$14,$C$4,$C$9*SQRT($C$7)))/$C$14^2,"")</f>
        <v/>
      </c>
      <c r="T346" s="42">
        <f>IFERROR((_xll.qlBlackFormula(IF(O346&lt;$C$4,"Put","Call"),O346+$C$14,$C$4,$C$10*SQRT($C$7),,$C$11)-
2*_xll.qlBlackFormula(IF(O346&lt;$C$4,"Put","Call"),O346,$C$4,$C$10*SQRT($C$7),,$C$11)+
_xll.qlBlackFormula(IF(O346&lt;$C$4,"Put","Call"),O346-$C$14,$C$4,$C$10*SQRT($C$7),,$C$11))/$C$14^2,"")</f>
        <v>10.268478775610212</v>
      </c>
      <c r="U346" s="43">
        <f>IFERROR((_xll.qlBachelierBlackFormula(IF(O346&lt;$C$4,"Put","Call"),O346+$C$14,$C$4,$C$12*SQRT($C$7))-
2*_xll.qlBachelierBlackFormula(IF(O346&lt;$C$4,"Put","Call"),O346,$C$4,$C$12*SQRT($C$7))+
_xll.qlBachelierBlackFormula(IF(O346&lt;$C$4,"Put","Call"),O346-$C$14,$C$4,$C$12*SQRT($C$7)))/$C$14^2,"")</f>
        <v>12.260796544705244</v>
      </c>
      <c r="V346" s="61" t="str">
        <f>IFERROR(_xll.qlBachelierBlackFormulaImpliedVol(IF(O346&lt;$C$4,"Put","Call"),O346,$C$4,$C$7,P346),"")</f>
        <v/>
      </c>
      <c r="W346" s="61">
        <f>IFERROR(_xll.qlBachelierBlackFormulaImpliedVol(IF(O346&lt;$C$4,"Put","Call"),O346,$C$4,$C$7,Q346),"")</f>
        <v>7.9838522590216579E-3</v>
      </c>
      <c r="X346" s="61">
        <f>IFERROR(_xll.qlBachelierBlackFormulaImpliedVol(IF(O346&lt;$C$4,"Put","Call"),O346,$C$4,$C$7,R346),"")</f>
        <v>7.2020000000041868E-3</v>
      </c>
      <c r="Y346" s="96">
        <f>_xll.qlSmileSectionVolatility($C$40,O346+$C$31)</f>
        <v>8.396845513899508E-3</v>
      </c>
    </row>
    <row r="347" spans="15:25">
      <c r="O347" s="37">
        <f t="shared" si="6"/>
        <v>2.4199999999999906E-2</v>
      </c>
      <c r="P347" s="38" t="str">
        <f>IFERROR(_xll.qlBlackFormula(IF(O347&lt;$C$4,"Put","Call"),O347,$C$4,$C$9*SQRT($C$7)),"")</f>
        <v/>
      </c>
      <c r="Q347" s="39">
        <f>IFERROR(_xll.qlBlackFormula(IF(O347&lt;$C$4,"Put","Call"),O347,$C$4,$C$10*SQRT($C$7),,$C$11),"")</f>
        <v>1.2875666425277172E-3</v>
      </c>
      <c r="R347" s="40">
        <f>IFERROR(_xll.qlBachelierBlackFormula(IF(O347&lt;$C$4,"Put","Call"),O347,$C$4,$C$12*SQRT($C$7)),"")</f>
        <v>9.1796042416952351E-4</v>
      </c>
      <c r="S347" s="41" t="str">
        <f>IFERROR((_xll.qlBlackFormula(IF(O347&lt;$C$4,"Put","Call"),O347+$C$14,$C$4,$C$9*SQRT($C$7))-
2*_xll.qlBlackFormula(IF(O347&lt;$C$4,"Put","Call"),O347,$C$4,$C$9*SQRT($C$7))+
_xll.qlBlackFormula(IF(O347&lt;$C$4,"Put","Call"),O347-$C$14,$C$4,$C$9*SQRT($C$7)))/$C$14^2,"")</f>
        <v/>
      </c>
      <c r="T347" s="42">
        <f>IFERROR((_xll.qlBlackFormula(IF(O347&lt;$C$4,"Put","Call"),O347+$C$14,$C$4,$C$10*SQRT($C$7),,$C$11)-
2*_xll.qlBlackFormula(IF(O347&lt;$C$4,"Put","Call"),O347,$C$4,$C$10*SQRT($C$7),,$C$11)+
_xll.qlBlackFormula(IF(O347&lt;$C$4,"Put","Call"),O347-$C$14,$C$4,$C$10*SQRT($C$7),,$C$11))/$C$14^2,"")</f>
        <v>10.198272781813955</v>
      </c>
      <c r="U347" s="43">
        <f>IFERROR((_xll.qlBachelierBlackFormula(IF(O347&lt;$C$4,"Put","Call"),O347+$C$14,$C$4,$C$12*SQRT($C$7))-
2*_xll.qlBachelierBlackFormula(IF(O347&lt;$C$4,"Put","Call"),O347,$C$4,$C$12*SQRT($C$7))+
_xll.qlBachelierBlackFormula(IF(O347&lt;$C$4,"Put","Call"),O347-$C$14,$C$4,$C$12*SQRT($C$7)))/$C$14^2,"")</f>
        <v>12.17059526076314</v>
      </c>
      <c r="V347" s="61" t="str">
        <f>IFERROR(_xll.qlBachelierBlackFormulaImpliedVol(IF(O347&lt;$C$4,"Put","Call"),O347,$C$4,$C$7,P347),"")</f>
        <v/>
      </c>
      <c r="W347" s="61">
        <f>IFERROR(_xll.qlBachelierBlackFormulaImpliedVol(IF(O347&lt;$C$4,"Put","Call"),O347,$C$4,$C$7,Q347),"")</f>
        <v>7.9878158488346489E-3</v>
      </c>
      <c r="X347" s="61">
        <f>IFERROR(_xll.qlBachelierBlackFormulaImpliedVol(IF(O347&lt;$C$4,"Put","Call"),O347,$C$4,$C$7,R347),"")</f>
        <v>7.2020000000045156E-3</v>
      </c>
      <c r="Y347" s="96">
        <f>_xll.qlSmileSectionVolatility($C$40,O347+$C$31)</f>
        <v>8.4045350922699203E-3</v>
      </c>
    </row>
    <row r="348" spans="15:25">
      <c r="O348" s="37">
        <f t="shared" si="6"/>
        <v>2.4299999999999905E-2</v>
      </c>
      <c r="P348" s="38" t="str">
        <f>IFERROR(_xll.qlBlackFormula(IF(O348&lt;$C$4,"Put","Call"),O348,$C$4,$C$9*SQRT($C$7)),"")</f>
        <v/>
      </c>
      <c r="Q348" s="39">
        <f>IFERROR(_xll.qlBlackFormula(IF(O348&lt;$C$4,"Put","Call"),O348,$C$4,$C$10*SQRT($C$7),,$C$11),"")</f>
        <v>1.2754814633752377E-3</v>
      </c>
      <c r="R348" s="40">
        <f>IFERROR(_xll.qlBachelierBlackFormula(IF(O348&lt;$C$4,"Put","Call"),O348,$C$4,$C$12*SQRT($C$7)),"")</f>
        <v>9.0636273824103034E-4</v>
      </c>
      <c r="S348" s="41" t="str">
        <f>IFERROR((_xll.qlBlackFormula(IF(O348&lt;$C$4,"Put","Call"),O348+$C$14,$C$4,$C$9*SQRT($C$7))-
2*_xll.qlBlackFormula(IF(O348&lt;$C$4,"Put","Call"),O348,$C$4,$C$9*SQRT($C$7))+
_xll.qlBlackFormula(IF(O348&lt;$C$4,"Put","Call"),O348-$C$14,$C$4,$C$9*SQRT($C$7)))/$C$14^2,"")</f>
        <v/>
      </c>
      <c r="T348" s="42">
        <f>IFERROR((_xll.qlBlackFormula(IF(O348&lt;$C$4,"Put","Call"),O348+$C$14,$C$4,$C$10*SQRT($C$7),,$C$11)-
2*_xll.qlBlackFormula(IF(O348&lt;$C$4,"Put","Call"),O348,$C$4,$C$10*SQRT($C$7),,$C$11)+
_xll.qlBlackFormula(IF(O348&lt;$C$4,"Put","Call"),O348-$C$14,$C$4,$C$10*SQRT($C$7),,$C$11))/$C$14^2,"")</f>
        <v>10.12838077296685</v>
      </c>
      <c r="U348" s="43">
        <f>IFERROR((_xll.qlBachelierBlackFormula(IF(O348&lt;$C$4,"Put","Call"),O348+$C$14,$C$4,$C$12*SQRT($C$7))-
2*_xll.qlBachelierBlackFormula(IF(O348&lt;$C$4,"Put","Call"),O348,$C$4,$C$12*SQRT($C$7))+
_xll.qlBachelierBlackFormula(IF(O348&lt;$C$4,"Put","Call"),O348-$C$14,$C$4,$C$12*SQRT($C$7)))/$C$14^2,"")</f>
        <v>12.080592602659035</v>
      </c>
      <c r="V348" s="61" t="str">
        <f>IFERROR(_xll.qlBachelierBlackFormulaImpliedVol(IF(O348&lt;$C$4,"Put","Call"),O348,$C$4,$C$7,P348),"")</f>
        <v/>
      </c>
      <c r="W348" s="61">
        <f>IFERROR(_xll.qlBachelierBlackFormulaImpliedVol(IF(O348&lt;$C$4,"Put","Call"),O348,$C$4,$C$7,Q348),"")</f>
        <v>7.991778213534648E-3</v>
      </c>
      <c r="X348" s="61">
        <f>IFERROR(_xll.qlBachelierBlackFormulaImpliedVol(IF(O348&lt;$C$4,"Put","Call"),O348,$C$4,$C$7,R348),"")</f>
        <v>7.202000000004833E-3</v>
      </c>
      <c r="Y348" s="96">
        <f>_xll.qlSmileSectionVolatility($C$40,O348+$C$31)</f>
        <v>8.412235050618791E-3</v>
      </c>
    </row>
    <row r="349" spans="15:25">
      <c r="O349" s="37">
        <f t="shared" si="6"/>
        <v>2.4399999999999904E-2</v>
      </c>
      <c r="P349" s="38" t="str">
        <f>IFERROR(_xll.qlBlackFormula(IF(O349&lt;$C$4,"Put","Call"),O349,$C$4,$C$9*SQRT($C$7)),"")</f>
        <v/>
      </c>
      <c r="Q349" s="39">
        <f>IFERROR(_xll.qlBlackFormula(IF(O349&lt;$C$4,"Put","Call"),O349,$C$4,$C$10*SQRT($C$7),,$C$11),"")</f>
        <v>1.2634975682228201E-3</v>
      </c>
      <c r="R349" s="40">
        <f>IFERROR(_xll.qlBachelierBlackFormula(IF(O349&lt;$C$4,"Put","Call"),O349,$C$4,$C$12*SQRT($C$7)),"")</f>
        <v>8.9488585840661944E-4</v>
      </c>
      <c r="S349" s="41" t="str">
        <f>IFERROR((_xll.qlBlackFormula(IF(O349&lt;$C$4,"Put","Call"),O349+$C$14,$C$4,$C$9*SQRT($C$7))-
2*_xll.qlBlackFormula(IF(O349&lt;$C$4,"Put","Call"),O349,$C$4,$C$9*SQRT($C$7))+
_xll.qlBlackFormula(IF(O349&lt;$C$4,"Put","Call"),O349-$C$14,$C$4,$C$9*SQRT($C$7)))/$C$14^2,"")</f>
        <v/>
      </c>
      <c r="T349" s="42">
        <f>IFERROR((_xll.qlBlackFormula(IF(O349&lt;$C$4,"Put","Call"),O349+$C$14,$C$4,$C$10*SQRT($C$7),,$C$11)-
2*_xll.qlBlackFormula(IF(O349&lt;$C$4,"Put","Call"),O349,$C$4,$C$10*SQRT($C$7),,$C$11)+
_xll.qlBlackFormula(IF(O349&lt;$C$4,"Put","Call"),O349-$C$14,$C$4,$C$10*SQRT($C$7),,$C$11))/$C$14^2,"")</f>
        <v>10.058762850428948</v>
      </c>
      <c r="U349" s="43">
        <f>IFERROR((_xll.qlBachelierBlackFormula(IF(O349&lt;$C$4,"Put","Call"),O349+$C$14,$C$4,$C$12*SQRT($C$7))-
2*_xll.qlBachelierBlackFormula(IF(O349&lt;$C$4,"Put","Call"),O349,$C$4,$C$12*SQRT($C$7))+
_xll.qlBachelierBlackFormula(IF(O349&lt;$C$4,"Put","Call"),O349-$C$14,$C$4,$C$12*SQRT($C$7)))/$C$14^2,"")</f>
        <v>11.990793774563357</v>
      </c>
      <c r="V349" s="61" t="str">
        <f>IFERROR(_xll.qlBachelierBlackFormulaImpliedVol(IF(O349&lt;$C$4,"Put","Call"),O349,$C$4,$C$7,P349),"")</f>
        <v/>
      </c>
      <c r="W349" s="61">
        <f>IFERROR(_xll.qlBachelierBlackFormulaImpliedVol(IF(O349&lt;$C$4,"Put","Call"),O349,$C$4,$C$7,Q349),"")</f>
        <v>7.9957393548712105E-3</v>
      </c>
      <c r="X349" s="61">
        <f>IFERROR(_xll.qlBachelierBlackFormulaImpliedVol(IF(O349&lt;$C$4,"Put","Call"),O349,$C$4,$C$7,R349),"")</f>
        <v>7.2020000000051288E-3</v>
      </c>
      <c r="Y349" s="96">
        <f>_xll.qlSmileSectionVolatility($C$40,O349+$C$31)</f>
        <v>8.4199453248819042E-3</v>
      </c>
    </row>
    <row r="350" spans="15:25">
      <c r="O350" s="37">
        <f t="shared" si="6"/>
        <v>2.4499999999999904E-2</v>
      </c>
      <c r="P350" s="38" t="str">
        <f>IFERROR(_xll.qlBlackFormula(IF(O350&lt;$C$4,"Put","Call"),O350,$C$4,$C$9*SQRT($C$7)),"")</f>
        <v/>
      </c>
      <c r="Q350" s="39">
        <f>IFERROR(_xll.qlBlackFormula(IF(O350&lt;$C$4,"Put","Call"),O350,$C$4,$C$10*SQRT($C$7),,$C$11),"")</f>
        <v>1.2516142609514166E-3</v>
      </c>
      <c r="R350" s="40">
        <f>IFERROR(_xll.qlBachelierBlackFormula(IF(O350&lt;$C$4,"Put","Call"),O350,$C$4,$C$12*SQRT($C$7)),"")</f>
        <v>8.835288866760123E-4</v>
      </c>
      <c r="S350" s="41" t="str">
        <f>IFERROR((_xll.qlBlackFormula(IF(O350&lt;$C$4,"Put","Call"),O350+$C$14,$C$4,$C$9*SQRT($C$7))-
2*_xll.qlBlackFormula(IF(O350&lt;$C$4,"Put","Call"),O350,$C$4,$C$9*SQRT($C$7))+
_xll.qlBlackFormula(IF(O350&lt;$C$4,"Put","Call"),O350-$C$14,$C$4,$C$9*SQRT($C$7)))/$C$14^2,"")</f>
        <v/>
      </c>
      <c r="T350" s="42">
        <f>IFERROR((_xll.qlBlackFormula(IF(O350&lt;$C$4,"Put","Call"),O350+$C$14,$C$4,$C$10*SQRT($C$7),,$C$11)-
2*_xll.qlBlackFormula(IF(O350&lt;$C$4,"Put","Call"),O350,$C$4,$C$10*SQRT($C$7),,$C$11)+
_xll.qlBlackFormula(IF(O350&lt;$C$4,"Put","Call"),O350-$C$14,$C$4,$C$10*SQRT($C$7),,$C$11))/$C$14^2,"")</f>
        <v>9.9894328919880593</v>
      </c>
      <c r="U350" s="43">
        <f>IFERROR((_xll.qlBachelierBlackFormula(IF(O350&lt;$C$4,"Put","Call"),O350+$C$14,$C$4,$C$12*SQRT($C$7))-
2*_xll.qlBachelierBlackFormula(IF(O350&lt;$C$4,"Put","Call"),O350,$C$4,$C$12*SQRT($C$7))+
_xll.qlBachelierBlackFormula(IF(O350&lt;$C$4,"Put","Call"),O350-$C$14,$C$4,$C$12*SQRT($C$7)))/$C$14^2,"")</f>
        <v>11.901199643837845</v>
      </c>
      <c r="V350" s="61" t="str">
        <f>IFERROR(_xll.qlBachelierBlackFormulaImpliedVol(IF(O350&lt;$C$4,"Put","Call"),O350,$C$4,$C$7,P350),"")</f>
        <v/>
      </c>
      <c r="W350" s="61">
        <f>IFERROR(_xll.qlBachelierBlackFormulaImpliedVol(IF(O350&lt;$C$4,"Put","Call"),O350,$C$4,$C$7,Q350),"")</f>
        <v>7.9996992745896278E-3</v>
      </c>
      <c r="X350" s="61">
        <f>IFERROR(_xll.qlBachelierBlackFormulaImpliedVol(IF(O350&lt;$C$4,"Put","Call"),O350,$C$4,$C$7,R350),"")</f>
        <v>7.2020000000054133E-3</v>
      </c>
      <c r="Y350" s="96">
        <f>_xll.qlSmileSectionVolatility($C$40,O350+$C$31)</f>
        <v>8.4276658512799519E-3</v>
      </c>
    </row>
    <row r="351" spans="15:25">
      <c r="O351" s="37">
        <f t="shared" si="6"/>
        <v>2.4599999999999903E-2</v>
      </c>
      <c r="P351" s="38" t="str">
        <f>IFERROR(_xll.qlBlackFormula(IF(O351&lt;$C$4,"Put","Call"),O351,$C$4,$C$9*SQRT($C$7)),"")</f>
        <v/>
      </c>
      <c r="Q351" s="39">
        <f>IFERROR(_xll.qlBlackFormula(IF(O351&lt;$C$4,"Put","Call"),O351,$C$4,$C$10*SQRT($C$7),,$C$11),"")</f>
        <v>1.2398308483414656E-3</v>
      </c>
      <c r="R351" s="40">
        <f>IFERROR(_xll.qlBachelierBlackFormula(IF(O351&lt;$C$4,"Put","Call"),O351,$C$4,$C$12*SQRT($C$7)),"")</f>
        <v>8.7229092714494411E-4</v>
      </c>
      <c r="S351" s="41" t="str">
        <f>IFERROR((_xll.qlBlackFormula(IF(O351&lt;$C$4,"Put","Call"),O351+$C$14,$C$4,$C$9*SQRT($C$7))-
2*_xll.qlBlackFormula(IF(O351&lt;$C$4,"Put","Call"),O351,$C$4,$C$9*SQRT($C$7))+
_xll.qlBlackFormula(IF(O351&lt;$C$4,"Put","Call"),O351-$C$14,$C$4,$C$9*SQRT($C$7)))/$C$14^2,"")</f>
        <v/>
      </c>
      <c r="T351" s="42">
        <f>IFERROR((_xll.qlBlackFormula(IF(O351&lt;$C$4,"Put","Call"),O351+$C$14,$C$4,$C$10*SQRT($C$7),,$C$11)-
2*_xll.qlBlackFormula(IF(O351&lt;$C$4,"Put","Call"),O351,$C$4,$C$10*SQRT($C$7),,$C$11)+
_xll.qlBlackFormula(IF(O351&lt;$C$4,"Put","Call"),O351-$C$14,$C$4,$C$10*SQRT($C$7),,$C$11))/$C$14^2,"")</f>
        <v>9.9204065101554662</v>
      </c>
      <c r="U351" s="43">
        <f>IFERROR((_xll.qlBachelierBlackFormula(IF(O351&lt;$C$4,"Put","Call"),O351+$C$14,$C$4,$C$12*SQRT($C$7))-
2*_xll.qlBachelierBlackFormula(IF(O351&lt;$C$4,"Put","Call"),O351,$C$4,$C$12*SQRT($C$7))+
_xll.qlBachelierBlackFormula(IF(O351&lt;$C$4,"Put","Call"),O351-$C$14,$C$4,$C$12*SQRT($C$7)))/$C$14^2,"")</f>
        <v>11.811825389312913</v>
      </c>
      <c r="V351" s="61" t="str">
        <f>IFERROR(_xll.qlBachelierBlackFormulaImpliedVol(IF(O351&lt;$C$4,"Put","Call"),O351,$C$4,$C$7,P351),"")</f>
        <v/>
      </c>
      <c r="W351" s="61">
        <f>IFERROR(_xll.qlBachelierBlackFormulaImpliedVol(IF(O351&lt;$C$4,"Put","Call"),O351,$C$4,$C$7,Q351),"")</f>
        <v>8.0036579744309361E-3</v>
      </c>
      <c r="X351" s="61">
        <f>IFERROR(_xll.qlBachelierBlackFormulaImpliedVol(IF(O351&lt;$C$4,"Put","Call"),O351,$C$4,$C$7,R351),"")</f>
        <v>7.2020000000056735E-3</v>
      </c>
      <c r="Y351" s="96">
        <f>_xll.qlSmileSectionVolatility($C$40,O351+$C$31)</f>
        <v>8.4353965663188681E-3</v>
      </c>
    </row>
    <row r="352" spans="15:25">
      <c r="O352" s="37">
        <f t="shared" si="6"/>
        <v>2.4699999999999903E-2</v>
      </c>
      <c r="P352" s="38" t="str">
        <f>IFERROR(_xll.qlBlackFormula(IF(O352&lt;$C$4,"Put","Call"),O352,$C$4,$C$9*SQRT($C$7)),"")</f>
        <v/>
      </c>
      <c r="Q352" s="39">
        <f>IFERROR(_xll.qlBlackFormula(IF(O352&lt;$C$4,"Put","Call"),O352,$C$4,$C$10*SQRT($C$7),,$C$11),"")</f>
        <v>1.2281466400850347E-3</v>
      </c>
      <c r="R352" s="40">
        <f>IFERROR(_xll.qlBachelierBlackFormula(IF(O352&lt;$C$4,"Put","Call"),O352,$C$4,$C$12*SQRT($C$7)),"")</f>
        <v>8.6117108604841751E-4</v>
      </c>
      <c r="S352" s="41" t="str">
        <f>IFERROR((_xll.qlBlackFormula(IF(O352&lt;$C$4,"Put","Call"),O352+$C$14,$C$4,$C$9*SQRT($C$7))-
2*_xll.qlBlackFormula(IF(O352&lt;$C$4,"Put","Call"),O352,$C$4,$C$9*SQRT($C$7))+
_xll.qlBlackFormula(IF(O352&lt;$C$4,"Put","Call"),O352-$C$14,$C$4,$C$9*SQRT($C$7)))/$C$14^2,"")</f>
        <v/>
      </c>
      <c r="T352" s="42">
        <f>IFERROR((_xll.qlBlackFormula(IF(O352&lt;$C$4,"Put","Call"),O352+$C$14,$C$4,$C$10*SQRT($C$7),,$C$11)-
2*_xll.qlBlackFormula(IF(O352&lt;$C$4,"Put","Call"),O352,$C$4,$C$10*SQRT($C$7),,$C$11)+
_xll.qlBlackFormula(IF(O352&lt;$C$4,"Put","Call"),O352-$C$14,$C$4,$C$10*SQRT($C$7),,$C$11))/$C$14^2,"")</f>
        <v>9.8516715618668371</v>
      </c>
      <c r="U352" s="43">
        <f>IFERROR((_xll.qlBachelierBlackFormula(IF(O352&lt;$C$4,"Put","Call"),O352+$C$14,$C$4,$C$12*SQRT($C$7))-
2*_xll.qlBachelierBlackFormula(IF(O352&lt;$C$4,"Put","Call"),O352,$C$4,$C$12*SQRT($C$7))+
_xll.qlBachelierBlackFormula(IF(O352&lt;$C$4,"Put","Call"),O352-$C$14,$C$4,$C$12*SQRT($C$7)))/$C$14^2,"")</f>
        <v>11.722668408903347</v>
      </c>
      <c r="V352" s="61" t="str">
        <f>IFERROR(_xll.qlBachelierBlackFormulaImpliedVol(IF(O352&lt;$C$4,"Put","Call"),O352,$C$4,$C$7,P352),"")</f>
        <v/>
      </c>
      <c r="W352" s="61">
        <f>IFERROR(_xll.qlBachelierBlackFormulaImpliedVol(IF(O352&lt;$C$4,"Put","Call"),O352,$C$4,$C$7,Q352),"")</f>
        <v>8.007615456132022E-3</v>
      </c>
      <c r="X352" s="61">
        <f>IFERROR(_xll.qlBachelierBlackFormulaImpliedVol(IF(O352&lt;$C$4,"Put","Call"),O352,$C$4,$C$7,R352),"")</f>
        <v>7.2020000000059059E-3</v>
      </c>
      <c r="Y352" s="96">
        <f>_xll.qlSmileSectionVolatility($C$40,O352+$C$31)</f>
        <v>8.4431374067903287E-3</v>
      </c>
    </row>
    <row r="353" spans="15:25">
      <c r="O353" s="37">
        <f t="shared" si="6"/>
        <v>2.4799999999999902E-2</v>
      </c>
      <c r="P353" s="38" t="str">
        <f>IFERROR(_xll.qlBlackFormula(IF(O353&lt;$C$4,"Put","Call"),O353,$C$4,$C$9*SQRT($C$7)),"")</f>
        <v/>
      </c>
      <c r="Q353" s="39">
        <f>IFERROR(_xll.qlBlackFormula(IF(O353&lt;$C$4,"Put","Call"),O353,$C$4,$C$10*SQRT($C$7),,$C$11),"")</f>
        <v>1.2165609487974679E-3</v>
      </c>
      <c r="R353" s="40">
        <f>IFERROR(_xll.qlBachelierBlackFormula(IF(O353&lt;$C$4,"Put","Call"),O353,$C$4,$C$12*SQRT($C$7)),"")</f>
        <v>8.5016847181329947E-4</v>
      </c>
      <c r="S353" s="41" t="str">
        <f>IFERROR((_xll.qlBlackFormula(IF(O353&lt;$C$4,"Put","Call"),O353+$C$14,$C$4,$C$9*SQRT($C$7))-
2*_xll.qlBlackFormula(IF(O353&lt;$C$4,"Put","Call"),O353,$C$4,$C$9*SQRT($C$7))+
_xll.qlBlackFormula(IF(O353&lt;$C$4,"Put","Call"),O353-$C$14,$C$4,$C$9*SQRT($C$7)))/$C$14^2,"")</f>
        <v/>
      </c>
      <c r="T353" s="42">
        <f>IFERROR((_xll.qlBlackFormula(IF(O353&lt;$C$4,"Put","Call"),O353+$C$14,$C$4,$C$10*SQRT($C$7),,$C$11)-
2*_xll.qlBlackFormula(IF(O353&lt;$C$4,"Put","Call"),O353,$C$4,$C$10*SQRT($C$7),,$C$11)+
_xll.qlBlackFormula(IF(O353&lt;$C$4,"Put","Call"),O353-$C$14,$C$4,$C$10*SQRT($C$7),,$C$11))/$C$14^2,"")</f>
        <v>9.7832263123986962</v>
      </c>
      <c r="U353" s="43">
        <f>IFERROR((_xll.qlBachelierBlackFormula(IF(O353&lt;$C$4,"Put","Call"),O353+$C$14,$C$4,$C$12*SQRT($C$7))-
2*_xll.qlBachelierBlackFormula(IF(O353&lt;$C$4,"Put","Call"),O353,$C$4,$C$12*SQRT($C$7))+
_xll.qlBachelierBlackFormula(IF(O353&lt;$C$4,"Put","Call"),O353-$C$14,$C$4,$C$12*SQRT($C$7)))/$C$14^2,"")</f>
        <v>11.633733039417837</v>
      </c>
      <c r="V353" s="61" t="str">
        <f>IFERROR(_xll.qlBachelierBlackFormulaImpliedVol(IF(O353&lt;$C$4,"Put","Call"),O353,$C$4,$C$7,P353),"")</f>
        <v/>
      </c>
      <c r="W353" s="61">
        <f>IFERROR(_xll.qlBachelierBlackFormulaImpliedVol(IF(O353&lt;$C$4,"Put","Call"),O353,$C$4,$C$7,Q353),"")</f>
        <v>8.0115717214255845E-3</v>
      </c>
      <c r="X353" s="61">
        <f>IFERROR(_xll.qlBachelierBlackFormulaImpliedVol(IF(O353&lt;$C$4,"Put","Call"),O353,$C$4,$C$7,R353),"")</f>
        <v>7.2020000000061167E-3</v>
      </c>
      <c r="Y353" s="96">
        <f>_xll.qlSmileSectionVolatility($C$40,O353+$C$31)</f>
        <v>8.4508883097721126E-3</v>
      </c>
    </row>
    <row r="354" spans="15:25">
      <c r="O354" s="37">
        <f t="shared" si="6"/>
        <v>2.4899999999999901E-2</v>
      </c>
      <c r="P354" s="38" t="str">
        <f>IFERROR(_xll.qlBlackFormula(IF(O354&lt;$C$4,"Put","Call"),O354,$C$4,$C$9*SQRT($C$7)),"")</f>
        <v/>
      </c>
      <c r="Q354" s="39">
        <f>IFERROR(_xll.qlBlackFormula(IF(O354&lt;$C$4,"Put","Call"),O354,$C$4,$C$10*SQRT($C$7),,$C$11),"")</f>
        <v>1.2050730900286747E-3</v>
      </c>
      <c r="R354" s="40">
        <f>IFERROR(_xll.qlBachelierBlackFormula(IF(O354&lt;$C$4,"Put","Call"),O354,$C$4,$C$12*SQRT($C$7)),"")</f>
        <v>8.392821951102628E-4</v>
      </c>
      <c r="S354" s="41" t="str">
        <f>IFERROR((_xll.qlBlackFormula(IF(O354&lt;$C$4,"Put","Call"),O354+$C$14,$C$4,$C$9*SQRT($C$7))-
2*_xll.qlBlackFormula(IF(O354&lt;$C$4,"Put","Call"),O354,$C$4,$C$9*SQRT($C$7))+
_xll.qlBlackFormula(IF(O354&lt;$C$4,"Put","Call"),O354-$C$14,$C$4,$C$9*SQRT($C$7)))/$C$14^2,"")</f>
        <v/>
      </c>
      <c r="T354" s="42">
        <f>IFERROR((_xll.qlBlackFormula(IF(O354&lt;$C$4,"Put","Call"),O354+$C$14,$C$4,$C$10*SQRT($C$7),,$C$11)-
2*_xll.qlBlackFormula(IF(O354&lt;$C$4,"Put","Call"),O354,$C$4,$C$10*SQRT($C$7),,$C$11)+
_xll.qlBlackFormula(IF(O354&lt;$C$4,"Put","Call"),O354-$C$14,$C$4,$C$10*SQRT($C$7),,$C$11))/$C$14^2,"")</f>
        <v>9.7150915784327552</v>
      </c>
      <c r="U354" s="43">
        <f>IFERROR((_xll.qlBachelierBlackFormula(IF(O354&lt;$C$4,"Put","Call"),O354+$C$14,$C$4,$C$12*SQRT($C$7))-
2*_xll.qlBachelierBlackFormula(IF(O354&lt;$C$4,"Put","Call"),O354,$C$4,$C$12*SQRT($C$7))+
_xll.qlBachelierBlackFormula(IF(O354&lt;$C$4,"Put","Call"),O354-$C$14,$C$4,$C$12*SQRT($C$7)))/$C$14^2,"")</f>
        <v>11.545030122878108</v>
      </c>
      <c r="V354" s="61" t="str">
        <f>IFERROR(_xll.qlBachelierBlackFormulaImpliedVol(IF(O354&lt;$C$4,"Put","Call"),O354,$C$4,$C$7,P354),"")</f>
        <v/>
      </c>
      <c r="W354" s="61">
        <f>IFERROR(_xll.qlBachelierBlackFormulaImpliedVol(IF(O354&lt;$C$4,"Put","Call"),O354,$C$4,$C$7,Q354),"")</f>
        <v>8.0155267720401092E-3</v>
      </c>
      <c r="X354" s="61">
        <f>IFERROR(_xll.qlBachelierBlackFormulaImpliedVol(IF(O354&lt;$C$4,"Put","Call"),O354,$C$4,$C$7,R354),"")</f>
        <v>7.2020000000063015E-3</v>
      </c>
      <c r="Y354" s="96">
        <f>_xll.qlSmileSectionVolatility($C$40,O354+$C$31)</f>
        <v>8.4586492126284326E-3</v>
      </c>
    </row>
    <row r="355" spans="15:25">
      <c r="O355" s="37">
        <f t="shared" si="6"/>
        <v>2.4999999999999901E-2</v>
      </c>
      <c r="P355" s="38" t="str">
        <f>IFERROR(_xll.qlBlackFormula(IF(O355&lt;$C$4,"Put","Call"),O355,$C$4,$C$9*SQRT($C$7)),"")</f>
        <v/>
      </c>
      <c r="Q355" s="39">
        <f>IFERROR(_xll.qlBlackFormula(IF(O355&lt;$C$4,"Put","Call"),O355,$C$4,$C$10*SQRT($C$7),,$C$11),"")</f>
        <v>1.1936823822741062E-3</v>
      </c>
      <c r="R355" s="40">
        <f>IFERROR(_xll.qlBachelierBlackFormula(IF(O355&lt;$C$4,"Put","Call"),O355,$C$4,$C$12*SQRT($C$7)),"")</f>
        <v>8.2851136890509927E-4</v>
      </c>
      <c r="S355" s="41" t="str">
        <f>IFERROR((_xll.qlBlackFormula(IF(O355&lt;$C$4,"Put","Call"),O355+$C$14,$C$4,$C$9*SQRT($C$7))-
2*_xll.qlBlackFormula(IF(O355&lt;$C$4,"Put","Call"),O355,$C$4,$C$9*SQRT($C$7))+
_xll.qlBlackFormula(IF(O355&lt;$C$4,"Put","Call"),O355-$C$14,$C$4,$C$9*SQRT($C$7)))/$C$14^2,"")</f>
        <v/>
      </c>
      <c r="T355" s="42">
        <f>IFERROR((_xll.qlBlackFormula(IF(O355&lt;$C$4,"Put","Call"),O355+$C$14,$C$4,$C$10*SQRT($C$7),,$C$11)-
2*_xll.qlBlackFormula(IF(O355&lt;$C$4,"Put","Call"),O355,$C$4,$C$10*SQRT($C$7),,$C$11)+
_xll.qlBlackFormula(IF(O355&lt;$C$4,"Put","Call"),O355-$C$14,$C$4,$C$10*SQRT($C$7),,$C$11))/$C$14^2,"")</f>
        <v>9.6472205224351626</v>
      </c>
      <c r="U355" s="43">
        <f>IFERROR((_xll.qlBachelierBlackFormula(IF(O355&lt;$C$4,"Put","Call"),O355+$C$14,$C$4,$C$12*SQRT($C$7))-
2*_xll.qlBachelierBlackFormula(IF(O355&lt;$C$4,"Put","Call"),O355,$C$4,$C$12*SQRT($C$7))+
_xll.qlBachelierBlackFormula(IF(O355&lt;$C$4,"Put","Call"),O355-$C$14,$C$4,$C$12*SQRT($C$7)))/$C$14^2,"")</f>
        <v>11.456560526645898</v>
      </c>
      <c r="V355" s="61" t="str">
        <f>IFERROR(_xll.qlBachelierBlackFormulaImpliedVol(IF(O355&lt;$C$4,"Put","Call"),O355,$C$4,$C$7,P355),"")</f>
        <v/>
      </c>
      <c r="W355" s="61">
        <f>IFERROR(_xll.qlBachelierBlackFormulaImpliedVol(IF(O355&lt;$C$4,"Put","Call"),O355,$C$4,$C$7,Q355),"")</f>
        <v>8.0194806096999995E-3</v>
      </c>
      <c r="X355" s="61">
        <f>IFERROR(_xll.qlBachelierBlackFormulaImpliedVol(IF(O355&lt;$C$4,"Put","Call"),O355,$C$4,$C$7,R355),"")</f>
        <v>7.2020000000064558E-3</v>
      </c>
      <c r="Y355" s="96">
        <f>_xll.qlSmileSectionVolatility($C$40,O355+$C$31)</f>
        <v>8.4664200530102391E-3</v>
      </c>
    </row>
    <row r="356" spans="15:25">
      <c r="O356" s="37">
        <f t="shared" si="6"/>
        <v>2.50999999999999E-2</v>
      </c>
      <c r="P356" s="38" t="str">
        <f>IFERROR(_xll.qlBlackFormula(IF(O356&lt;$C$4,"Put","Call"),O356,$C$4,$C$9*SQRT($C$7)),"")</f>
        <v/>
      </c>
      <c r="Q356" s="39">
        <f>IFERROR(_xll.qlBlackFormula(IF(O356&lt;$C$4,"Put","Call"),O356,$C$4,$C$10*SQRT($C$7),,$C$11),"")</f>
        <v>1.1823881469851926E-3</v>
      </c>
      <c r="R356" s="40">
        <f>IFERROR(_xll.qlBachelierBlackFormula(IF(O356&lt;$C$4,"Put","Call"),O356,$C$4,$C$12*SQRT($C$7)),"")</f>
        <v>8.1785510850935139E-4</v>
      </c>
      <c r="S356" s="41" t="str">
        <f>IFERROR((_xll.qlBlackFormula(IF(O356&lt;$C$4,"Put","Call"),O356+$C$14,$C$4,$C$9*SQRT($C$7))-
2*_xll.qlBlackFormula(IF(O356&lt;$C$4,"Put","Call"),O356,$C$4,$C$9*SQRT($C$7))+
_xll.qlBlackFormula(IF(O356&lt;$C$4,"Put","Call"),O356-$C$14,$C$4,$C$9*SQRT($C$7)))/$C$14^2,"")</f>
        <v/>
      </c>
      <c r="T356" s="42">
        <f>IFERROR((_xll.qlBlackFormula(IF(O356&lt;$C$4,"Put","Call"),O356+$C$14,$C$4,$C$10*SQRT($C$7),,$C$11)-
2*_xll.qlBlackFormula(IF(O356&lt;$C$4,"Put","Call"),O356,$C$4,$C$10*SQRT($C$7),,$C$11)+
_xll.qlBlackFormula(IF(O356&lt;$C$4,"Put","Call"),O356-$C$14,$C$4,$C$10*SQRT($C$7),,$C$11))/$C$14^2,"")</f>
        <v>9.5796755944510537</v>
      </c>
      <c r="U356" s="43">
        <f>IFERROR((_xll.qlBachelierBlackFormula(IF(O356&lt;$C$4,"Put","Call"),O356+$C$14,$C$4,$C$12*SQRT($C$7))-
2*_xll.qlBachelierBlackFormula(IF(O356&lt;$C$4,"Put","Call"),O356,$C$4,$C$12*SQRT($C$7))+
_xll.qlBachelierBlackFormula(IF(O356&lt;$C$4,"Put","Call"),O356-$C$14,$C$4,$C$12*SQRT($C$7)))/$C$14^2,"")</f>
        <v>11.368330755934242</v>
      </c>
      <c r="V356" s="61" t="str">
        <f>IFERROR(_xll.qlBachelierBlackFormulaImpliedVol(IF(O356&lt;$C$4,"Put","Call"),O356,$C$4,$C$7,P356),"")</f>
        <v/>
      </c>
      <c r="W356" s="61">
        <f>IFERROR(_xll.qlBachelierBlackFormulaImpliedVol(IF(O356&lt;$C$4,"Put","Call"),O356,$C$4,$C$7,Q356),"")</f>
        <v>8.0234332361254403E-3</v>
      </c>
      <c r="X356" s="61">
        <f>IFERROR(_xll.qlBachelierBlackFormulaImpliedVol(IF(O356&lt;$C$4,"Put","Call"),O356,$C$4,$C$7,R356),"")</f>
        <v>7.2020000000065729E-3</v>
      </c>
      <c r="Y356" s="96">
        <f>_xll.qlSmileSectionVolatility($C$40,O356+$C$31)</f>
        <v>8.4742007688555342E-3</v>
      </c>
    </row>
    <row r="357" spans="15:25">
      <c r="O357" s="37">
        <f t="shared" si="6"/>
        <v>2.51999999999999E-2</v>
      </c>
      <c r="P357" s="38" t="str">
        <f>IFERROR(_xll.qlBlackFormula(IF(O357&lt;$C$4,"Put","Call"),O357,$C$4,$C$9*SQRT($C$7)),"")</f>
        <v/>
      </c>
      <c r="Q357" s="39">
        <f>IFERROR(_xll.qlBlackFormula(IF(O357&lt;$C$4,"Put","Call"),O357,$C$4,$C$10*SQRT($C$7),,$C$11),"")</f>
        <v>1.17118970857958E-3</v>
      </c>
      <c r="R357" s="40">
        <f>IFERROR(_xll.qlBachelierBlackFormula(IF(O357&lt;$C$4,"Put","Call"),O357,$C$4,$C$12*SQRT($C$7)),"")</f>
        <v>8.0731253163030458E-4</v>
      </c>
      <c r="S357" s="41" t="str">
        <f>IFERROR((_xll.qlBlackFormula(IF(O357&lt;$C$4,"Put","Call"),O357+$C$14,$C$4,$C$9*SQRT($C$7))-
2*_xll.qlBlackFormula(IF(O357&lt;$C$4,"Put","Call"),O357,$C$4,$C$9*SQRT($C$7))+
_xll.qlBlackFormula(IF(O357&lt;$C$4,"Put","Call"),O357-$C$14,$C$4,$C$9*SQRT($C$7)))/$C$14^2,"")</f>
        <v/>
      </c>
      <c r="T357" s="42">
        <f>IFERROR((_xll.qlBlackFormula(IF(O357&lt;$C$4,"Put","Call"),O357+$C$14,$C$4,$C$10*SQRT($C$7),,$C$11)-
2*_xll.qlBlackFormula(IF(O357&lt;$C$4,"Put","Call"),O357,$C$4,$C$10*SQRT($C$7),,$C$11)+
_xll.qlBlackFormula(IF(O357&lt;$C$4,"Put","Call"),O357-$C$14,$C$4,$C$10*SQRT($C$7),,$C$11))/$C$14^2,"")</f>
        <v>9.5123960791587692</v>
      </c>
      <c r="U357" s="43">
        <f>IFERROR((_xll.qlBachelierBlackFormula(IF(O357&lt;$C$4,"Put","Call"),O357+$C$14,$C$4,$C$12*SQRT($C$7))-
2*_xll.qlBachelierBlackFormula(IF(O357&lt;$C$4,"Put","Call"),O357,$C$4,$C$12*SQRT($C$7))+
_xll.qlBachelierBlackFormula(IF(O357&lt;$C$4,"Put","Call"),O357-$C$14,$C$4,$C$12*SQRT($C$7)))/$C$14^2,"")</f>
        <v>11.280346448594436</v>
      </c>
      <c r="V357" s="61" t="str">
        <f>IFERROR(_xll.qlBachelierBlackFormulaImpliedVol(IF(O357&lt;$C$4,"Put","Call"),O357,$C$4,$C$7,P357),"")</f>
        <v/>
      </c>
      <c r="W357" s="61">
        <f>IFERROR(_xll.qlBachelierBlackFormulaImpliedVol(IF(O357&lt;$C$4,"Put","Call"),O357,$C$4,$C$7,Q357),"")</f>
        <v>8.0273846530325415E-3</v>
      </c>
      <c r="X357" s="61">
        <f>IFERROR(_xll.qlBachelierBlackFormulaImpliedVol(IF(O357&lt;$C$4,"Put","Call"),O357,$C$4,$C$7,R357),"")</f>
        <v>7.2020000000066562E-3</v>
      </c>
      <c r="Y357" s="96">
        <f>_xll.qlSmileSectionVolatility($C$40,O357+$C$31)</f>
        <v>8.4819912983895678E-3</v>
      </c>
    </row>
    <row r="358" spans="15:25">
      <c r="O358" s="37">
        <f t="shared" si="6"/>
        <v>2.5299999999999899E-2</v>
      </c>
      <c r="P358" s="38" t="str">
        <f>IFERROR(_xll.qlBlackFormula(IF(O358&lt;$C$4,"Put","Call"),O358,$C$4,$C$9*SQRT($C$7)),"")</f>
        <v/>
      </c>
      <c r="Q358" s="39">
        <f>IFERROR(_xll.qlBlackFormula(IF(O358&lt;$C$4,"Put","Call"),O358,$C$4,$C$10*SQRT($C$7),,$C$11),"")</f>
        <v>1.1600863944508447E-3</v>
      </c>
      <c r="R358" s="40">
        <f>IFERROR(_xll.qlBachelierBlackFormula(IF(O358&lt;$C$4,"Put","Call"),O358,$C$4,$C$12*SQRT($C$7)),"")</f>
        <v>7.9688275842031576E-4</v>
      </c>
      <c r="S358" s="41" t="str">
        <f>IFERROR((_xll.qlBlackFormula(IF(O358&lt;$C$4,"Put","Call"),O358+$C$14,$C$4,$C$9*SQRT($C$7))-
2*_xll.qlBlackFormula(IF(O358&lt;$C$4,"Put","Call"),O358,$C$4,$C$9*SQRT($C$7))+
_xll.qlBlackFormula(IF(O358&lt;$C$4,"Put","Call"),O358-$C$14,$C$4,$C$9*SQRT($C$7)))/$C$14^2,"")</f>
        <v/>
      </c>
      <c r="T358" s="42">
        <f>IFERROR((_xll.qlBlackFormula(IF(O358&lt;$C$4,"Put","Call"),O358+$C$14,$C$4,$C$10*SQRT($C$7),,$C$11)-
2*_xll.qlBlackFormula(IF(O358&lt;$C$4,"Put","Call"),O358,$C$4,$C$10*SQRT($C$7),,$C$11)+
_xll.qlBlackFormula(IF(O358&lt;$C$4,"Put","Call"),O358-$C$14,$C$4,$C$10*SQRT($C$7),,$C$11))/$C$14^2,"")</f>
        <v>9.4454409571564923</v>
      </c>
      <c r="U358" s="43">
        <f>IFERROR((_xll.qlBachelierBlackFormula(IF(O358&lt;$C$4,"Put","Call"),O358+$C$14,$C$4,$C$12*SQRT($C$7))-
2*_xll.qlBachelierBlackFormula(IF(O358&lt;$C$4,"Put","Call"),O358,$C$4,$C$12*SQRT($C$7))+
_xll.qlBachelierBlackFormula(IF(O358&lt;$C$4,"Put","Call"),O358-$C$14,$C$4,$C$12*SQRT($C$7)))/$C$14^2,"")</f>
        <v>11.192607604626481</v>
      </c>
      <c r="V358" s="61" t="str">
        <f>IFERROR(_xll.qlBachelierBlackFormulaImpliedVol(IF(O358&lt;$C$4,"Put","Call"),O358,$C$4,$C$7,P358),"")</f>
        <v/>
      </c>
      <c r="W358" s="61">
        <f>IFERROR(_xll.qlBachelierBlackFormulaImpliedVol(IF(O358&lt;$C$4,"Put","Call"),O358,$C$4,$C$7,Q358),"")</f>
        <v>8.0313348621332513E-3</v>
      </c>
      <c r="X358" s="61">
        <f>IFERROR(_xll.qlBachelierBlackFormulaImpliedVol(IF(O358&lt;$C$4,"Put","Call"),O358,$C$4,$C$7,R358),"")</f>
        <v>7.2020000000067056E-3</v>
      </c>
      <c r="Y358" s="96">
        <f>_xll.qlSmileSectionVolatility($C$40,O358+$C$31)</f>
        <v>8.4897915801250869E-3</v>
      </c>
    </row>
    <row r="359" spans="15:25">
      <c r="O359" s="37">
        <f t="shared" si="6"/>
        <v>2.5399999999999898E-2</v>
      </c>
      <c r="P359" s="38" t="str">
        <f>IFERROR(_xll.qlBlackFormula(IF(O359&lt;$C$4,"Put","Call"),O359,$C$4,$C$9*SQRT($C$7)),"")</f>
        <v/>
      </c>
      <c r="Q359" s="39">
        <f>IFERROR(_xll.qlBlackFormula(IF(O359&lt;$C$4,"Put","Call"),O359,$C$4,$C$10*SQRT($C$7),,$C$11),"")</f>
        <v>1.1490775349779353E-3</v>
      </c>
      <c r="R359" s="40">
        <f>IFERROR(_xll.qlBachelierBlackFormula(IF(O359&lt;$C$4,"Put","Call"),O359,$C$4,$C$12*SQRT($C$7)),"")</f>
        <v>7.865649115254684E-4</v>
      </c>
      <c r="S359" s="41" t="str">
        <f>IFERROR((_xll.qlBlackFormula(IF(O359&lt;$C$4,"Put","Call"),O359+$C$14,$C$4,$C$9*SQRT($C$7))-
2*_xll.qlBlackFormula(IF(O359&lt;$C$4,"Put","Call"),O359,$C$4,$C$9*SQRT($C$7))+
_xll.qlBlackFormula(IF(O359&lt;$C$4,"Put","Call"),O359-$C$14,$C$4,$C$9*SQRT($C$7)))/$C$14^2,"")</f>
        <v/>
      </c>
      <c r="T359" s="42">
        <f>IFERROR((_xll.qlBlackFormula(IF(O359&lt;$C$4,"Put","Call"),O359+$C$14,$C$4,$C$10*SQRT($C$7),,$C$11)-
2*_xll.qlBlackFormula(IF(O359&lt;$C$4,"Put","Call"),O359,$C$4,$C$10*SQRT($C$7),,$C$11)+
_xll.qlBlackFormula(IF(O359&lt;$C$4,"Put","Call"),O359-$C$14,$C$4,$C$10*SQRT($C$7),,$C$11))/$C$14^2,"")</f>
        <v>9.3787772686981796</v>
      </c>
      <c r="U359" s="43">
        <f>IFERROR((_xll.qlBachelierBlackFormula(IF(O359&lt;$C$4,"Put","Call"),O359+$C$14,$C$4,$C$12*SQRT($C$7))-
2*_xll.qlBachelierBlackFormula(IF(O359&lt;$C$4,"Put","Call"),O359,$C$4,$C$12*SQRT($C$7))+
_xll.qlBachelierBlackFormula(IF(O359&lt;$C$4,"Put","Call"),O359-$C$14,$C$4,$C$12*SQRT($C$7)))/$C$14^2,"")</f>
        <v>11.105130703903399</v>
      </c>
      <c r="V359" s="61" t="str">
        <f>IFERROR(_xll.qlBachelierBlackFormulaImpliedVol(IF(O359&lt;$C$4,"Put","Call"),O359,$C$4,$C$7,P359),"")</f>
        <v/>
      </c>
      <c r="W359" s="61">
        <f>IFERROR(_xll.qlBachelierBlackFormulaImpliedVol(IF(O359&lt;$C$4,"Put","Call"),O359,$C$4,$C$7,Q359),"")</f>
        <v>8.0352838651354692E-3</v>
      </c>
      <c r="X359" s="61">
        <f>IFERROR(_xll.qlBachelierBlackFormulaImpliedVol(IF(O359&lt;$C$4,"Put","Call"),O359,$C$4,$C$7,R359),"")</f>
        <v>7.2020000000067108E-3</v>
      </c>
      <c r="Y359" s="96">
        <f>_xll.qlSmileSectionVolatility($C$40,O359+$C$31)</f>
        <v>8.4976015528624438E-3</v>
      </c>
    </row>
    <row r="360" spans="15:25">
      <c r="O360" s="37">
        <f t="shared" si="6"/>
        <v>2.5499999999999898E-2</v>
      </c>
      <c r="P360" s="38" t="str">
        <f>IFERROR(_xll.qlBlackFormula(IF(O360&lt;$C$4,"Put","Call"),O360,$C$4,$C$9*SQRT($C$7)),"")</f>
        <v/>
      </c>
      <c r="Q360" s="39">
        <f>IFERROR(_xll.qlBlackFormula(IF(O360&lt;$C$4,"Put","Call"),O360,$C$4,$C$10*SQRT($C$7),,$C$11),"")</f>
        <v>1.1381624635341918E-3</v>
      </c>
      <c r="R360" s="40">
        <f>IFERROR(_xll.qlBachelierBlackFormula(IF(O360&lt;$C$4,"Put","Call"),O360,$C$4,$C$12*SQRT($C$7)),"")</f>
        <v>7.7635811613358538E-4</v>
      </c>
      <c r="S360" s="41" t="str">
        <f>IFERROR((_xll.qlBlackFormula(IF(O360&lt;$C$4,"Put","Call"),O360+$C$14,$C$4,$C$9*SQRT($C$7))-
2*_xll.qlBlackFormula(IF(O360&lt;$C$4,"Put","Call"),O360,$C$4,$C$9*SQRT($C$7))+
_xll.qlBlackFormula(IF(O360&lt;$C$4,"Put","Call"),O360-$C$14,$C$4,$C$9*SQRT($C$7)))/$C$14^2,"")</f>
        <v/>
      </c>
      <c r="T360" s="42">
        <f>IFERROR((_xll.qlBlackFormula(IF(O360&lt;$C$4,"Put","Call"),O360+$C$14,$C$4,$C$10*SQRT($C$7),,$C$11)-
2*_xll.qlBlackFormula(IF(O360&lt;$C$4,"Put","Call"),O360,$C$4,$C$10*SQRT($C$7),,$C$11)+
_xll.qlBlackFormula(IF(O360&lt;$C$4,"Put","Call"),O360-$C$14,$C$4,$C$10*SQRT($C$7),,$C$11))/$C$14^2,"")</f>
        <v>9.3123998096134031</v>
      </c>
      <c r="U360" s="43">
        <f>IFERROR((_xll.qlBachelierBlackFormula(IF(O360&lt;$C$4,"Put","Call"),O360+$C$14,$C$4,$C$12*SQRT($C$7))-
2*_xll.qlBachelierBlackFormula(IF(O360&lt;$C$4,"Put","Call"),O360,$C$4,$C$12*SQRT($C$7))+
_xll.qlBachelierBlackFormula(IF(O360&lt;$C$4,"Put","Call"),O360-$C$14,$C$4,$C$12*SQRT($C$7)))/$C$14^2,"")</f>
        <v>11.017905338084333</v>
      </c>
      <c r="V360" s="61" t="str">
        <f>IFERROR(_xll.qlBachelierBlackFormulaImpliedVol(IF(O360&lt;$C$4,"Put","Call"),O360,$C$4,$C$7,P360),"")</f>
        <v/>
      </c>
      <c r="W360" s="61">
        <f>IFERROR(_xll.qlBachelierBlackFormulaImpliedVol(IF(O360&lt;$C$4,"Put","Call"),O360,$C$4,$C$7,Q360),"")</f>
        <v>8.0392316637429816E-3</v>
      </c>
      <c r="X360" s="61">
        <f>IFERROR(_xll.qlBachelierBlackFormulaImpliedVol(IF(O360&lt;$C$4,"Put","Call"),O360,$C$4,$C$7,R360),"")</f>
        <v>7.2020000000066805E-3</v>
      </c>
      <c r="Y360" s="96">
        <f>_xll.qlSmileSectionVolatility($C$40,O360+$C$31)</f>
        <v>8.5054211556897779E-3</v>
      </c>
    </row>
    <row r="361" spans="15:25">
      <c r="O361" s="37">
        <f t="shared" si="6"/>
        <v>2.5599999999999897E-2</v>
      </c>
      <c r="P361" s="38" t="str">
        <f>IFERROR(_xll.qlBlackFormula(IF(O361&lt;$C$4,"Put","Call"),O361,$C$4,$C$9*SQRT($C$7)),"")</f>
        <v/>
      </c>
      <c r="Q361" s="39">
        <f>IFERROR(_xll.qlBlackFormula(IF(O361&lt;$C$4,"Put","Call"),O361,$C$4,$C$10*SQRT($C$7),,$C$11),"")</f>
        <v>1.1273405164959911E-3</v>
      </c>
      <c r="R361" s="40">
        <f>IFERROR(_xll.qlBachelierBlackFormula(IF(O361&lt;$C$4,"Put","Call"),O361,$C$4,$C$12*SQRT($C$7)),"")</f>
        <v>7.6626150002154616E-4</v>
      </c>
      <c r="S361" s="41" t="str">
        <f>IFERROR((_xll.qlBlackFormula(IF(O361&lt;$C$4,"Put","Call"),O361+$C$14,$C$4,$C$9*SQRT($C$7))-
2*_xll.qlBlackFormula(IF(O361&lt;$C$4,"Put","Call"),O361,$C$4,$C$9*SQRT($C$7))+
_xll.qlBlackFormula(IF(O361&lt;$C$4,"Put","Call"),O361-$C$14,$C$4,$C$9*SQRT($C$7)))/$C$14^2,"")</f>
        <v/>
      </c>
      <c r="T361" s="42">
        <f>IFERROR((_xll.qlBlackFormula(IF(O361&lt;$C$4,"Put","Call"),O361+$C$14,$C$4,$C$10*SQRT($C$7),,$C$11)-
2*_xll.qlBlackFormula(IF(O361&lt;$C$4,"Put","Call"),O361,$C$4,$C$10*SQRT($C$7),,$C$11)+
_xll.qlBlackFormula(IF(O361&lt;$C$4,"Put","Call"),O361-$C$14,$C$4,$C$10*SQRT($C$7),,$C$11))/$C$14^2,"")</f>
        <v>9.246358886882966</v>
      </c>
      <c r="U361" s="43">
        <f>IFERROR((_xll.qlBachelierBlackFormula(IF(O361&lt;$C$4,"Put","Call"),O361+$C$14,$C$4,$C$12*SQRT($C$7))-
2*_xll.qlBachelierBlackFormula(IF(O361&lt;$C$4,"Put","Call"),O361,$C$4,$C$12*SQRT($C$7))+
_xll.qlBachelierBlackFormula(IF(O361&lt;$C$4,"Put","Call"),O361-$C$14,$C$4,$C$12*SQRT($C$7)))/$C$14^2,"")</f>
        <v>10.93094581863796</v>
      </c>
      <c r="V361" s="61" t="str">
        <f>IFERROR(_xll.qlBachelierBlackFormulaImpliedVol(IF(O361&lt;$C$4,"Put","Call"),O361,$C$4,$C$7,P361),"")</f>
        <v/>
      </c>
      <c r="W361" s="61">
        <f>IFERROR(_xll.qlBachelierBlackFormulaImpliedVol(IF(O361&lt;$C$4,"Put","Call"),O361,$C$4,$C$7,Q361),"")</f>
        <v>8.0431782596554688E-3</v>
      </c>
      <c r="X361" s="61">
        <f>IFERROR(_xll.qlBachelierBlackFormulaImpliedVol(IF(O361&lt;$C$4,"Put","Call"),O361,$C$4,$C$7,R361),"")</f>
        <v>7.2020000000066059E-3</v>
      </c>
      <c r="Y361" s="96">
        <f>_xll.qlSmileSectionVolatility($C$40,O361+$C$31)</f>
        <v>8.5132503279831302E-3</v>
      </c>
    </row>
    <row r="362" spans="15:25">
      <c r="O362" s="37">
        <f t="shared" si="6"/>
        <v>2.5699999999999897E-2</v>
      </c>
      <c r="P362" s="38" t="str">
        <f>IFERROR(_xll.qlBlackFormula(IF(O362&lt;$C$4,"Put","Call"),O362,$C$4,$C$9*SQRT($C$7)),"")</f>
        <v/>
      </c>
      <c r="Q362" s="39">
        <f>IFERROR(_xll.qlBlackFormula(IF(O362&lt;$C$4,"Put","Call"),O362,$C$4,$C$10*SQRT($C$7),,$C$11),"")</f>
        <v>1.1166110332511206E-3</v>
      </c>
      <c r="R362" s="40">
        <f>IFERROR(_xll.qlBachelierBlackFormula(IF(O362&lt;$C$4,"Put","Call"),O362,$C$4,$C$12*SQRT($C$7)),"")</f>
        <v>7.5627419360196034E-4</v>
      </c>
      <c r="S362" s="41" t="str">
        <f>IFERROR((_xll.qlBlackFormula(IF(O362&lt;$C$4,"Put","Call"),O362+$C$14,$C$4,$C$9*SQRT($C$7))-
2*_xll.qlBlackFormula(IF(O362&lt;$C$4,"Put","Call"),O362,$C$4,$C$9*SQRT($C$7))+
_xll.qlBlackFormula(IF(O362&lt;$C$4,"Put","Call"),O362-$C$14,$C$4,$C$9*SQRT($C$7)))/$C$14^2,"")</f>
        <v/>
      </c>
      <c r="T362" s="42">
        <f>IFERROR((_xll.qlBlackFormula(IF(O362&lt;$C$4,"Put","Call"),O362+$C$14,$C$4,$C$10*SQRT($C$7),,$C$11)-
2*_xll.qlBlackFormula(IF(O362&lt;$C$4,"Put","Call"),O362,$C$4,$C$10*SQRT($C$7),,$C$11)+
_xll.qlBlackFormula(IF(O362&lt;$C$4,"Put","Call"),O362-$C$14,$C$4,$C$10*SQRT($C$7),,$C$11))/$C$14^2,"")</f>
        <v>9.1805885810147814</v>
      </c>
      <c r="U362" s="43">
        <f>IFERROR((_xll.qlBachelierBlackFormula(IF(O362&lt;$C$4,"Put","Call"),O362+$C$14,$C$4,$C$12*SQRT($C$7))-
2*_xll.qlBachelierBlackFormula(IF(O362&lt;$C$4,"Put","Call"),O362,$C$4,$C$12*SQRT($C$7))+
_xll.qlBachelierBlackFormula(IF(O362&lt;$C$4,"Put","Call"),O362-$C$14,$C$4,$C$12*SQRT($C$7)))/$C$14^2,"")</f>
        <v>10.844257349734709</v>
      </c>
      <c r="V362" s="61" t="str">
        <f>IFERROR(_xll.qlBachelierBlackFormulaImpliedVol(IF(O362&lt;$C$4,"Put","Call"),O362,$C$4,$C$7,P362),"")</f>
        <v/>
      </c>
      <c r="W362" s="61">
        <f>IFERROR(_xll.qlBachelierBlackFormulaImpliedVol(IF(O362&lt;$C$4,"Put","Call"),O362,$C$4,$C$7,Q362),"")</f>
        <v>8.0471236545686265E-3</v>
      </c>
      <c r="X362" s="61">
        <f>IFERROR(_xll.qlBachelierBlackFormulaImpliedVol(IF(O362&lt;$C$4,"Put","Call"),O362,$C$4,$C$7,R362),"")</f>
        <v>7.2020000000064845E-3</v>
      </c>
      <c r="Y362" s="96">
        <f>_xll.qlSmileSectionVolatility($C$40,O362+$C$31)</f>
        <v>8.5210890094064851E-3</v>
      </c>
    </row>
    <row r="363" spans="15:25">
      <c r="O363" s="37">
        <f t="shared" si="6"/>
        <v>2.5799999999999896E-2</v>
      </c>
      <c r="P363" s="38" t="str">
        <f>IFERROR(_xll.qlBlackFormula(IF(O363&lt;$C$4,"Put","Call"),O363,$C$4,$C$9*SQRT($C$7)),"")</f>
        <v/>
      </c>
      <c r="Q363" s="39">
        <f>IFERROR(_xll.qlBlackFormula(IF(O363&lt;$C$4,"Put","Call"),O363,$C$4,$C$10*SQRT($C$7),,$C$11),"")</f>
        <v>1.1059733562066541E-3</v>
      </c>
      <c r="R363" s="40">
        <f>IFERROR(_xll.qlBachelierBlackFormula(IF(O363&lt;$C$4,"Put","Call"),O363,$C$4,$C$12*SQRT($C$7)),"")</f>
        <v>7.4639532996915612E-4</v>
      </c>
      <c r="S363" s="41" t="str">
        <f>IFERROR((_xll.qlBlackFormula(IF(O363&lt;$C$4,"Put","Call"),O363+$C$14,$C$4,$C$9*SQRT($C$7))-
2*_xll.qlBlackFormula(IF(O363&lt;$C$4,"Put","Call"),O363,$C$4,$C$9*SQRT($C$7))+
_xll.qlBlackFormula(IF(O363&lt;$C$4,"Put","Call"),O363-$C$14,$C$4,$C$9*SQRT($C$7)))/$C$14^2,"")</f>
        <v/>
      </c>
      <c r="T363" s="42">
        <f>IFERROR((_xll.qlBlackFormula(IF(O363&lt;$C$4,"Put","Call"),O363+$C$14,$C$4,$C$10*SQRT($C$7),,$C$11)-
2*_xll.qlBlackFormula(IF(O363&lt;$C$4,"Put","Call"),O363,$C$4,$C$10*SQRT($C$7),,$C$11)+
_xll.qlBlackFormula(IF(O363&lt;$C$4,"Put","Call"),O363-$C$14,$C$4,$C$10*SQRT($C$7),,$C$11))/$C$14^2,"")</f>
        <v>9.1151305253722725</v>
      </c>
      <c r="U363" s="43">
        <f>IFERROR((_xll.qlBachelierBlackFormula(IF(O363&lt;$C$4,"Put","Call"),O363+$C$14,$C$4,$C$12*SQRT($C$7))-
2*_xll.qlBachelierBlackFormula(IF(O363&lt;$C$4,"Put","Call"),O363,$C$4,$C$12*SQRT($C$7))+
_xll.qlBachelierBlackFormula(IF(O363&lt;$C$4,"Put","Call"),O363-$C$14,$C$4,$C$12*SQRT($C$7)))/$C$14^2,"")</f>
        <v>10.757839497693711</v>
      </c>
      <c r="V363" s="61" t="str">
        <f>IFERROR(_xll.qlBachelierBlackFormulaImpliedVol(IF(O363&lt;$C$4,"Put","Call"),O363,$C$4,$C$7,P363),"")</f>
        <v/>
      </c>
      <c r="W363" s="61">
        <f>IFERROR(_xll.qlBachelierBlackFormulaImpliedVol(IF(O363&lt;$C$4,"Put","Call"),O363,$C$4,$C$7,Q363),"")</f>
        <v>8.0510678501740443E-3</v>
      </c>
      <c r="X363" s="61">
        <f>IFERROR(_xll.qlBachelierBlackFormulaImpliedVol(IF(O363&lt;$C$4,"Put","Call"),O363,$C$4,$C$7,R363),"")</f>
        <v>7.2020000000063275E-3</v>
      </c>
      <c r="Y363" s="96">
        <f>_xll.qlSmileSectionVolatility($C$40,O363+$C$31)</f>
        <v>8.5289371399118255E-3</v>
      </c>
    </row>
    <row r="364" spans="15:25">
      <c r="O364" s="37">
        <f t="shared" si="6"/>
        <v>2.5899999999999895E-2</v>
      </c>
      <c r="P364" s="38" t="str">
        <f>IFERROR(_xll.qlBlackFormula(IF(O364&lt;$C$4,"Put","Call"),O364,$C$4,$C$9*SQRT($C$7)),"")</f>
        <v/>
      </c>
      <c r="Q364" s="39">
        <f>IFERROR(_xll.qlBlackFormula(IF(O364&lt;$C$4,"Put","Call"),O364,$C$4,$C$10*SQRT($C$7),,$C$11),"")</f>
        <v>1.0954268307965965E-3</v>
      </c>
      <c r="R364" s="40">
        <f>IFERROR(_xll.qlBachelierBlackFormula(IF(O364&lt;$C$4,"Put","Call"),O364,$C$4,$C$12*SQRT($C$7)),"")</f>
        <v>7.3662404494449774E-4</v>
      </c>
      <c r="S364" s="41" t="str">
        <f>IFERROR((_xll.qlBlackFormula(IF(O364&lt;$C$4,"Put","Call"),O364+$C$14,$C$4,$C$9*SQRT($C$7))-
2*_xll.qlBlackFormula(IF(O364&lt;$C$4,"Put","Call"),O364,$C$4,$C$9*SQRT($C$7))+
_xll.qlBlackFormula(IF(O364&lt;$C$4,"Put","Call"),O364-$C$14,$C$4,$C$9*SQRT($C$7)))/$C$14^2,"")</f>
        <v/>
      </c>
      <c r="T364" s="42">
        <f>IFERROR((_xll.qlBlackFormula(IF(O364&lt;$C$4,"Put","Call"),O364+$C$14,$C$4,$C$10*SQRT($C$7),,$C$11)-
2*_xll.qlBlackFormula(IF(O364&lt;$C$4,"Put","Call"),O364,$C$4,$C$10*SQRT($C$7),,$C$11)+
_xll.qlBlackFormula(IF(O364&lt;$C$4,"Put","Call"),O364-$C$14,$C$4,$C$10*SQRT($C$7),,$C$11))/$C$14^2,"")</f>
        <v>9.0499829852319635</v>
      </c>
      <c r="U364" s="43">
        <f>IFERROR((_xll.qlBachelierBlackFormula(IF(O364&lt;$C$4,"Put","Call"),O364+$C$14,$C$4,$C$12*SQRT($C$7))-
2*_xll.qlBachelierBlackFormula(IF(O364&lt;$C$4,"Put","Call"),O364,$C$4,$C$12*SQRT($C$7))+
_xll.qlBachelierBlackFormula(IF(O364&lt;$C$4,"Put","Call"),O364-$C$14,$C$4,$C$12*SQRT($C$7)))/$C$14^2,"")</f>
        <v>10.671696599323655</v>
      </c>
      <c r="V364" s="61" t="str">
        <f>IFERROR(_xll.qlBachelierBlackFormulaImpliedVol(IF(O364&lt;$C$4,"Put","Call"),O364,$C$4,$C$7,P364),"")</f>
        <v/>
      </c>
      <c r="W364" s="61">
        <f>IFERROR(_xll.qlBachelierBlackFormulaImpliedVol(IF(O364&lt;$C$4,"Put","Call"),O364,$C$4,$C$7,Q364),"")</f>
        <v>8.0550108481592907E-3</v>
      </c>
      <c r="X364" s="61">
        <f>IFERROR(_xll.qlBachelierBlackFormulaImpliedVol(IF(O364&lt;$C$4,"Put","Call"),O364,$C$4,$C$7,R364),"")</f>
        <v>7.2020000000061184E-3</v>
      </c>
      <c r="Y364" s="96">
        <f>_xll.qlSmileSectionVolatility($C$40,O364+$C$31)</f>
        <v>8.5367946597391491E-3</v>
      </c>
    </row>
    <row r="365" spans="15:25">
      <c r="O365" s="37">
        <f t="shared" si="6"/>
        <v>2.5999999999999895E-2</v>
      </c>
      <c r="P365" s="38" t="str">
        <f>IFERROR(_xll.qlBlackFormula(IF(O365&lt;$C$4,"Put","Call"),O365,$C$4,$C$9*SQRT($C$7)),"")</f>
        <v/>
      </c>
      <c r="Q365" s="39">
        <f>IFERROR(_xll.qlBlackFormula(IF(O365&lt;$C$4,"Put","Call"),O365,$C$4,$C$10*SQRT($C$7),,$C$11),"")</f>
        <v>1.0849708054891122E-3</v>
      </c>
      <c r="R365" s="40">
        <f>IFERROR(_xll.qlBachelierBlackFormula(IF(O365&lt;$C$4,"Put","Call"),O365,$C$4,$C$12*SQRT($C$7)),"")</f>
        <v>7.2695947712102986E-4</v>
      </c>
      <c r="S365" s="41" t="str">
        <f>IFERROR((_xll.qlBlackFormula(IF(O365&lt;$C$4,"Put","Call"),O365+$C$14,$C$4,$C$9*SQRT($C$7))-
2*_xll.qlBlackFormula(IF(O365&lt;$C$4,"Put","Call"),O365,$C$4,$C$9*SQRT($C$7))+
_xll.qlBlackFormula(IF(O365&lt;$C$4,"Put","Call"),O365-$C$14,$C$4,$C$9*SQRT($C$7)))/$C$14^2,"")</f>
        <v/>
      </c>
      <c r="T365" s="42">
        <f>IFERROR((_xll.qlBlackFormula(IF(O365&lt;$C$4,"Put","Call"),O365+$C$14,$C$4,$C$10*SQRT($C$7),,$C$11)-
2*_xll.qlBlackFormula(IF(O365&lt;$C$4,"Put","Call"),O365,$C$4,$C$10*SQRT($C$7),,$C$11)+
_xll.qlBlackFormula(IF(O365&lt;$C$4,"Put","Call"),O365-$C$14,$C$4,$C$10*SQRT($C$7),,$C$11))/$C$14^2,"")</f>
        <v>8.9851476953173304</v>
      </c>
      <c r="U365" s="43">
        <f>IFERROR((_xll.qlBachelierBlackFormula(IF(O365&lt;$C$4,"Put","Call"),O365+$C$14,$C$4,$C$12*SQRT($C$7))-
2*_xll.qlBachelierBlackFormula(IF(O365&lt;$C$4,"Put","Call"),O365,$C$4,$C$12*SQRT($C$7))+
_xll.qlBachelierBlackFormula(IF(O365&lt;$C$4,"Put","Call"),O365-$C$14,$C$4,$C$12*SQRT($C$7)))/$C$14^2,"")</f>
        <v>10.585836460880182</v>
      </c>
      <c r="V365" s="61" t="str">
        <f>IFERROR(_xll.qlBachelierBlackFormulaImpliedVol(IF(O365&lt;$C$4,"Put","Call"),O365,$C$4,$C$7,P365),"")</f>
        <v/>
      </c>
      <c r="W365" s="61">
        <f>IFERROR(_xll.qlBachelierBlackFormulaImpliedVol(IF(O365&lt;$C$4,"Put","Call"),O365,$C$4,$C$7,Q365),"")</f>
        <v>8.0589526502079147E-3</v>
      </c>
      <c r="X365" s="61">
        <f>IFERROR(_xll.qlBachelierBlackFormulaImpliedVol(IF(O365&lt;$C$4,"Put","Call"),O365,$C$4,$C$7,R365),"")</f>
        <v>7.2020000000058617E-3</v>
      </c>
      <c r="Y365" s="96">
        <f>_xll.qlSmileSectionVolatility($C$40,O365+$C$31)</f>
        <v>8.5446615094164537E-3</v>
      </c>
    </row>
    <row r="366" spans="15:25">
      <c r="O366" s="37">
        <f t="shared" si="6"/>
        <v>2.6099999999999894E-2</v>
      </c>
      <c r="P366" s="38" t="str">
        <f>IFERROR(_xll.qlBlackFormula(IF(O366&lt;$C$4,"Put","Call"),O366,$C$4,$C$9*SQRT($C$7)),"")</f>
        <v/>
      </c>
      <c r="Q366" s="39">
        <f>IFERROR(_xll.qlBlackFormula(IF(O366&lt;$C$4,"Put","Call"),O366,$C$4,$C$10*SQRT($C$7),,$C$11),"")</f>
        <v>1.0746046317934559E-3</v>
      </c>
      <c r="R366" s="40">
        <f>IFERROR(_xll.qlBachelierBlackFormula(IF(O366&lt;$C$4,"Put","Call"),O366,$C$4,$C$12*SQRT($C$7)),"")</f>
        <v>7.1740076790744985E-4</v>
      </c>
      <c r="S366" s="41" t="str">
        <f>IFERROR((_xll.qlBlackFormula(IF(O366&lt;$C$4,"Put","Call"),O366+$C$14,$C$4,$C$9*SQRT($C$7))-
2*_xll.qlBlackFormula(IF(O366&lt;$C$4,"Put","Call"),O366,$C$4,$C$9*SQRT($C$7))+
_xll.qlBlackFormula(IF(O366&lt;$C$4,"Put","Call"),O366-$C$14,$C$4,$C$9*SQRT($C$7)))/$C$14^2,"")</f>
        <v/>
      </c>
      <c r="T366" s="42">
        <f>IFERROR((_xll.qlBlackFormula(IF(O366&lt;$C$4,"Put","Call"),O366+$C$14,$C$4,$C$10*SQRT($C$7),,$C$11)-
2*_xll.qlBlackFormula(IF(O366&lt;$C$4,"Put","Call"),O366,$C$4,$C$10*SQRT($C$7),,$C$11)+
_xll.qlBlackFormula(IF(O366&lt;$C$4,"Put","Call"),O366-$C$14,$C$4,$C$10*SQRT($C$7),,$C$11))/$C$14^2,"")</f>
        <v>8.9205934306058055</v>
      </c>
      <c r="U366" s="43">
        <f>IFERROR((_xll.qlBachelierBlackFormula(IF(O366&lt;$C$4,"Put","Call"),O366+$C$14,$C$4,$C$12*SQRT($C$7))-
2*_xll.qlBachelierBlackFormula(IF(O366&lt;$C$4,"Put","Call"),O366,$C$4,$C$12*SQRT($C$7))+
_xll.qlBachelierBlackFormula(IF(O366&lt;$C$4,"Put","Call"),O366-$C$14,$C$4,$C$12*SQRT($C$7)))/$C$14^2,"")</f>
        <v>10.500262551810247</v>
      </c>
      <c r="V366" s="61" t="str">
        <f>IFERROR(_xll.qlBachelierBlackFormulaImpliedVol(IF(O366&lt;$C$4,"Put","Call"),O366,$C$4,$C$7,P366),"")</f>
        <v/>
      </c>
      <c r="W366" s="61">
        <f>IFERROR(_xll.qlBachelierBlackFormulaImpliedVol(IF(O366&lt;$C$4,"Put","Call"),O366,$C$4,$C$7,Q366),"")</f>
        <v>8.0628932579995191E-3</v>
      </c>
      <c r="X366" s="61">
        <f>IFERROR(_xll.qlBachelierBlackFormulaImpliedVol(IF(O366&lt;$C$4,"Put","Call"),O366,$C$4,$C$7,R366),"")</f>
        <v>7.2020000000055599E-3</v>
      </c>
      <c r="Y366" s="96">
        <f>_xll.qlSmileSectionVolatility($C$40,O366+$C$31)</f>
        <v>8.5525376297596756E-3</v>
      </c>
    </row>
    <row r="367" spans="15:25">
      <c r="O367" s="37">
        <f t="shared" si="6"/>
        <v>2.6199999999999894E-2</v>
      </c>
      <c r="P367" s="38" t="str">
        <f>IFERROR(_xll.qlBlackFormula(IF(O367&lt;$C$4,"Put","Call"),O367,$C$4,$C$9*SQRT($C$7)),"")</f>
        <v/>
      </c>
      <c r="Q367" s="39">
        <f>IFERROR(_xll.qlBlackFormula(IF(O367&lt;$C$4,"Put","Call"),O367,$C$4,$C$10*SQRT($C$7),,$C$11),"")</f>
        <v>1.0643276642664633E-3</v>
      </c>
      <c r="R367" s="40">
        <f>IFERROR(_xll.qlBachelierBlackFormula(IF(O367&lt;$C$4,"Put","Call"),O367,$C$4,$C$12*SQRT($C$7)),"")</f>
        <v>7.0794706157139469E-4</v>
      </c>
      <c r="S367" s="41" t="str">
        <f>IFERROR((_xll.qlBlackFormula(IF(O367&lt;$C$4,"Put","Call"),O367+$C$14,$C$4,$C$9*SQRT($C$7))-
2*_xll.qlBlackFormula(IF(O367&lt;$C$4,"Put","Call"),O367,$C$4,$C$9*SQRT($C$7))+
_xll.qlBlackFormula(IF(O367&lt;$C$4,"Put","Call"),O367-$C$14,$C$4,$C$9*SQRT($C$7)))/$C$14^2,"")</f>
        <v/>
      </c>
      <c r="T367" s="42">
        <f>IFERROR((_xll.qlBlackFormula(IF(O367&lt;$C$4,"Put","Call"),O367+$C$14,$C$4,$C$10*SQRT($C$7),,$C$11)-
2*_xll.qlBlackFormula(IF(O367&lt;$C$4,"Put","Call"),O367,$C$4,$C$10*SQRT($C$7),,$C$11)+
_xll.qlBlackFormula(IF(O367&lt;$C$4,"Put","Call"),O367-$C$14,$C$4,$C$10*SQRT($C$7),,$C$11))/$C$14^2,"")</f>
        <v>8.8563583550138603</v>
      </c>
      <c r="U367" s="43">
        <f>IFERROR((_xll.qlBachelierBlackFormula(IF(O367&lt;$C$4,"Put","Call"),O367+$C$14,$C$4,$C$12*SQRT($C$7))-
2*_xll.qlBachelierBlackFormula(IF(O367&lt;$C$4,"Put","Call"),O367,$C$4,$C$12*SQRT($C$7))+
_xll.qlBachelierBlackFormula(IF(O367&lt;$C$4,"Put","Call"),O367-$C$14,$C$4,$C$12*SQRT($C$7)))/$C$14^2,"")</f>
        <v>10.414980509965144</v>
      </c>
      <c r="V367" s="61" t="str">
        <f>IFERROR(_xll.qlBachelierBlackFormulaImpliedVol(IF(O367&lt;$C$4,"Put","Call"),O367,$C$4,$C$7,P367),"")</f>
        <v/>
      </c>
      <c r="W367" s="61">
        <f>IFERROR(_xll.qlBachelierBlackFormulaImpliedVol(IF(O367&lt;$C$4,"Put","Call"),O367,$C$4,$C$7,Q367),"")</f>
        <v>8.0668326732096108E-3</v>
      </c>
      <c r="X367" s="61">
        <f>IFERROR(_xll.qlBachelierBlackFormulaImpliedVol(IF(O367&lt;$C$4,"Put","Call"),O367,$C$4,$C$7,R367),"")</f>
        <v>7.2020000000052094E-3</v>
      </c>
      <c r="Y367" s="96">
        <f>_xll.qlSmileSectionVolatility($C$40,O367+$C$31)</f>
        <v>8.5604229618726213E-3</v>
      </c>
    </row>
    <row r="368" spans="15:25">
      <c r="O368" s="37">
        <f t="shared" si="6"/>
        <v>2.6299999999999893E-2</v>
      </c>
      <c r="P368" s="38" t="str">
        <f>IFERROR(_xll.qlBlackFormula(IF(O368&lt;$C$4,"Put","Call"),O368,$C$4,$C$9*SQRT($C$7)),"")</f>
        <v/>
      </c>
      <c r="Q368" s="39">
        <f>IFERROR(_xll.qlBlackFormula(IF(O368&lt;$C$4,"Put","Call"),O368,$C$4,$C$10*SQRT($C$7),,$C$11),"")</f>
        <v>1.0541392605188313E-3</v>
      </c>
      <c r="R368" s="40">
        <f>IFERROR(_xll.qlBachelierBlackFormula(IF(O368&lt;$C$4,"Put","Call"),O368,$C$4,$C$12*SQRT($C$7)),"")</f>
        <v>6.9859750528205667E-4</v>
      </c>
      <c r="S368" s="41" t="str">
        <f>IFERROR((_xll.qlBlackFormula(IF(O368&lt;$C$4,"Put","Call"),O368+$C$14,$C$4,$C$9*SQRT($C$7))-
2*_xll.qlBlackFormula(IF(O368&lt;$C$4,"Put","Call"),O368,$C$4,$C$9*SQRT($C$7))+
_xll.qlBlackFormula(IF(O368&lt;$C$4,"Put","Call"),O368-$C$14,$C$4,$C$9*SQRT($C$7)))/$C$14^2,"")</f>
        <v/>
      </c>
      <c r="T368" s="42">
        <f>IFERROR((_xll.qlBlackFormula(IF(O368&lt;$C$4,"Put","Call"),O368+$C$14,$C$4,$C$10*SQRT($C$7),,$C$11)-
2*_xll.qlBlackFormula(IF(O368&lt;$C$4,"Put","Call"),O368,$C$4,$C$10*SQRT($C$7),,$C$11)+
_xll.qlBlackFormula(IF(O368&lt;$C$4,"Put","Call"),O368-$C$14,$C$4,$C$10*SQRT($C$7),,$C$11))/$C$14^2,"")</f>
        <v>8.792430325477163</v>
      </c>
      <c r="U368" s="43">
        <f>IFERROR((_xll.qlBachelierBlackFormula(IF(O368&lt;$C$4,"Put","Call"),O368+$C$14,$C$4,$C$12*SQRT($C$7))-
2*_xll.qlBachelierBlackFormula(IF(O368&lt;$C$4,"Put","Call"),O368,$C$4,$C$12*SQRT($C$7))+
_xll.qlBachelierBlackFormula(IF(O368&lt;$C$4,"Put","Call"),O368-$C$14,$C$4,$C$12*SQRT($C$7)))/$C$14^2,"")</f>
        <v>10.329990769025743</v>
      </c>
      <c r="V368" s="61" t="str">
        <f>IFERROR(_xll.qlBachelierBlackFormulaImpliedVol(IF(O368&lt;$C$4,"Put","Call"),O368,$C$4,$C$7,P368),"")</f>
        <v/>
      </c>
      <c r="W368" s="61">
        <f>IFERROR(_xll.qlBachelierBlackFormulaImpliedVol(IF(O368&lt;$C$4,"Put","Call"),O368,$C$4,$C$7,Q368),"")</f>
        <v>8.070770897509771E-3</v>
      </c>
      <c r="X368" s="61">
        <f>IFERROR(_xll.qlBachelierBlackFormulaImpliedVol(IF(O368&lt;$C$4,"Put","Call"),O368,$C$4,$C$7,R368),"")</f>
        <v>7.2020000000048122E-3</v>
      </c>
      <c r="Y368" s="96">
        <f>_xll.qlSmileSectionVolatility($C$40,O368+$C$31)</f>
        <v>8.5683174471468636E-3</v>
      </c>
    </row>
    <row r="369" spans="15:25">
      <c r="O369" s="37">
        <f t="shared" si="6"/>
        <v>2.6399999999999892E-2</v>
      </c>
      <c r="P369" s="38" t="str">
        <f>IFERROR(_xll.qlBlackFormula(IF(O369&lt;$C$4,"Put","Call"),O369,$C$4,$C$9*SQRT($C$7)),"")</f>
        <v/>
      </c>
      <c r="Q369" s="39">
        <f>IFERROR(_xll.qlBlackFormula(IF(O369&lt;$C$4,"Put","Call"),O369,$C$4,$C$10*SQRT($C$7),,$C$11),"")</f>
        <v>1.0440387812209947E-3</v>
      </c>
      <c r="R369" s="40">
        <f>IFERROR(_xll.qlBachelierBlackFormula(IF(O369&lt;$C$4,"Put","Call"),O369,$C$4,$C$12*SQRT($C$7)),"")</f>
        <v>6.8935124915211555E-4</v>
      </c>
      <c r="S369" s="41" t="str">
        <f>IFERROR((_xll.qlBlackFormula(IF(O369&lt;$C$4,"Put","Call"),O369+$C$14,$C$4,$C$9*SQRT($C$7))-
2*_xll.qlBlackFormula(IF(O369&lt;$C$4,"Put","Call"),O369,$C$4,$C$9*SQRT($C$7))+
_xll.qlBlackFormula(IF(O369&lt;$C$4,"Put","Call"),O369-$C$14,$C$4,$C$9*SQRT($C$7)))/$C$14^2,"")</f>
        <v/>
      </c>
      <c r="T369" s="42">
        <f>IFERROR((_xll.qlBlackFormula(IF(O369&lt;$C$4,"Put","Call"),O369+$C$14,$C$4,$C$10*SQRT($C$7),,$C$11)-
2*_xll.qlBlackFormula(IF(O369&lt;$C$4,"Put","Call"),O369,$C$4,$C$10*SQRT($C$7),,$C$11)+
_xll.qlBlackFormula(IF(O369&lt;$C$4,"Put","Call"),O369-$C$14,$C$4,$C$10*SQRT($C$7),,$C$11))/$C$14^2,"")</f>
        <v>8.7287937294844298</v>
      </c>
      <c r="U369" s="43">
        <f>IFERROR((_xll.qlBachelierBlackFormula(IF(O369&lt;$C$4,"Put","Call"),O369+$C$14,$C$4,$C$12*SQRT($C$7))-
2*_xll.qlBachelierBlackFormula(IF(O369&lt;$C$4,"Put","Call"),O369,$C$4,$C$12*SQRT($C$7))+
_xll.qlBachelierBlackFormula(IF(O369&lt;$C$4,"Put","Call"),O369-$C$14,$C$4,$C$12*SQRT($C$7)))/$C$14^2,"")</f>
        <v>10.245299834205079</v>
      </c>
      <c r="V369" s="61" t="str">
        <f>IFERROR(_xll.qlBachelierBlackFormulaImpliedVol(IF(O369&lt;$C$4,"Put","Call"),O369,$C$4,$C$7,P369),"")</f>
        <v/>
      </c>
      <c r="W369" s="61">
        <f>IFERROR(_xll.qlBachelierBlackFormulaImpliedVol(IF(O369&lt;$C$4,"Put","Call"),O369,$C$4,$C$7,Q369),"")</f>
        <v>8.0747079325676503E-3</v>
      </c>
      <c r="X369" s="61">
        <f>IFERROR(_xll.qlBachelierBlackFormulaImpliedVol(IF(O369&lt;$C$4,"Put","Call"),O369,$C$4,$C$7,R369),"")</f>
        <v>7.2020000000043664E-3</v>
      </c>
      <c r="Y369" s="96">
        <f>_xll.qlSmileSectionVolatility($C$40,O369+$C$31)</f>
        <v>8.5762210272615925E-3</v>
      </c>
    </row>
    <row r="370" spans="15:25">
      <c r="O370" s="37">
        <f t="shared" si="6"/>
        <v>2.6499999999999892E-2</v>
      </c>
      <c r="P370" s="38" t="str">
        <f>IFERROR(_xll.qlBlackFormula(IF(O370&lt;$C$4,"Put","Call"),O370,$C$4,$C$9*SQRT($C$7)),"")</f>
        <v/>
      </c>
      <c r="Q370" s="39">
        <f>IFERROR(_xll.qlBlackFormula(IF(O370&lt;$C$4,"Put","Call"),O370,$C$4,$C$10*SQRT($C$7),,$C$11),"")</f>
        <v>1.0340255901086382E-3</v>
      </c>
      <c r="R370" s="40">
        <f>IFERROR(_xll.qlBachelierBlackFormula(IF(O370&lt;$C$4,"Put","Call"),O370,$C$4,$C$12*SQRT($C$7)),"")</f>
        <v>6.8020744627898854E-4</v>
      </c>
      <c r="S370" s="41" t="str">
        <f>IFERROR((_xll.qlBlackFormula(IF(O370&lt;$C$4,"Put","Call"),O370+$C$14,$C$4,$C$9*SQRT($C$7))-
2*_xll.qlBlackFormula(IF(O370&lt;$C$4,"Put","Call"),O370,$C$4,$C$9*SQRT($C$7))+
_xll.qlBlackFormula(IF(O370&lt;$C$4,"Put","Call"),O370-$C$14,$C$4,$C$9*SQRT($C$7)))/$C$14^2,"")</f>
        <v/>
      </c>
      <c r="T370" s="42">
        <f>IFERROR((_xll.qlBlackFormula(IF(O370&lt;$C$4,"Put","Call"),O370+$C$14,$C$4,$C$10*SQRT($C$7),,$C$11)-
2*_xll.qlBlackFormula(IF(O370&lt;$C$4,"Put","Call"),O370,$C$4,$C$10*SQRT($C$7),,$C$11)+
_xll.qlBlackFormula(IF(O370&lt;$C$4,"Put","Call"),O370-$C$14,$C$4,$C$10*SQRT($C$7),,$C$11))/$C$14^2,"")</f>
        <v>8.6654641795469445</v>
      </c>
      <c r="U370" s="43">
        <f>IFERROR((_xll.qlBachelierBlackFormula(IF(O370&lt;$C$4,"Put","Call"),O370+$C$14,$C$4,$C$12*SQRT($C$7))-
2*_xll.qlBachelierBlackFormula(IF(O370&lt;$C$4,"Put","Call"),O370,$C$4,$C$12*SQRT($C$7))+
_xll.qlBachelierBlackFormula(IF(O370&lt;$C$4,"Put","Call"),O370-$C$14,$C$4,$C$12*SQRT($C$7)))/$C$14^2,"")</f>
        <v>10.160912475992712</v>
      </c>
      <c r="V370" s="61" t="str">
        <f>IFERROR(_xll.qlBachelierBlackFormulaImpliedVol(IF(O370&lt;$C$4,"Put","Call"),O370,$C$4,$C$7,P370),"")</f>
        <v/>
      </c>
      <c r="W370" s="61">
        <f>IFERROR(_xll.qlBachelierBlackFormulaImpliedVol(IF(O370&lt;$C$4,"Put","Call"),O370,$C$4,$C$7,Q370),"")</f>
        <v>8.0786437800468916E-3</v>
      </c>
      <c r="X370" s="61">
        <f>IFERROR(_xll.qlBachelierBlackFormulaImpliedVol(IF(O370&lt;$C$4,"Put","Call"),O370,$C$4,$C$7,R370),"")</f>
        <v>7.2020000000038772E-3</v>
      </c>
      <c r="Y370" s="96">
        <f>_xll.qlSmileSectionVolatility($C$40,O370+$C$31)</f>
        <v>8.5841336441834851E-3</v>
      </c>
    </row>
    <row r="371" spans="15:25">
      <c r="O371" s="37">
        <f t="shared" si="6"/>
        <v>2.6599999999999891E-2</v>
      </c>
      <c r="P371" s="38" t="str">
        <f>IFERROR(_xll.qlBlackFormula(IF(O371&lt;$C$4,"Put","Call"),O371,$C$4,$C$9*SQRT($C$7)),"")</f>
        <v/>
      </c>
      <c r="Q371" s="39">
        <f>IFERROR(_xll.qlBlackFormula(IF(O371&lt;$C$4,"Put","Call"),O371,$C$4,$C$10*SQRT($C$7),,$C$11),"")</f>
        <v>1.0240990539879397E-3</v>
      </c>
      <c r="R371" s="40">
        <f>IFERROR(_xll.qlBachelierBlackFormula(IF(O371&lt;$C$4,"Put","Call"),O371,$C$4,$C$12*SQRT($C$7)),"")</f>
        <v>6.7116525278540767E-4</v>
      </c>
      <c r="S371" s="41" t="str">
        <f>IFERROR((_xll.qlBlackFormula(IF(O371&lt;$C$4,"Put","Call"),O371+$C$14,$C$4,$C$9*SQRT($C$7))-
2*_xll.qlBlackFormula(IF(O371&lt;$C$4,"Put","Call"),O371,$C$4,$C$9*SQRT($C$7))+
_xll.qlBlackFormula(IF(O371&lt;$C$4,"Put","Call"),O371-$C$14,$C$4,$C$9*SQRT($C$7)))/$C$14^2,"")</f>
        <v/>
      </c>
      <c r="T371" s="42">
        <f>IFERROR((_xll.qlBlackFormula(IF(O371&lt;$C$4,"Put","Call"),O371+$C$14,$C$4,$C$10*SQRT($C$7),,$C$11)-
2*_xll.qlBlackFormula(IF(O371&lt;$C$4,"Put","Call"),O371,$C$4,$C$10*SQRT($C$7),,$C$11)+
_xll.qlBlackFormula(IF(O371&lt;$C$4,"Put","Call"),O371-$C$14,$C$4,$C$10*SQRT($C$7),,$C$11))/$C$14^2,"")</f>
        <v>8.6024624923464188</v>
      </c>
      <c r="U371" s="43">
        <f>IFERROR((_xll.qlBachelierBlackFormula(IF(O371&lt;$C$4,"Put","Call"),O371+$C$14,$C$4,$C$12*SQRT($C$7))-
2*_xll.qlBachelierBlackFormula(IF(O371&lt;$C$4,"Put","Call"),O371,$C$4,$C$12*SQRT($C$7))+
_xll.qlBachelierBlackFormula(IF(O371&lt;$C$4,"Put","Call"),O371-$C$14,$C$4,$C$12*SQRT($C$7)))/$C$14^2,"")</f>
        <v>10.076831513314289</v>
      </c>
      <c r="V371" s="61" t="str">
        <f>IFERROR(_xll.qlBachelierBlackFormulaImpliedVol(IF(O371&lt;$C$4,"Put","Call"),O371,$C$4,$C$7,P371),"")</f>
        <v/>
      </c>
      <c r="W371" s="61">
        <f>IFERROR(_xll.qlBachelierBlackFormulaImpliedVol(IF(O371&lt;$C$4,"Put","Call"),O371,$C$4,$C$7,Q371),"")</f>
        <v>8.0825784416071935E-3</v>
      </c>
      <c r="X371" s="61">
        <f>IFERROR(_xll.qlBachelierBlackFormulaImpliedVol(IF(O371&lt;$C$4,"Put","Call"),O371,$C$4,$C$7,R371),"")</f>
        <v>7.2020000000033437E-3</v>
      </c>
      <c r="Y371" s="96">
        <f>_xll.qlSmileSectionVolatility($C$40,O371+$C$31)</f>
        <v>8.5920552401664817E-3</v>
      </c>
    </row>
    <row r="372" spans="15:25">
      <c r="O372" s="37">
        <f t="shared" si="6"/>
        <v>2.669999999999989E-2</v>
      </c>
      <c r="P372" s="38" t="str">
        <f>IFERROR(_xll.qlBlackFormula(IF(O372&lt;$C$4,"Put","Call"),O372,$C$4,$C$9*SQRT($C$7)),"")</f>
        <v/>
      </c>
      <c r="Q372" s="39">
        <f>IFERROR(_xll.qlBlackFormula(IF(O372&lt;$C$4,"Put","Call"),O372,$C$4,$C$10*SQRT($C$7),,$C$11),"")</f>
        <v>1.0142585427404954E-3</v>
      </c>
      <c r="R372" s="40">
        <f>IFERROR(_xll.qlBachelierBlackFormula(IF(O372&lt;$C$4,"Put","Call"),O372,$C$4,$C$12*SQRT($C$7)),"")</f>
        <v>6.6222382785930387E-4</v>
      </c>
      <c r="S372" s="41" t="str">
        <f>IFERROR((_xll.qlBlackFormula(IF(O372&lt;$C$4,"Put","Call"),O372+$C$14,$C$4,$C$9*SQRT($C$7))-
2*_xll.qlBlackFormula(IF(O372&lt;$C$4,"Put","Call"),O372,$C$4,$C$9*SQRT($C$7))+
_xll.qlBlackFormula(IF(O372&lt;$C$4,"Put","Call"),O372-$C$14,$C$4,$C$9*SQRT($C$7)))/$C$14^2,"")</f>
        <v/>
      </c>
      <c r="T372" s="42">
        <f>IFERROR((_xll.qlBlackFormula(IF(O372&lt;$C$4,"Put","Call"),O372+$C$14,$C$4,$C$10*SQRT($C$7),,$C$11)-
2*_xll.qlBlackFormula(IF(O372&lt;$C$4,"Put","Call"),O372,$C$4,$C$10*SQRT($C$7),,$C$11)+
_xll.qlBlackFormula(IF(O372&lt;$C$4,"Put","Call"),O372-$C$14,$C$4,$C$10*SQRT($C$7),,$C$11))/$C$14^2,"")</f>
        <v>8.5397522386898572</v>
      </c>
      <c r="U372" s="43">
        <f>IFERROR((_xll.qlBachelierBlackFormula(IF(O372&lt;$C$4,"Put","Call"),O372+$C$14,$C$4,$C$12*SQRT($C$7))-
2*_xll.qlBachelierBlackFormula(IF(O372&lt;$C$4,"Put","Call"),O372,$C$4,$C$12*SQRT($C$7))+
_xll.qlBachelierBlackFormula(IF(O372&lt;$C$4,"Put","Call"),O372-$C$14,$C$4,$C$12*SQRT($C$7)))/$C$14^2,"")</f>
        <v>9.9930604156167622</v>
      </c>
      <c r="V372" s="61" t="str">
        <f>IFERROR(_xll.qlBachelierBlackFormulaImpliedVol(IF(O372&lt;$C$4,"Put","Call"),O372,$C$4,$C$7,P372),"")</f>
        <v/>
      </c>
      <c r="W372" s="61">
        <f>IFERROR(_xll.qlBachelierBlackFormulaImpliedVol(IF(O372&lt;$C$4,"Put","Call"),O372,$C$4,$C$7,Q372),"")</f>
        <v>8.0865119189043877E-3</v>
      </c>
      <c r="X372" s="61">
        <f>IFERROR(_xll.qlBachelierBlackFormulaImpliedVol(IF(O372&lt;$C$4,"Put","Call"),O372,$C$4,$C$7,R372),"")</f>
        <v>7.2020000000027557E-3</v>
      </c>
      <c r="Y372" s="96">
        <f>_xll.qlSmileSectionVolatility($C$40,O372+$C$31)</f>
        <v>8.5999857577516107E-3</v>
      </c>
    </row>
    <row r="373" spans="15:25">
      <c r="O373" s="37">
        <f t="shared" si="6"/>
        <v>2.679999999999989E-2</v>
      </c>
      <c r="P373" s="38" t="str">
        <f>IFERROR(_xll.qlBlackFormula(IF(O373&lt;$C$4,"Put","Call"),O373,$C$4,$C$9*SQRT($C$7)),"")</f>
        <v/>
      </c>
      <c r="Q373" s="39">
        <f>IFERROR(_xll.qlBlackFormula(IF(O373&lt;$C$4,"Put","Call"),O373,$C$4,$C$10*SQRT($C$7),,$C$11),"")</f>
        <v>1.0045034293278514E-3</v>
      </c>
      <c r="R373" s="40">
        <f>IFERROR(_xll.qlBachelierBlackFormula(IF(O373&lt;$C$4,"Put","Call"),O373,$C$4,$C$12*SQRT($C$7)),"")</f>
        <v>6.5338233379301763E-4</v>
      </c>
      <c r="S373" s="41" t="str">
        <f>IFERROR((_xll.qlBlackFormula(IF(O373&lt;$C$4,"Put","Call"),O373+$C$14,$C$4,$C$9*SQRT($C$7))-
2*_xll.qlBlackFormula(IF(O373&lt;$C$4,"Put","Call"),O373,$C$4,$C$9*SQRT($C$7))+
_xll.qlBlackFormula(IF(O373&lt;$C$4,"Put","Call"),O373-$C$14,$C$4,$C$9*SQRT($C$7)))/$C$14^2,"")</f>
        <v/>
      </c>
      <c r="T373" s="42">
        <f>IFERROR((_xll.qlBlackFormula(IF(O373&lt;$C$4,"Put","Call"),O373+$C$14,$C$4,$C$10*SQRT($C$7),,$C$11)-
2*_xll.qlBlackFormula(IF(O373&lt;$C$4,"Put","Call"),O373,$C$4,$C$10*SQRT($C$7),,$C$11)+
_xll.qlBlackFormula(IF(O373&lt;$C$4,"Put","Call"),O373-$C$14,$C$4,$C$10*SQRT($C$7),,$C$11))/$C$14^2,"")</f>
        <v>8.4773594394293994</v>
      </c>
      <c r="U373" s="43">
        <f>IFERROR((_xll.qlBachelierBlackFormula(IF(O373&lt;$C$4,"Put","Call"),O373+$C$14,$C$4,$C$12*SQRT($C$7))-
2*_xll.qlBachelierBlackFormula(IF(O373&lt;$C$4,"Put","Call"),O373,$C$4,$C$12*SQRT($C$7))+
_xll.qlBachelierBlackFormula(IF(O373&lt;$C$4,"Put","Call"),O373-$C$14,$C$4,$C$12*SQRT($C$7)))/$C$14^2,"")</f>
        <v>9.9096022186662136</v>
      </c>
      <c r="V373" s="61" t="str">
        <f>IFERROR(_xll.qlBachelierBlackFormulaImpliedVol(IF(O373&lt;$C$4,"Put","Call"),O373,$C$4,$C$7,P373),"")</f>
        <v/>
      </c>
      <c r="W373" s="61">
        <f>IFERROR(_xll.qlBachelierBlackFormulaImpliedVol(IF(O373&lt;$C$4,"Put","Call"),O373,$C$4,$C$7,Q373),"")</f>
        <v>8.090444213590342E-3</v>
      </c>
      <c r="X373" s="61">
        <f>IFERROR(_xll.qlBachelierBlackFormulaImpliedVol(IF(O373&lt;$C$4,"Put","Call"),O373,$C$4,$C$7,R373),"")</f>
        <v>7.2020000000021303E-3</v>
      </c>
      <c r="Y373" s="96">
        <f>_xll.qlSmileSectionVolatility($C$40,O373+$C$31)</f>
        <v>8.607925139766737E-3</v>
      </c>
    </row>
    <row r="374" spans="15:25">
      <c r="O374" s="37">
        <f t="shared" si="6"/>
        <v>2.6899999999999889E-2</v>
      </c>
      <c r="P374" s="38" t="str">
        <f>IFERROR(_xll.qlBlackFormula(IF(O374&lt;$C$4,"Put","Call"),O374,$C$4,$C$9*SQRT($C$7)),"")</f>
        <v/>
      </c>
      <c r="Q374" s="39">
        <f>IFERROR(_xll.qlBlackFormula(IF(O374&lt;$C$4,"Put","Call"),O374,$C$4,$C$10*SQRT($C$7),,$C$11),"")</f>
        <v>9.9483308979578071E-4</v>
      </c>
      <c r="R374" s="40">
        <f>IFERROR(_xll.qlBachelierBlackFormula(IF(O374&lt;$C$4,"Put","Call"),O374,$C$4,$C$12*SQRT($C$7)),"")</f>
        <v>6.4463993602182084E-4</v>
      </c>
      <c r="S374" s="41" t="str">
        <f>IFERROR((_xll.qlBlackFormula(IF(O374&lt;$C$4,"Put","Call"),O374+$C$14,$C$4,$C$9*SQRT($C$7))-
2*_xll.qlBlackFormula(IF(O374&lt;$C$4,"Put","Call"),O374,$C$4,$C$9*SQRT($C$7))+
_xll.qlBlackFormula(IF(O374&lt;$C$4,"Put","Call"),O374-$C$14,$C$4,$C$9*SQRT($C$7)))/$C$14^2,"")</f>
        <v/>
      </c>
      <c r="T374" s="42">
        <f>IFERROR((_xll.qlBlackFormula(IF(O374&lt;$C$4,"Put","Call"),O374+$C$14,$C$4,$C$10*SQRT($C$7),,$C$11)-
2*_xll.qlBlackFormula(IF(O374&lt;$C$4,"Put","Call"),O374,$C$4,$C$10*SQRT($C$7),,$C$11)+
_xll.qlBlackFormula(IF(O374&lt;$C$4,"Put","Call"),O374-$C$14,$C$4,$C$10*SQRT($C$7),,$C$11))/$C$14^2,"")</f>
        <v>8.4152788903946174</v>
      </c>
      <c r="U374" s="43">
        <f>IFERROR((_xll.qlBachelierBlackFormula(IF(O374&lt;$C$4,"Put","Call"),O374+$C$14,$C$4,$C$12*SQRT($C$7))-
2*_xll.qlBachelierBlackFormula(IF(O374&lt;$C$4,"Put","Call"),O374,$C$4,$C$12*SQRT($C$7))+
_xll.qlBachelierBlackFormula(IF(O374&lt;$C$4,"Put","Call"),O374-$C$14,$C$4,$C$12*SQRT($C$7)))/$C$14^2,"")</f>
        <v>9.8264627771543775</v>
      </c>
      <c r="V374" s="61" t="str">
        <f>IFERROR(_xll.qlBachelierBlackFormulaImpliedVol(IF(O374&lt;$C$4,"Put","Call"),O374,$C$4,$C$7,P374),"")</f>
        <v/>
      </c>
      <c r="W374" s="61">
        <f>IFERROR(_xll.qlBachelierBlackFormulaImpliedVol(IF(O374&lt;$C$4,"Put","Call"),O374,$C$4,$C$7,Q374),"")</f>
        <v>8.0943753273130369E-3</v>
      </c>
      <c r="X374" s="61">
        <f>IFERROR(_xll.qlBachelierBlackFormulaImpliedVol(IF(O374&lt;$C$4,"Put","Call"),O374,$C$4,$C$7,R374),"")</f>
        <v>7.2020000000014624E-3</v>
      </c>
      <c r="Y374" s="96">
        <f>_xll.qlSmileSectionVolatility($C$40,O374+$C$31)</f>
        <v>8.6158733293262412E-3</v>
      </c>
    </row>
    <row r="375" spans="15:25">
      <c r="O375" s="37">
        <f t="shared" si="6"/>
        <v>2.6999999999999889E-2</v>
      </c>
      <c r="P375" s="38" t="str">
        <f>IFERROR(_xll.qlBlackFormula(IF(O375&lt;$C$4,"Put","Call"),O375,$C$4,$C$9*SQRT($C$7)),"")</f>
        <v/>
      </c>
      <c r="Q375" s="39">
        <f>IFERROR(_xll.qlBlackFormula(IF(O375&lt;$C$4,"Put","Call"),O375,$C$4,$C$10*SQRT($C$7),,$C$11),"")</f>
        <v>9.8524690327824252E-4</v>
      </c>
      <c r="R375" s="40">
        <f>IFERROR(_xll.qlBachelierBlackFormula(IF(O375&lt;$C$4,"Put","Call"),O375,$C$4,$C$12*SQRT($C$7)),"")</f>
        <v>6.359958031617592E-4</v>
      </c>
      <c r="S375" s="41" t="str">
        <f>IFERROR((_xll.qlBlackFormula(IF(O375&lt;$C$4,"Put","Call"),O375+$C$14,$C$4,$C$9*SQRT($C$7))-
2*_xll.qlBlackFormula(IF(O375&lt;$C$4,"Put","Call"),O375,$C$4,$C$9*SQRT($C$7))+
_xll.qlBlackFormula(IF(O375&lt;$C$4,"Put","Call"),O375-$C$14,$C$4,$C$9*SQRT($C$7)))/$C$14^2,"")</f>
        <v/>
      </c>
      <c r="T375" s="42">
        <f>IFERROR((_xll.qlBlackFormula(IF(O375&lt;$C$4,"Put","Call"),O375+$C$14,$C$4,$C$10*SQRT($C$7),,$C$11)-
2*_xll.qlBlackFormula(IF(O375&lt;$C$4,"Put","Call"),O375,$C$4,$C$10*SQRT($C$7),,$C$11)+
_xll.qlBlackFormula(IF(O375&lt;$C$4,"Put","Call"),O375-$C$14,$C$4,$C$10*SQRT($C$7),,$C$11))/$C$14^2,"")</f>
        <v>8.3534967137977034</v>
      </c>
      <c r="U375" s="43">
        <f>IFERROR((_xll.qlBachelierBlackFormula(IF(O375&lt;$C$4,"Put","Call"),O375+$C$14,$C$4,$C$12*SQRT($C$7))-
2*_xll.qlBachelierBlackFormula(IF(O375&lt;$C$4,"Put","Call"),O375,$C$4,$C$12*SQRT($C$7))+
_xll.qlBachelierBlackFormula(IF(O375&lt;$C$4,"Put","Call"),O375-$C$14,$C$4,$C$12*SQRT($C$7)))/$C$14^2,"")</f>
        <v>9.7436453436877688</v>
      </c>
      <c r="V375" s="61" t="str">
        <f>IFERROR(_xll.qlBachelierBlackFormulaImpliedVol(IF(O375&lt;$C$4,"Put","Call"),O375,$C$4,$C$7,P375),"")</f>
        <v/>
      </c>
      <c r="W375" s="61">
        <f>IFERROR(_xll.qlBachelierBlackFormulaImpliedVol(IF(O375&lt;$C$4,"Put","Call"),O375,$C$4,$C$7,Q375),"")</f>
        <v>8.0983052617165825E-3</v>
      </c>
      <c r="X375" s="61">
        <f>IFERROR(_xll.qlBachelierBlackFormulaImpliedVol(IF(O375&lt;$C$4,"Put","Call"),O375,$C$4,$C$7,R375),"")</f>
        <v>7.2020000000007503E-3</v>
      </c>
      <c r="Y375" s="96">
        <f>_xll.qlSmileSectionVolatility($C$40,O375+$C$31)</f>
        <v>8.623830269830832E-3</v>
      </c>
    </row>
    <row r="376" spans="15:25">
      <c r="O376" s="37">
        <f t="shared" si="6"/>
        <v>2.7099999999999888E-2</v>
      </c>
      <c r="P376" s="38" t="str">
        <f>IFERROR(_xll.qlBlackFormula(IF(O376&lt;$C$4,"Put","Call"),O376,$C$4,$C$9*SQRT($C$7)),"")</f>
        <v/>
      </c>
      <c r="Q376" s="39">
        <f>IFERROR(_xll.qlBlackFormula(IF(O376&lt;$C$4,"Put","Call"),O376,$C$4,$C$10*SQRT($C$7),,$C$11),"")</f>
        <v>9.757442520009884E-4</v>
      </c>
      <c r="R376" s="40">
        <f>IFERROR(_xll.qlBachelierBlackFormula(IF(O376&lt;$C$4,"Put","Call"),O376,$C$4,$C$12*SQRT($C$7)),"")</f>
        <v>6.2744910704681019E-4</v>
      </c>
      <c r="S376" s="41" t="str">
        <f>IFERROR((_xll.qlBlackFormula(IF(O376&lt;$C$4,"Put","Call"),O376+$C$14,$C$4,$C$9*SQRT($C$7))-
2*_xll.qlBlackFormula(IF(O376&lt;$C$4,"Put","Call"),O376,$C$4,$C$9*SQRT($C$7))+
_xll.qlBlackFormula(IF(O376&lt;$C$4,"Put","Call"),O376-$C$14,$C$4,$C$9*SQRT($C$7)))/$C$14^2,"")</f>
        <v/>
      </c>
      <c r="T376" s="42">
        <f>IFERROR((_xll.qlBlackFormula(IF(O376&lt;$C$4,"Put","Call"),O376+$C$14,$C$4,$C$10*SQRT($C$7),,$C$11)-
2*_xll.qlBlackFormula(IF(O376&lt;$C$4,"Put","Call"),O376,$C$4,$C$10*SQRT($C$7),,$C$11)+
_xll.qlBlackFormula(IF(O376&lt;$C$4,"Put","Call"),O376-$C$14,$C$4,$C$10*SQRT($C$7),,$C$11))/$C$14^2,"")</f>
        <v>8.2920267874264653</v>
      </c>
      <c r="U376" s="43">
        <f>IFERROR((_xll.qlBachelierBlackFormula(IF(O376&lt;$C$4,"Put","Call"),O376+$C$14,$C$4,$C$12*SQRT($C$7))-
2*_xll.qlBachelierBlackFormula(IF(O376&lt;$C$4,"Put","Call"),O376,$C$4,$C$12*SQRT($C$7))+
_xll.qlBachelierBlackFormula(IF(O376&lt;$C$4,"Put","Call"),O376-$C$14,$C$4,$C$12*SQRT($C$7)))/$C$14^2,"")</f>
        <v>9.6611566403198577</v>
      </c>
      <c r="V376" s="61" t="str">
        <f>IFERROR(_xll.qlBachelierBlackFormulaImpliedVol(IF(O376&lt;$C$4,"Put","Call"),O376,$C$4,$C$7,P376),"")</f>
        <v/>
      </c>
      <c r="W376" s="61">
        <f>IFERROR(_xll.qlBachelierBlackFormulaImpliedVol(IF(O376&lt;$C$4,"Put","Call"),O376,$C$4,$C$7,Q376),"")</f>
        <v>8.1022340184411963E-3</v>
      </c>
      <c r="X376" s="61">
        <f>IFERROR(_xll.qlBachelierBlackFormulaImpliedVol(IF(O376&lt;$C$4,"Put","Call"),O376,$C$4,$C$7,R376),"")</f>
        <v>7.2019999999999966E-3</v>
      </c>
      <c r="Y376" s="96">
        <f>_xll.qlSmileSectionVolatility($C$40,O376+$C$31)</f>
        <v>8.6317959049671648E-3</v>
      </c>
    </row>
    <row r="377" spans="15:25">
      <c r="O377" s="37">
        <f t="shared" si="6"/>
        <v>2.7199999999999887E-2</v>
      </c>
      <c r="P377" s="38" t="str">
        <f>IFERROR(_xll.qlBlackFormula(IF(O377&lt;$C$4,"Put","Call"),O377,$C$4,$C$9*SQRT($C$7)),"")</f>
        <v/>
      </c>
      <c r="Q377" s="39">
        <f>IFERROR(_xll.qlBlackFormula(IF(O377&lt;$C$4,"Put","Call"),O377,$C$4,$C$10*SQRT($C$7),,$C$11),"")</f>
        <v>9.6632452128491038E-4</v>
      </c>
      <c r="R377" s="40">
        <f>IFERROR(_xll.qlBachelierBlackFormula(IF(O377&lt;$C$4,"Put","Call"),O377,$C$4,$C$12*SQRT($C$7)),"")</f>
        <v>6.1899902276536106E-4</v>
      </c>
      <c r="S377" s="41" t="str">
        <f>IFERROR((_xll.qlBlackFormula(IF(O377&lt;$C$4,"Put","Call"),O377+$C$14,$C$4,$C$9*SQRT($C$7))-
2*_xll.qlBlackFormula(IF(O377&lt;$C$4,"Put","Call"),O377,$C$4,$C$9*SQRT($C$7))+
_xll.qlBlackFormula(IF(O377&lt;$C$4,"Put","Call"),O377-$C$14,$C$4,$C$9*SQRT($C$7)))/$C$14^2,"")</f>
        <v/>
      </c>
      <c r="T377" s="42">
        <f>IFERROR((_xll.qlBlackFormula(IF(O377&lt;$C$4,"Put","Call"),O377+$C$14,$C$4,$C$10*SQRT($C$7),,$C$11)-
2*_xll.qlBlackFormula(IF(O377&lt;$C$4,"Put","Call"),O377,$C$4,$C$10*SQRT($C$7),,$C$11)+
_xll.qlBlackFormula(IF(O377&lt;$C$4,"Put","Call"),O377-$C$14,$C$4,$C$10*SQRT($C$7),,$C$11))/$C$14^2,"")</f>
        <v>8.2308777848982828</v>
      </c>
      <c r="U377" s="43">
        <f>IFERROR((_xll.qlBachelierBlackFormula(IF(O377&lt;$C$4,"Put","Call"),O377+$C$14,$C$4,$C$12*SQRT($C$7))-
2*_xll.qlBachelierBlackFormula(IF(O377&lt;$C$4,"Put","Call"),O377,$C$4,$C$12*SQRT($C$7))+
_xll.qlBachelierBlackFormula(IF(O377&lt;$C$4,"Put","Call"),O377-$C$14,$C$4,$C$12*SQRT($C$7)))/$C$14^2,"")</f>
        <v>9.5789934144441258</v>
      </c>
      <c r="V377" s="61" t="str">
        <f>IFERROR(_xll.qlBachelierBlackFormulaImpliedVol(IF(O377&lt;$C$4,"Put","Call"),O377,$C$4,$C$7,P377),"")</f>
        <v/>
      </c>
      <c r="W377" s="61">
        <f>IFERROR(_xll.qlBachelierBlackFormulaImpliedVol(IF(O377&lt;$C$4,"Put","Call"),O377,$C$4,$C$7,Q377),"")</f>
        <v>8.1061615991232187E-3</v>
      </c>
      <c r="X377" s="61">
        <f>IFERROR(_xll.qlBachelierBlackFormulaImpliedVol(IF(O377&lt;$C$4,"Put","Call"),O377,$C$4,$C$7,R377),"")</f>
        <v>7.2019999999992151E-3</v>
      </c>
      <c r="Y377" s="96">
        <f>_xll.qlSmileSectionVolatility($C$40,O377+$C$31)</f>
        <v>8.6397701787075155E-3</v>
      </c>
    </row>
    <row r="378" spans="15:25">
      <c r="O378" s="37">
        <f t="shared" si="6"/>
        <v>2.7299999999999887E-2</v>
      </c>
      <c r="P378" s="38" t="str">
        <f>IFERROR(_xll.qlBlackFormula(IF(O378&lt;$C$4,"Put","Call"),O378,$C$4,$C$9*SQRT($C$7)),"")</f>
        <v/>
      </c>
      <c r="Q378" s="39">
        <f>IFERROR(_xll.qlBlackFormula(IF(O378&lt;$C$4,"Put","Call"),O378,$C$4,$C$10*SQRT($C$7),,$C$11),"")</f>
        <v>9.5698709954906112E-4</v>
      </c>
      <c r="R378" s="40">
        <f>IFERROR(_xll.qlBachelierBlackFormula(IF(O378&lt;$C$4,"Put","Call"),O378,$C$4,$C$12*SQRT($C$7)),"")</f>
        <v>6.1064472869599398E-4</v>
      </c>
      <c r="S378" s="41" t="str">
        <f>IFERROR((_xll.qlBlackFormula(IF(O378&lt;$C$4,"Put","Call"),O378+$C$14,$C$4,$C$9*SQRT($C$7))-
2*_xll.qlBlackFormula(IF(O378&lt;$C$4,"Put","Call"),O378,$C$4,$C$9*SQRT($C$7))+
_xll.qlBlackFormula(IF(O378&lt;$C$4,"Put","Call"),O378-$C$14,$C$4,$C$9*SQRT($C$7)))/$C$14^2,"")</f>
        <v/>
      </c>
      <c r="T378" s="42">
        <f>IFERROR((_xll.qlBlackFormula(IF(O378&lt;$C$4,"Put","Call"),O378+$C$14,$C$4,$C$10*SQRT($C$7),,$C$11)-
2*_xll.qlBlackFormula(IF(O378&lt;$C$4,"Put","Call"),O378,$C$4,$C$10*SQRT($C$7),,$C$11)+
_xll.qlBlackFormula(IF(O378&lt;$C$4,"Put","Call"),O378-$C$14,$C$4,$C$10*SQRT($C$7),,$C$11))/$C$14^2,"")</f>
        <v>8.1700323589783963</v>
      </c>
      <c r="U378" s="43">
        <f>IFERROR((_xll.qlBachelierBlackFormula(IF(O378&lt;$C$4,"Put","Call"),O378+$C$14,$C$4,$C$12*SQRT($C$7))-
2*_xll.qlBachelierBlackFormula(IF(O378&lt;$C$4,"Put","Call"),O378,$C$4,$C$12*SQRT($C$7))+
_xll.qlBachelierBlackFormula(IF(O378&lt;$C$4,"Put","Call"),O378-$C$14,$C$4,$C$12*SQRT($C$7)))/$C$14^2,"")</f>
        <v>9.4971645565183902</v>
      </c>
      <c r="V378" s="61" t="str">
        <f>IFERROR(_xll.qlBachelierBlackFormulaImpliedVol(IF(O378&lt;$C$4,"Put","Call"),O378,$C$4,$C$7,P378),"")</f>
        <v/>
      </c>
      <c r="W378" s="61">
        <f>IFERROR(_xll.qlBachelierBlackFormulaImpliedVol(IF(O378&lt;$C$4,"Put","Call"),O378,$C$4,$C$7,Q378),"")</f>
        <v>8.110088005395184E-3</v>
      </c>
      <c r="X378" s="61">
        <f>IFERROR(_xll.qlBachelierBlackFormulaImpliedVol(IF(O378&lt;$C$4,"Put","Call"),O378,$C$4,$C$7,R378),"")</f>
        <v>7.2019999999983928E-3</v>
      </c>
      <c r="Y378" s="96">
        <f>_xll.qlSmileSectionVolatility($C$40,O378+$C$31)</f>
        <v>8.6477530353094231E-3</v>
      </c>
    </row>
    <row r="379" spans="15:25">
      <c r="O379" s="37">
        <f t="shared" si="6"/>
        <v>2.7399999999999886E-2</v>
      </c>
      <c r="P379" s="38" t="str">
        <f>IFERROR(_xll.qlBlackFormula(IF(O379&lt;$C$4,"Put","Call"),O379,$C$4,$C$9*SQRT($C$7)),"")</f>
        <v/>
      </c>
      <c r="Q379" s="39">
        <f>IFERROR(_xll.qlBlackFormula(IF(O379&lt;$C$4,"Put","Call"),O379,$C$4,$C$10*SQRT($C$7),,$C$11),"")</f>
        <v>9.4773137831338262E-4</v>
      </c>
      <c r="R379" s="40">
        <f>IFERROR(_xll.qlBachelierBlackFormula(IF(O379&lt;$C$4,"Put","Call"),O379,$C$4,$C$12*SQRT($C$7)),"")</f>
        <v>6.023854065426036E-4</v>
      </c>
      <c r="S379" s="41" t="str">
        <f>IFERROR((_xll.qlBlackFormula(IF(O379&lt;$C$4,"Put","Call"),O379+$C$14,$C$4,$C$9*SQRT($C$7))-
2*_xll.qlBlackFormula(IF(O379&lt;$C$4,"Put","Call"),O379,$C$4,$C$9*SQRT($C$7))+
_xll.qlBlackFormula(IF(O379&lt;$C$4,"Put","Call"),O379-$C$14,$C$4,$C$9*SQRT($C$7)))/$C$14^2,"")</f>
        <v/>
      </c>
      <c r="T379" s="42">
        <f>IFERROR((_xll.qlBlackFormula(IF(O379&lt;$C$4,"Put","Call"),O379+$C$14,$C$4,$C$10*SQRT($C$7),,$C$11)-
2*_xll.qlBlackFormula(IF(O379&lt;$C$4,"Put","Call"),O379,$C$4,$C$10*SQRT($C$7),,$C$11)+
_xll.qlBlackFormula(IF(O379&lt;$C$4,"Put","Call"),O379-$C$14,$C$4,$C$10*SQRT($C$7),,$C$11))/$C$14^2,"")</f>
        <v>8.1094922443902817</v>
      </c>
      <c r="U379" s="43">
        <f>IFERROR((_xll.qlBachelierBlackFormula(IF(O379&lt;$C$4,"Put","Call"),O379+$C$14,$C$4,$C$12*SQRT($C$7))-
2*_xll.qlBachelierBlackFormula(IF(O379&lt;$C$4,"Put","Call"),O379,$C$4,$C$12*SQRT($C$7))+
_xll.qlBachelierBlackFormula(IF(O379&lt;$C$4,"Put","Call"),O379-$C$14,$C$4,$C$12*SQRT($C$7)))/$C$14^2,"")</f>
        <v>9.4156707170639518</v>
      </c>
      <c r="V379" s="61" t="str">
        <f>IFERROR(_xll.qlBachelierBlackFormulaImpliedVol(IF(O379&lt;$C$4,"Put","Call"),O379,$C$4,$C$7,P379),"")</f>
        <v/>
      </c>
      <c r="W379" s="61">
        <f>IFERROR(_xll.qlBachelierBlackFormulaImpliedVol(IF(O379&lt;$C$4,"Put","Call"),O379,$C$4,$C$7,Q379),"")</f>
        <v>8.1140132388857634E-3</v>
      </c>
      <c r="X379" s="61">
        <f>IFERROR(_xll.qlBachelierBlackFormulaImpliedVol(IF(O379&lt;$C$4,"Put","Call"),O379,$C$4,$C$7,R379),"")</f>
        <v>7.2019999999975402E-3</v>
      </c>
      <c r="Y379" s="96">
        <f>_xll.qlSmileSectionVolatility($C$40,O379+$C$31)</f>
        <v>8.6557444193153185E-3</v>
      </c>
    </row>
    <row r="380" spans="15:25">
      <c r="O380" s="37">
        <f t="shared" si="6"/>
        <v>2.7499999999999886E-2</v>
      </c>
      <c r="P380" s="38" t="str">
        <f>IFERROR(_xll.qlBlackFormula(IF(O380&lt;$C$4,"Put","Call"),O380,$C$4,$C$9*SQRT($C$7)),"")</f>
        <v/>
      </c>
      <c r="Q380" s="39">
        <f>IFERROR(_xll.qlBlackFormula(IF(O380&lt;$C$4,"Put","Call"),O380,$C$4,$C$10*SQRT($C$7),,$C$11),"")</f>
        <v>9.3855675220112789E-4</v>
      </c>
      <c r="R380" s="40">
        <f>IFERROR(_xll.qlBachelierBlackFormula(IF(O380&lt;$C$4,"Put","Call"),O380,$C$4,$C$12*SQRT($C$7)),"")</f>
        <v>5.9422024136881915E-4</v>
      </c>
      <c r="S380" s="41" t="str">
        <f>IFERROR((_xll.qlBlackFormula(IF(O380&lt;$C$4,"Put","Call"),O380+$C$14,$C$4,$C$9*SQRT($C$7))-
2*_xll.qlBlackFormula(IF(O380&lt;$C$4,"Put","Call"),O380,$C$4,$C$9*SQRT($C$7))+
_xll.qlBlackFormula(IF(O380&lt;$C$4,"Put","Call"),O380-$C$14,$C$4,$C$9*SQRT($C$7)))/$C$14^2,"")</f>
        <v/>
      </c>
      <c r="T380" s="42">
        <f>IFERROR((_xll.qlBlackFormula(IF(O380&lt;$C$4,"Put","Call"),O380+$C$14,$C$4,$C$10*SQRT($C$7),,$C$11)-
2*_xll.qlBlackFormula(IF(O380&lt;$C$4,"Put","Call"),O380,$C$4,$C$10*SQRT($C$7),,$C$11)+
_xll.qlBlackFormula(IF(O380&lt;$C$4,"Put","Call"),O380-$C$14,$C$4,$C$10*SQRT($C$7),,$C$11))/$C$14^2,"")</f>
        <v>8.0492643800278429</v>
      </c>
      <c r="U380" s="43">
        <f>IFERROR((_xll.qlBachelierBlackFormula(IF(O380&lt;$C$4,"Put","Call"),O380+$C$14,$C$4,$C$12*SQRT($C$7))-
2*_xll.qlBachelierBlackFormula(IF(O380&lt;$C$4,"Put","Call"),O380,$C$4,$C$12*SQRT($C$7))+
_xll.qlBachelierBlackFormula(IF(O380&lt;$C$4,"Put","Call"),O380-$C$14,$C$4,$C$12*SQRT($C$7)))/$C$14^2,"")</f>
        <v>9.3345142813255908</v>
      </c>
      <c r="V380" s="61" t="str">
        <f>IFERROR(_xll.qlBachelierBlackFormulaImpliedVol(IF(O380&lt;$C$4,"Put","Call"),O380,$C$4,$C$7,P380),"")</f>
        <v/>
      </c>
      <c r="W380" s="61">
        <f>IFERROR(_xll.qlBachelierBlackFormulaImpliedVol(IF(O380&lt;$C$4,"Put","Call"),O380,$C$4,$C$7,Q380),"")</f>
        <v>8.1179373012198117E-3</v>
      </c>
      <c r="X380" s="61">
        <f>IFERROR(_xll.qlBachelierBlackFormulaImpliedVol(IF(O380&lt;$C$4,"Put","Call"),O380,$C$4,$C$7,R380),"")</f>
        <v>7.2019999999966616E-3</v>
      </c>
      <c r="Y380" s="96">
        <f>_xll.qlSmileSectionVolatility($C$40,O380+$C$31)</f>
        <v>8.6637442755521099E-3</v>
      </c>
    </row>
    <row r="381" spans="15:25">
      <c r="O381" s="37">
        <f t="shared" si="6"/>
        <v>2.7599999999999885E-2</v>
      </c>
      <c r="P381" s="38" t="str">
        <f>IFERROR(_xll.qlBlackFormula(IF(O381&lt;$C$4,"Put","Call"),O381,$C$4,$C$9*SQRT($C$7)),"")</f>
        <v/>
      </c>
      <c r="Q381" s="39">
        <f>IFERROR(_xll.qlBlackFormula(IF(O381&lt;$C$4,"Put","Call"),O381,$C$4,$C$10*SQRT($C$7),,$C$11),"")</f>
        <v>9.294626189409981E-4</v>
      </c>
      <c r="R381" s="40">
        <f>IFERROR(_xll.qlBachelierBlackFormula(IF(O381&lt;$C$4,"Put","Call"),O381,$C$4,$C$12*SQRT($C$7)),"")</f>
        <v>5.8614842163174762E-4</v>
      </c>
      <c r="S381" s="41" t="str">
        <f>IFERROR((_xll.qlBlackFormula(IF(O381&lt;$C$4,"Put","Call"),O381+$C$14,$C$4,$C$9*SQRT($C$7))-
2*_xll.qlBlackFormula(IF(O381&lt;$C$4,"Put","Call"),O381,$C$4,$C$9*SQRT($C$7))+
_xll.qlBlackFormula(IF(O381&lt;$C$4,"Put","Call"),O381-$C$14,$C$4,$C$9*SQRT($C$7)))/$C$14^2,"")</f>
        <v/>
      </c>
      <c r="T381" s="42">
        <f>IFERROR((_xll.qlBlackFormula(IF(O381&lt;$C$4,"Put","Call"),O381+$C$14,$C$4,$C$10*SQRT($C$7),,$C$11)-
2*_xll.qlBlackFormula(IF(O381&lt;$C$4,"Put","Call"),O381,$C$4,$C$10*SQRT($C$7),,$C$11)+
_xll.qlBlackFormula(IF(O381&lt;$C$4,"Put","Call"),O381-$C$14,$C$4,$C$10*SQRT($C$7),,$C$11))/$C$14^2,"")</f>
        <v>7.9893418269971761</v>
      </c>
      <c r="U381" s="43">
        <f>IFERROR((_xll.qlBachelierBlackFormula(IF(O381&lt;$C$4,"Put","Call"),O381+$C$14,$C$4,$C$12*SQRT($C$7))-
2*_xll.qlBachelierBlackFormula(IF(O381&lt;$C$4,"Put","Call"),O381,$C$4,$C$12*SQRT($C$7))+
_xll.qlBachelierBlackFormula(IF(O381&lt;$C$4,"Put","Call"),O381-$C$14,$C$4,$C$12*SQRT($C$7)))/$C$14^2,"")</f>
        <v>9.2537043566015562</v>
      </c>
      <c r="V381" s="61" t="str">
        <f>IFERROR(_xll.qlBachelierBlackFormulaImpliedVol(IF(O381&lt;$C$4,"Put","Call"),O381,$C$4,$C$7,P381),"")</f>
        <v/>
      </c>
      <c r="W381" s="61">
        <f>IFERROR(_xll.qlBachelierBlackFormulaImpliedVol(IF(O381&lt;$C$4,"Put","Call"),O381,$C$4,$C$7,Q381),"")</f>
        <v>8.1218601940183672E-3</v>
      </c>
      <c r="X381" s="61">
        <f>IFERROR(_xll.qlBachelierBlackFormulaImpliedVol(IF(O381&lt;$C$4,"Put","Call"),O381,$C$4,$C$7,R381),"")</f>
        <v>7.2019999999957639E-3</v>
      </c>
      <c r="Y381" s="96">
        <f>_xll.qlSmileSectionVolatility($C$40,O381+$C$31)</f>
        <v>8.6717525491307318E-3</v>
      </c>
    </row>
    <row r="382" spans="15:25">
      <c r="O382" s="37">
        <f t="shared" si="6"/>
        <v>2.7699999999999884E-2</v>
      </c>
      <c r="P382" s="38" t="str">
        <f>IFERROR(_xll.qlBlackFormula(IF(O382&lt;$C$4,"Put","Call"),O382,$C$4,$C$9*SQRT($C$7)),"")</f>
        <v/>
      </c>
      <c r="Q382" s="39">
        <f>IFERROR(_xll.qlBlackFormula(IF(O382&lt;$C$4,"Put","Call"),O382,$C$4,$C$10*SQRT($C$7),,$C$11),"")</f>
        <v>9.2044837936900402E-4</v>
      </c>
      <c r="R382" s="40">
        <f>IFERROR(_xll.qlBachelierBlackFormula(IF(O382&lt;$C$4,"Put","Call"),O382,$C$4,$C$12*SQRT($C$7)),"")</f>
        <v>5.7816913921504868E-4</v>
      </c>
      <c r="S382" s="41" t="str">
        <f>IFERROR((_xll.qlBlackFormula(IF(O382&lt;$C$4,"Put","Call"),O382+$C$14,$C$4,$C$9*SQRT($C$7))-
2*_xll.qlBlackFormula(IF(O382&lt;$C$4,"Put","Call"),O382,$C$4,$C$9*SQRT($C$7))+
_xll.qlBlackFormula(IF(O382&lt;$C$4,"Put","Call"),O382-$C$14,$C$4,$C$9*SQRT($C$7)))/$C$14^2,"")</f>
        <v/>
      </c>
      <c r="T382" s="42">
        <f>IFERROR((_xll.qlBlackFormula(IF(O382&lt;$C$4,"Put","Call"),O382+$C$14,$C$4,$C$10*SQRT($C$7),,$C$11)-
2*_xll.qlBlackFormula(IF(O382&lt;$C$4,"Put","Call"),O382,$C$4,$C$10*SQRT($C$7),,$C$11)+
_xll.qlBlackFormula(IF(O382&lt;$C$4,"Put","Call"),O382-$C$14,$C$4,$C$10*SQRT($C$7),,$C$11))/$C$14^2,"")</f>
        <v>7.9297263200217571</v>
      </c>
      <c r="U382" s="43">
        <f>IFERROR((_xll.qlBachelierBlackFormula(IF(O382&lt;$C$4,"Put","Call"),O382+$C$14,$C$4,$C$12*SQRT($C$7))-
2*_xll.qlBachelierBlackFormula(IF(O382&lt;$C$4,"Put","Call"),O382,$C$4,$C$12*SQRT($C$7))+
_xll.qlBachelierBlackFormula(IF(O382&lt;$C$4,"Put","Call"),O382-$C$14,$C$4,$C$12*SQRT($C$7)))/$C$14^2,"")</f>
        <v>9.1732361724022891</v>
      </c>
      <c r="V382" s="61" t="str">
        <f>IFERROR(_xll.qlBachelierBlackFormulaImpliedVol(IF(O382&lt;$C$4,"Put","Call"),O382,$C$4,$C$7,P382),"")</f>
        <v/>
      </c>
      <c r="W382" s="61">
        <f>IFERROR(_xll.qlBachelierBlackFormulaImpliedVol(IF(O382&lt;$C$4,"Put","Call"),O382,$C$4,$C$7,Q382),"")</f>
        <v>8.1257819188986797E-3</v>
      </c>
      <c r="X382" s="61">
        <f>IFERROR(_xll.qlBachelierBlackFormulaImpliedVol(IF(O382&lt;$C$4,"Put","Call"),O382,$C$4,$C$7,R382),"")</f>
        <v>7.2019999999948367E-3</v>
      </c>
      <c r="Y382" s="96">
        <f>_xll.qlSmileSectionVolatility($C$40,O382+$C$31)</f>
        <v>8.6797691854457442E-3</v>
      </c>
    </row>
    <row r="383" spans="15:25">
      <c r="O383" s="37">
        <f t="shared" si="6"/>
        <v>2.7799999999999884E-2</v>
      </c>
      <c r="P383" s="38" t="str">
        <f>IFERROR(_xll.qlBlackFormula(IF(O383&lt;$C$4,"Put","Call"),O383,$C$4,$C$9*SQRT($C$7)),"")</f>
        <v/>
      </c>
      <c r="Q383" s="39">
        <f>IFERROR(_xll.qlBlackFormula(IF(O383&lt;$C$4,"Put","Call"),O383,$C$4,$C$10*SQRT($C$7),,$C$11),"")</f>
        <v>9.1151343743000116E-4</v>
      </c>
      <c r="R383" s="40">
        <f>IFERROR(_xll.qlBachelierBlackFormula(IF(O383&lt;$C$4,"Put","Call"),O383,$C$4,$C$12*SQRT($C$7)),"")</f>
        <v>5.7028158946130524E-4</v>
      </c>
      <c r="S383" s="41" t="str">
        <f>IFERROR((_xll.qlBlackFormula(IF(O383&lt;$C$4,"Put","Call"),O383+$C$14,$C$4,$C$9*SQRT($C$7))-
2*_xll.qlBlackFormula(IF(O383&lt;$C$4,"Put","Call"),O383,$C$4,$C$9*SQRT($C$7))+
_xll.qlBlackFormula(IF(O383&lt;$C$4,"Put","Call"),O383-$C$14,$C$4,$C$9*SQRT($C$7)))/$C$14^2,"")</f>
        <v/>
      </c>
      <c r="T383" s="42">
        <f>IFERROR((_xll.qlBlackFormula(IF(O383&lt;$C$4,"Put","Call"),O383+$C$14,$C$4,$C$10*SQRT($C$7),,$C$11)-
2*_xll.qlBlackFormula(IF(O383&lt;$C$4,"Put","Call"),O383,$C$4,$C$10*SQRT($C$7),,$C$11)+
_xll.qlBlackFormula(IF(O383&lt;$C$4,"Put","Call"),O383-$C$14,$C$4,$C$10*SQRT($C$7),,$C$11))/$C$14^2,"")</f>
        <v>7.8704334716128699</v>
      </c>
      <c r="U383" s="43">
        <f>IFERROR((_xll.qlBachelierBlackFormula(IF(O383&lt;$C$4,"Put","Call"),O383+$C$14,$C$4,$C$12*SQRT($C$7))-
2*_xll.qlBachelierBlackFormula(IF(O383&lt;$C$4,"Put","Call"),O383,$C$4,$C$12*SQRT($C$7))+
_xll.qlBachelierBlackFormula(IF(O383&lt;$C$4,"Put","Call"),O383-$C$14,$C$4,$C$12*SQRT($C$7)))/$C$14^2,"")</f>
        <v>9.0931190528664718</v>
      </c>
      <c r="V383" s="61" t="str">
        <f>IFERROR(_xll.qlBachelierBlackFormulaImpliedVol(IF(O383&lt;$C$4,"Put","Call"),O383,$C$4,$C$7,P383),"")</f>
        <v/>
      </c>
      <c r="W383" s="61">
        <f>IFERROR(_xll.qlBachelierBlackFormulaImpliedVol(IF(O383&lt;$C$4,"Put","Call"),O383,$C$4,$C$7,Q383),"")</f>
        <v>8.1297024774741756E-3</v>
      </c>
      <c r="X383" s="61">
        <f>IFERROR(_xll.qlBachelierBlackFormulaImpliedVol(IF(O383&lt;$C$4,"Put","Call"),O383,$C$4,$C$7,R383),"")</f>
        <v>7.201999999993893E-3</v>
      </c>
      <c r="Y383" s="96">
        <f>_xll.qlSmileSectionVolatility($C$40,O383+$C$31)</f>
        <v>8.6877941301748488E-3</v>
      </c>
    </row>
    <row r="384" spans="15:25">
      <c r="O384" s="37">
        <f t="shared" si="6"/>
        <v>2.7899999999999883E-2</v>
      </c>
      <c r="P384" s="38" t="str">
        <f>IFERROR(_xll.qlBlackFormula(IF(O384&lt;$C$4,"Put","Call"),O384,$C$4,$C$9*SQRT($C$7)),"")</f>
        <v/>
      </c>
      <c r="Q384" s="39">
        <f>IFERROR(_xll.qlBlackFormula(IF(O384&lt;$C$4,"Put","Call"),O384,$C$4,$C$10*SQRT($C$7),,$C$11),"")</f>
        <v>9.0265720017901688E-4</v>
      </c>
      <c r="R384" s="40">
        <f>IFERROR(_xll.qlBachelierBlackFormula(IF(O384&lt;$C$4,"Put","Call"),O384,$C$4,$C$12*SQRT($C$7)),"")</f>
        <v>5.6248497120373899E-4</v>
      </c>
      <c r="S384" s="41" t="str">
        <f>IFERROR((_xll.qlBlackFormula(IF(O384&lt;$C$4,"Put","Call"),O384+$C$14,$C$4,$C$9*SQRT($C$7))-
2*_xll.qlBlackFormula(IF(O384&lt;$C$4,"Put","Call"),O384,$C$4,$C$9*SQRT($C$7))+
_xll.qlBlackFormula(IF(O384&lt;$C$4,"Put","Call"),O384-$C$14,$C$4,$C$9*SQRT($C$7)))/$C$14^2,"")</f>
        <v/>
      </c>
      <c r="T384" s="42">
        <f>IFERROR((_xll.qlBlackFormula(IF(O384&lt;$C$4,"Put","Call"),O384+$C$14,$C$4,$C$10*SQRT($C$7),,$C$11)-
2*_xll.qlBlackFormula(IF(O384&lt;$C$4,"Put","Call"),O384,$C$4,$C$10*SQRT($C$7),,$C$11)+
_xll.qlBlackFormula(IF(O384&lt;$C$4,"Put","Call"),O384-$C$14,$C$4,$C$10*SQRT($C$7),,$C$11))/$C$14^2,"")</f>
        <v>7.8114615470470383</v>
      </c>
      <c r="U384" s="43">
        <f>IFERROR((_xll.qlBachelierBlackFormula(IF(O384&lt;$C$4,"Put","Call"),O384+$C$14,$C$4,$C$12*SQRT($C$7))-
2*_xll.qlBachelierBlackFormula(IF(O384&lt;$C$4,"Put","Call"),O384,$C$4,$C$12*SQRT($C$7))+
_xll.qlBachelierBlackFormula(IF(O384&lt;$C$4,"Put","Call"),O384-$C$14,$C$4,$C$12*SQRT($C$7)))/$C$14^2,"")</f>
        <v>9.0133542990367133</v>
      </c>
      <c r="V384" s="61" t="str">
        <f>IFERROR(_xll.qlBachelierBlackFormulaImpliedVol(IF(O384&lt;$C$4,"Put","Call"),O384,$C$4,$C$7,P384),"")</f>
        <v/>
      </c>
      <c r="W384" s="61">
        <f>IFERROR(_xll.qlBachelierBlackFormulaImpliedVol(IF(O384&lt;$C$4,"Put","Call"),O384,$C$4,$C$7,Q384),"")</f>
        <v>8.1336218713545724E-3</v>
      </c>
      <c r="X384" s="61">
        <f>IFERROR(_xll.qlBachelierBlackFormulaImpliedVol(IF(O384&lt;$C$4,"Put","Call"),O384,$C$4,$C$7,R384),"")</f>
        <v>7.2019999999929397E-3</v>
      </c>
      <c r="Y384" s="96">
        <f>_xll.qlSmileSectionVolatility($C$40,O384+$C$31)</f>
        <v>8.6958273292783751E-3</v>
      </c>
    </row>
    <row r="385" spans="15:25">
      <c r="O385" s="37">
        <f t="shared" si="6"/>
        <v>2.7999999999999883E-2</v>
      </c>
      <c r="P385" s="38" t="str">
        <f>IFERROR(_xll.qlBlackFormula(IF(O385&lt;$C$4,"Put","Call"),O385,$C$4,$C$9*SQRT($C$7)),"")</f>
        <v/>
      </c>
      <c r="Q385" s="39">
        <f>IFERROR(_xll.qlBlackFormula(IF(O385&lt;$C$4,"Put","Call"),O385,$C$4,$C$10*SQRT($C$7),,$C$11),"")</f>
        <v>8.9387907778220969E-4</v>
      </c>
      <c r="R385" s="40">
        <f>IFERROR(_xll.qlBachelierBlackFormula(IF(O385&lt;$C$4,"Put","Call"),O385,$C$4,$C$12*SQRT($C$7)),"")</f>
        <v>5.5477848679722917E-4</v>
      </c>
      <c r="S385" s="41" t="str">
        <f>IFERROR((_xll.qlBlackFormula(IF(O385&lt;$C$4,"Put","Call"),O385+$C$14,$C$4,$C$9*SQRT($C$7))-
2*_xll.qlBlackFormula(IF(O385&lt;$C$4,"Put","Call"),O385,$C$4,$C$9*SQRT($C$7))+
_xll.qlBlackFormula(IF(O385&lt;$C$4,"Put","Call"),O385-$C$14,$C$4,$C$9*SQRT($C$7)))/$C$14^2,"")</f>
        <v/>
      </c>
      <c r="T385" s="42">
        <f>IFERROR((_xll.qlBlackFormula(IF(O385&lt;$C$4,"Put","Call"),O385+$C$14,$C$4,$C$10*SQRT($C$7),,$C$11)-
2*_xll.qlBlackFormula(IF(O385&lt;$C$4,"Put","Call"),O385,$C$4,$C$10*SQRT($C$7),,$C$11)+
_xll.qlBlackFormula(IF(O385&lt;$C$4,"Put","Call"),O385-$C$14,$C$4,$C$10*SQRT($C$7),,$C$11))/$C$14^2,"")</f>
        <v>7.7527879949190748</v>
      </c>
      <c r="U385" s="43">
        <f>IFERROR((_xll.qlBachelierBlackFormula(IF(O385&lt;$C$4,"Put","Call"),O385+$C$14,$C$4,$C$12*SQRT($C$7))-
2*_xll.qlBachelierBlackFormula(IF(O385&lt;$C$4,"Put","Call"),O385,$C$4,$C$12*SQRT($C$7))+
_xll.qlBachelierBlackFormula(IF(O385&lt;$C$4,"Put","Call"),O385-$C$14,$C$4,$C$12*SQRT($C$7)))/$C$14^2,"")</f>
        <v>8.9339451635195299</v>
      </c>
      <c r="V385" s="61" t="str">
        <f>IFERROR(_xll.qlBachelierBlackFormulaImpliedVol(IF(O385&lt;$C$4,"Put","Call"),O385,$C$4,$C$7,P385),"")</f>
        <v/>
      </c>
      <c r="W385" s="61">
        <f>IFERROR(_xll.qlBachelierBlackFormulaImpliedVol(IF(O385&lt;$C$4,"Put","Call"),O385,$C$4,$C$7,Q385),"")</f>
        <v>8.1375401021457714E-3</v>
      </c>
      <c r="X385" s="61">
        <f>IFERROR(_xll.qlBachelierBlackFormulaImpliedVol(IF(O385&lt;$C$4,"Put","Call"),O385,$C$4,$C$7,R385),"")</f>
        <v>7.2019999999919744E-3</v>
      </c>
      <c r="Y385" s="96">
        <f>_xll.qlSmileSectionVolatility($C$40,O385+$C$31)</f>
        <v>8.7038687289987746E-3</v>
      </c>
    </row>
    <row r="386" spans="15:25">
      <c r="O386" s="37">
        <f t="shared" si="6"/>
        <v>2.8099999999999882E-2</v>
      </c>
      <c r="P386" s="38" t="str">
        <f>IFERROR(_xll.qlBlackFormula(IF(O386&lt;$C$4,"Put","Call"),O386,$C$4,$C$9*SQRT($C$7)),"")</f>
        <v/>
      </c>
      <c r="Q386" s="39">
        <f>IFERROR(_xll.qlBlackFormula(IF(O386&lt;$C$4,"Put","Call"),O386,$C$4,$C$10*SQRT($C$7),,$C$11),"")</f>
        <v>8.8517848351762907E-4</v>
      </c>
      <c r="R386" s="40">
        <f>IFERROR(_xll.qlBachelierBlackFormula(IF(O386&lt;$C$4,"Put","Call"),O386,$C$4,$C$12*SQRT($C$7)),"")</f>
        <v>5.4716134214866856E-4</v>
      </c>
      <c r="S386" s="41" t="str">
        <f>IFERROR((_xll.qlBlackFormula(IF(O386&lt;$C$4,"Put","Call"),O386+$C$14,$C$4,$C$9*SQRT($C$7))-
2*_xll.qlBlackFormula(IF(O386&lt;$C$4,"Put","Call"),O386,$C$4,$C$9*SQRT($C$7))+
_xll.qlBlackFormula(IF(O386&lt;$C$4,"Put","Call"),O386-$C$14,$C$4,$C$9*SQRT($C$7)))/$C$14^2,"")</f>
        <v/>
      </c>
      <c r="T386" s="42">
        <f>IFERROR((_xll.qlBlackFormula(IF(O386&lt;$C$4,"Put","Call"),O386+$C$14,$C$4,$C$10*SQRT($C$7),,$C$11)-
2*_xll.qlBlackFormula(IF(O386&lt;$C$4,"Put","Call"),O386,$C$4,$C$10*SQRT($C$7),,$C$11)+
_xll.qlBlackFormula(IF(O386&lt;$C$4,"Put","Call"),O386-$C$14,$C$4,$C$10*SQRT($C$7),,$C$11))/$C$14^2,"")</f>
        <v>7.694430162463739</v>
      </c>
      <c r="U386" s="43">
        <f>IFERROR((_xll.qlBachelierBlackFormula(IF(O386&lt;$C$4,"Put","Call"),O386+$C$14,$C$4,$C$12*SQRT($C$7))-
2*_xll.qlBachelierBlackFormula(IF(O386&lt;$C$4,"Put","Call"),O386,$C$4,$C$12*SQRT($C$7))+
_xll.qlBachelierBlackFormula(IF(O386&lt;$C$4,"Put","Call"),O386-$C$14,$C$4,$C$12*SQRT($C$7)))/$C$14^2,"")</f>
        <v>8.8548955494427428</v>
      </c>
      <c r="V386" s="61" t="str">
        <f>IFERROR(_xll.qlBachelierBlackFormulaImpliedVol(IF(O386&lt;$C$4,"Put","Call"),O386,$C$4,$C$7,P386),"")</f>
        <v/>
      </c>
      <c r="W386" s="61">
        <f>IFERROR(_xll.qlBachelierBlackFormulaImpliedVol(IF(O386&lt;$C$4,"Put","Call"),O386,$C$4,$C$7,Q386),"")</f>
        <v>8.1414571714499666E-3</v>
      </c>
      <c r="X386" s="61">
        <f>IFERROR(_xll.qlBachelierBlackFormulaImpliedVol(IF(O386&lt;$C$4,"Put","Call"),O386,$C$4,$C$7,R386),"")</f>
        <v>7.2019999999909977E-3</v>
      </c>
      <c r="Y386" s="96">
        <f>_xll.qlSmileSectionVolatility($C$40,O386+$C$31)</f>
        <v>8.7119182758601463E-3</v>
      </c>
    </row>
    <row r="387" spans="15:25">
      <c r="O387" s="37">
        <f t="shared" si="6"/>
        <v>2.8199999999999881E-2</v>
      </c>
      <c r="P387" s="38" t="str">
        <f>IFERROR(_xll.qlBlackFormula(IF(O387&lt;$C$4,"Put","Call"),O387,$C$4,$C$9*SQRT($C$7)),"")</f>
        <v/>
      </c>
      <c r="Q387" s="39">
        <f>IFERROR(_xll.qlBlackFormula(IF(O387&lt;$C$4,"Put","Call"),O387,$C$4,$C$10*SQRT($C$7),,$C$11),"")</f>
        <v>8.7655483377565256E-4</v>
      </c>
      <c r="R387" s="40">
        <f>IFERROR(_xll.qlBachelierBlackFormula(IF(O387&lt;$C$4,"Put","Call"),O387,$C$4,$C$12*SQRT($C$7)),"")</f>
        <v>5.3963274674663541E-4</v>
      </c>
      <c r="S387" s="41" t="str">
        <f>IFERROR((_xll.qlBlackFormula(IF(O387&lt;$C$4,"Put","Call"),O387+$C$14,$C$4,$C$9*SQRT($C$7))-
2*_xll.qlBlackFormula(IF(O387&lt;$C$4,"Put","Call"),O387,$C$4,$C$9*SQRT($C$7))+
_xll.qlBlackFormula(IF(O387&lt;$C$4,"Put","Call"),O387-$C$14,$C$4,$C$9*SQRT($C$7)))/$C$14^2,"")</f>
        <v/>
      </c>
      <c r="T387" s="42">
        <f>IFERROR((_xll.qlBlackFormula(IF(O387&lt;$C$4,"Put","Call"),O387+$C$14,$C$4,$C$10*SQRT($C$7),,$C$11)-
2*_xll.qlBlackFormula(IF(O387&lt;$C$4,"Put","Call"),O387,$C$4,$C$10*SQRT($C$7),,$C$11)+
_xll.qlBlackFormula(IF(O387&lt;$C$4,"Put","Call"),O387-$C$14,$C$4,$C$10*SQRT($C$7),,$C$11))/$C$14^2,"")</f>
        <v>7.6363741718932232</v>
      </c>
      <c r="U387" s="43">
        <f>IFERROR((_xll.qlBachelierBlackFormula(IF(O387&lt;$C$4,"Put","Call"),O387+$C$14,$C$4,$C$12*SQRT($C$7))-
2*_xll.qlBachelierBlackFormula(IF(O387&lt;$C$4,"Put","Call"),O387,$C$4,$C$12*SQRT($C$7))+
_xll.qlBachelierBlackFormula(IF(O387&lt;$C$4,"Put","Call"),O387-$C$14,$C$4,$C$12*SQRT($C$7)))/$C$14^2,"")</f>
        <v>8.7762037220828759</v>
      </c>
      <c r="V387" s="61" t="str">
        <f>IFERROR(_xll.qlBachelierBlackFormulaImpliedVol(IF(O387&lt;$C$4,"Put","Call"),O387,$C$4,$C$7,P387),"")</f>
        <v/>
      </c>
      <c r="W387" s="61">
        <f>IFERROR(_xll.qlBachelierBlackFormulaImpliedVol(IF(O387&lt;$C$4,"Put","Call"),O387,$C$4,$C$7,Q387),"")</f>
        <v>8.1453730808655929E-3</v>
      </c>
      <c r="X387" s="61">
        <f>IFERROR(_xll.qlBachelierBlackFormulaImpliedVol(IF(O387&lt;$C$4,"Put","Call"),O387,$C$4,$C$7,R387),"")</f>
        <v>7.2019999999900263E-3</v>
      </c>
      <c r="Y387" s="96">
        <f>_xll.qlSmileSectionVolatility($C$40,O387+$C$31)</f>
        <v>8.719975916667606E-3</v>
      </c>
    </row>
    <row r="388" spans="15:25">
      <c r="O388" s="37">
        <f t="shared" si="6"/>
        <v>2.8299999999999881E-2</v>
      </c>
      <c r="P388" s="38" t="str">
        <f>IFERROR(_xll.qlBlackFormula(IF(O388&lt;$C$4,"Put","Call"),O388,$C$4,$C$9*SQRT($C$7)),"")</f>
        <v/>
      </c>
      <c r="Q388" s="39">
        <f>IFERROR(_xll.qlBlackFormula(IF(O388&lt;$C$4,"Put","Call"),O388,$C$4,$C$10*SQRT($C$7),,$C$11),"")</f>
        <v>8.6800754805918708E-4</v>
      </c>
      <c r="R388" s="40">
        <f>IFERROR(_xll.qlBachelierBlackFormula(IF(O388&lt;$C$4,"Put","Call"),O388,$C$4,$C$12*SQRT($C$7)),"")</f>
        <v>5.3219191369038529E-4</v>
      </c>
      <c r="S388" s="41" t="str">
        <f>IFERROR((_xll.qlBlackFormula(IF(O388&lt;$C$4,"Put","Call"),O388+$C$14,$C$4,$C$9*SQRT($C$7))-
2*_xll.qlBlackFormula(IF(O388&lt;$C$4,"Put","Call"),O388,$C$4,$C$9*SQRT($C$7))+
_xll.qlBlackFormula(IF(O388&lt;$C$4,"Put","Call"),O388-$C$14,$C$4,$C$9*SQRT($C$7)))/$C$14^2,"")</f>
        <v/>
      </c>
      <c r="T388" s="42">
        <f>IFERROR((_xll.qlBlackFormula(IF(O388&lt;$C$4,"Put","Call"),O388+$C$14,$C$4,$C$10*SQRT($C$7),,$C$11)-
2*_xll.qlBlackFormula(IF(O388&lt;$C$4,"Put","Call"),O388,$C$4,$C$10*SQRT($C$7),,$C$11)+
_xll.qlBlackFormula(IF(O388&lt;$C$4,"Put","Call"),O388-$C$14,$C$4,$C$10*SQRT($C$7),,$C$11))/$C$14^2,"")</f>
        <v>7.5786252273779553</v>
      </c>
      <c r="U388" s="43">
        <f>IFERROR((_xll.qlBachelierBlackFormula(IF(O388&lt;$C$4,"Put","Call"),O388+$C$14,$C$4,$C$12*SQRT($C$7))-
2*_xll.qlBachelierBlackFormula(IF(O388&lt;$C$4,"Put","Call"),O388,$C$4,$C$12*SQRT($C$7))+
_xll.qlBachelierBlackFormula(IF(O388&lt;$C$4,"Put","Call"),O388-$C$14,$C$4,$C$12*SQRT($C$7)))/$C$14^2,"")</f>
        <v>8.6978779213764401</v>
      </c>
      <c r="V388" s="61" t="str">
        <f>IFERROR(_xll.qlBachelierBlackFormulaImpliedVol(IF(O388&lt;$C$4,"Put","Call"),O388,$C$4,$C$7,P388),"")</f>
        <v/>
      </c>
      <c r="W388" s="61">
        <f>IFERROR(_xll.qlBachelierBlackFormulaImpliedVol(IF(O388&lt;$C$4,"Put","Call"),O388,$C$4,$C$7,Q388),"")</f>
        <v>8.1492878319873643E-3</v>
      </c>
      <c r="X388" s="61">
        <f>IFERROR(_xll.qlBachelierBlackFormulaImpliedVol(IF(O388&lt;$C$4,"Put","Call"),O388,$C$4,$C$7,R388),"")</f>
        <v>7.2019999999890592E-3</v>
      </c>
      <c r="Y388" s="96">
        <f>_xll.qlSmileSectionVolatility($C$40,O388+$C$31)</f>
        <v>8.7280415985067864E-3</v>
      </c>
    </row>
    <row r="389" spans="15:25">
      <c r="O389" s="37">
        <f t="shared" si="6"/>
        <v>2.839999999999988E-2</v>
      </c>
      <c r="P389" s="38" t="str">
        <f>IFERROR(_xll.qlBlackFormula(IF(O389&lt;$C$4,"Put","Call"),O389,$C$4,$C$9*SQRT($C$7)),"")</f>
        <v/>
      </c>
      <c r="Q389" s="39">
        <f>IFERROR(_xll.qlBlackFormula(IF(O389&lt;$C$4,"Put","Call"),O389,$C$4,$C$10*SQRT($C$7),,$C$11),"")</f>
        <v>8.5953604898357863E-4</v>
      </c>
      <c r="R389" s="40">
        <f>IFERROR(_xll.qlBachelierBlackFormula(IF(O389&lt;$C$4,"Put","Call"),O389,$C$4,$C$12*SQRT($C$7)),"")</f>
        <v>5.2483805971818755E-4</v>
      </c>
      <c r="S389" s="41" t="str">
        <f>IFERROR((_xll.qlBlackFormula(IF(O389&lt;$C$4,"Put","Call"),O389+$C$14,$C$4,$C$9*SQRT($C$7))-
2*_xll.qlBlackFormula(IF(O389&lt;$C$4,"Put","Call"),O389,$C$4,$C$9*SQRT($C$7))+
_xll.qlBlackFormula(IF(O389&lt;$C$4,"Put","Call"),O389-$C$14,$C$4,$C$9*SQRT($C$7)))/$C$14^2,"")</f>
        <v/>
      </c>
      <c r="T389" s="42">
        <f>IFERROR((_xll.qlBlackFormula(IF(O389&lt;$C$4,"Put","Call"),O389+$C$14,$C$4,$C$10*SQRT($C$7),,$C$11)-
2*_xll.qlBlackFormula(IF(O389&lt;$C$4,"Put","Call"),O389,$C$4,$C$10*SQRT($C$7),,$C$11)+
_xll.qlBlackFormula(IF(O389&lt;$C$4,"Put","Call"),O389-$C$14,$C$4,$C$10*SQRT($C$7),,$C$11))/$C$14^2,"")</f>
        <v>7.5212162886639788</v>
      </c>
      <c r="U389" s="43">
        <f>IFERROR((_xll.qlBachelierBlackFormula(IF(O389&lt;$C$4,"Put","Call"),O389+$C$14,$C$4,$C$12*SQRT($C$7))-
2*_xll.qlBachelierBlackFormula(IF(O389&lt;$C$4,"Put","Call"),O389,$C$4,$C$12*SQRT($C$7))+
_xll.qlBachelierBlackFormula(IF(O389&lt;$C$4,"Put","Call"),O389-$C$14,$C$4,$C$12*SQRT($C$7)))/$C$14^2,"")</f>
        <v>8.6199190146851734</v>
      </c>
      <c r="V389" s="61" t="str">
        <f>IFERROR(_xll.qlBachelierBlackFormulaImpliedVol(IF(O389&lt;$C$4,"Put","Call"),O389,$C$4,$C$7,P389),"")</f>
        <v/>
      </c>
      <c r="W389" s="61">
        <f>IFERROR(_xll.qlBachelierBlackFormulaImpliedVol(IF(O389&lt;$C$4,"Put","Call"),O389,$C$4,$C$7,Q389),"")</f>
        <v>8.1532014264062546E-3</v>
      </c>
      <c r="X389" s="61">
        <f>IFERROR(_xll.qlBachelierBlackFormulaImpliedVol(IF(O389&lt;$C$4,"Put","Call"),O389,$C$4,$C$7,R389),"")</f>
        <v>7.2019999999881042E-3</v>
      </c>
      <c r="Y389" s="96">
        <f>_xll.qlSmileSectionVolatility($C$40,O389+$C$31)</f>
        <v>8.7361152687432213E-3</v>
      </c>
    </row>
    <row r="390" spans="15:25">
      <c r="O390" s="37">
        <f t="shared" si="6"/>
        <v>2.849999999999988E-2</v>
      </c>
      <c r="P390" s="38" t="str">
        <f>IFERROR(_xll.qlBlackFormula(IF(O390&lt;$C$4,"Put","Call"),O390,$C$4,$C$9*SQRT($C$7)),"")</f>
        <v/>
      </c>
      <c r="Q390" s="39">
        <f>IFERROR(_xll.qlBlackFormula(IF(O390&lt;$C$4,"Put","Call"),O390,$C$4,$C$10*SQRT($C$7),,$C$11),"")</f>
        <v>8.5113976227632268E-4</v>
      </c>
      <c r="R390" s="40">
        <f>IFERROR(_xll.qlBachelierBlackFormula(IF(O390&lt;$C$4,"Put","Call"),O390,$C$4,$C$12*SQRT($C$7)),"")</f>
        <v>5.1757040523497423E-4</v>
      </c>
      <c r="S390" s="41" t="str">
        <f>IFERROR((_xll.qlBlackFormula(IF(O390&lt;$C$4,"Put","Call"),O390+$C$14,$C$4,$C$9*SQRT($C$7))-
2*_xll.qlBlackFormula(IF(O390&lt;$C$4,"Put","Call"),O390,$C$4,$C$9*SQRT($C$7))+
_xll.qlBlackFormula(IF(O390&lt;$C$4,"Put","Call"),O390-$C$14,$C$4,$C$9*SQRT($C$7)))/$C$14^2,"")</f>
        <v/>
      </c>
      <c r="T390" s="42">
        <f>IFERROR((_xll.qlBlackFormula(IF(O390&lt;$C$4,"Put","Call"),O390+$C$14,$C$4,$C$10*SQRT($C$7),,$C$11)-
2*_xll.qlBlackFormula(IF(O390&lt;$C$4,"Put","Call"),O390,$C$4,$C$10*SQRT($C$7),,$C$11)+
_xll.qlBlackFormula(IF(O390&lt;$C$4,"Put","Call"),O390-$C$14,$C$4,$C$10*SQRT($C$7),,$C$11))/$C$14^2,"")</f>
        <v>7.4641022529409184</v>
      </c>
      <c r="U390" s="43">
        <f>IFERROR((_xll.qlBachelierBlackFormula(IF(O390&lt;$C$4,"Put","Call"),O390+$C$14,$C$4,$C$12*SQRT($C$7))-
2*_xll.qlBachelierBlackFormula(IF(O390&lt;$C$4,"Put","Call"),O390,$C$4,$C$12*SQRT($C$7))+
_xll.qlBachelierBlackFormula(IF(O390&lt;$C$4,"Put","Call"),O390-$C$14,$C$4,$C$12*SQRT($C$7)))/$C$14^2,"")</f>
        <v>8.5423298209347251</v>
      </c>
      <c r="V390" s="61" t="str">
        <f>IFERROR(_xll.qlBachelierBlackFormulaImpliedVol(IF(O390&lt;$C$4,"Put","Call"),O390,$C$4,$C$7,P390),"")</f>
        <v/>
      </c>
      <c r="W390" s="61">
        <f>IFERROR(_xll.qlBachelierBlackFormulaImpliedVol(IF(O390&lt;$C$4,"Put","Call"),O390,$C$4,$C$7,Q390),"")</f>
        <v>8.1571138657096122E-3</v>
      </c>
      <c r="X390" s="61">
        <f>IFERROR(_xll.qlBachelierBlackFormulaImpliedVol(IF(O390&lt;$C$4,"Put","Call"),O390,$C$4,$C$7,R390),"")</f>
        <v>7.2019999999871544E-3</v>
      </c>
      <c r="Y390" s="96">
        <f>_xll.qlSmileSectionVolatility($C$40,O390+$C$31)</f>
        <v>8.7441968750217591E-3</v>
      </c>
    </row>
    <row r="391" spans="15:25">
      <c r="O391" s="37">
        <f t="shared" si="6"/>
        <v>2.8599999999999879E-2</v>
      </c>
      <c r="P391" s="38" t="str">
        <f>IFERROR(_xll.qlBlackFormula(IF(O391&lt;$C$4,"Put","Call"),O391,$C$4,$C$9*SQRT($C$7)),"")</f>
        <v/>
      </c>
      <c r="Q391" s="39">
        <f>IFERROR(_xll.qlBlackFormula(IF(O391&lt;$C$4,"Put","Call"),O391,$C$4,$C$10*SQRT($C$7),,$C$11),"")</f>
        <v>8.4281811677640837E-4</v>
      </c>
      <c r="R391" s="40">
        <f>IFERROR(_xll.qlBachelierBlackFormula(IF(O391&lt;$C$4,"Put","Call"),O391,$C$4,$C$12*SQRT($C$7)),"")</f>
        <v>5.1038817433932885E-4</v>
      </c>
      <c r="S391" s="41" t="str">
        <f>IFERROR((_xll.qlBlackFormula(IF(O391&lt;$C$4,"Put","Call"),O391+$C$14,$C$4,$C$9*SQRT($C$7))-
2*_xll.qlBlackFormula(IF(O391&lt;$C$4,"Put","Call"),O391,$C$4,$C$9*SQRT($C$7))+
_xll.qlBlackFormula(IF(O391&lt;$C$4,"Put","Call"),O391-$C$14,$C$4,$C$9*SQRT($C$7)))/$C$14^2,"")</f>
        <v/>
      </c>
      <c r="T391" s="42">
        <f>IFERROR((_xll.qlBlackFormula(IF(O391&lt;$C$4,"Put","Call"),O391+$C$14,$C$4,$C$10*SQRT($C$7),,$C$11)-
2*_xll.qlBlackFormula(IF(O391&lt;$C$4,"Put","Call"),O391,$C$4,$C$10*SQRT($C$7),,$C$11)+
_xll.qlBlackFormula(IF(O391&lt;$C$4,"Put","Call"),O391-$C$14,$C$4,$C$10*SQRT($C$7),,$C$11))/$C$14^2,"")</f>
        <v>7.4073039368904858</v>
      </c>
      <c r="U391" s="43">
        <f>IFERROR((_xll.qlBachelierBlackFormula(IF(O391&lt;$C$4,"Put","Call"),O391+$C$14,$C$4,$C$12*SQRT($C$7))-
2*_xll.qlBachelierBlackFormula(IF(O391&lt;$C$4,"Put","Call"),O391,$C$4,$C$12*SQRT($C$7))+
_xll.qlBachelierBlackFormula(IF(O391&lt;$C$4,"Put","Call"),O391-$C$14,$C$4,$C$12*SQRT($C$7)))/$C$14^2,"")</f>
        <v>8.4651079548803132</v>
      </c>
      <c r="V391" s="61" t="str">
        <f>IFERROR(_xll.qlBachelierBlackFormulaImpliedVol(IF(O391&lt;$C$4,"Put","Call"),O391,$C$4,$C$7,P391),"")</f>
        <v/>
      </c>
      <c r="W391" s="61">
        <f>IFERROR(_xll.qlBachelierBlackFormulaImpliedVol(IF(O391&lt;$C$4,"Put","Call"),O391,$C$4,$C$7,Q391),"")</f>
        <v>8.1610251514810002E-3</v>
      </c>
      <c r="X391" s="61">
        <f>IFERROR(_xll.qlBachelierBlackFormulaImpliedVol(IF(O391&lt;$C$4,"Put","Call"),O391,$C$4,$C$7,R391),"")</f>
        <v>7.2019999999862342E-3</v>
      </c>
      <c r="Y391" s="96">
        <f>_xll.qlSmileSectionVolatility($C$40,O391+$C$31)</f>
        <v>8.7522863652659301E-3</v>
      </c>
    </row>
    <row r="392" spans="15:25">
      <c r="O392" s="37">
        <f t="shared" si="6"/>
        <v>2.8699999999999878E-2</v>
      </c>
      <c r="P392" s="38" t="str">
        <f>IFERROR(_xll.qlBlackFormula(IF(O392&lt;$C$4,"Put","Call"),O392,$C$4,$C$9*SQRT($C$7)),"")</f>
        <v/>
      </c>
      <c r="Q392" s="39">
        <f>IFERROR(_xll.qlBlackFormula(IF(O392&lt;$C$4,"Put","Call"),O392,$C$4,$C$10*SQRT($C$7),,$C$11),"")</f>
        <v>8.3457054443354488E-4</v>
      </c>
      <c r="R392" s="40">
        <f>IFERROR(_xll.qlBachelierBlackFormula(IF(O392&lt;$C$4,"Put","Call"),O392,$C$4,$C$12*SQRT($C$7)),"")</f>
        <v>5.0329059484979506E-4</v>
      </c>
      <c r="S392" s="41" t="str">
        <f>IFERROR((_xll.qlBlackFormula(IF(O392&lt;$C$4,"Put","Call"),O392+$C$14,$C$4,$C$9*SQRT($C$7))-
2*_xll.qlBlackFormula(IF(O392&lt;$C$4,"Put","Call"),O392,$C$4,$C$9*SQRT($C$7))+
_xll.qlBlackFormula(IF(O392&lt;$C$4,"Put","Call"),O392-$C$14,$C$4,$C$9*SQRT($C$7)))/$C$14^2,"")</f>
        <v/>
      </c>
      <c r="T392" s="42">
        <f>IFERROR((_xll.qlBlackFormula(IF(O392&lt;$C$4,"Put","Call"),O392+$C$14,$C$4,$C$10*SQRT($C$7),,$C$11)-
2*_xll.qlBlackFormula(IF(O392&lt;$C$4,"Put","Call"),O392,$C$4,$C$10*SQRT($C$7),,$C$11)+
_xll.qlBlackFormula(IF(O392&lt;$C$4,"Put","Call"),O392-$C$14,$C$4,$C$10*SQRT($C$7),,$C$11))/$C$14^2,"")</f>
        <v>7.3507935849370654</v>
      </c>
      <c r="U392" s="43">
        <f>IFERROR((_xll.qlBachelierBlackFormula(IF(O392&lt;$C$4,"Put","Call"),O392+$C$14,$C$4,$C$12*SQRT($C$7))-
2*_xll.qlBachelierBlackFormula(IF(O392&lt;$C$4,"Put","Call"),O392,$C$4,$C$12*SQRT($C$7))+
_xll.qlBachelierBlackFormula(IF(O392&lt;$C$4,"Put","Call"),O392-$C$14,$C$4,$C$12*SQRT($C$7)))/$C$14^2,"")</f>
        <v>8.388265993267142</v>
      </c>
      <c r="V392" s="61" t="str">
        <f>IFERROR(_xll.qlBachelierBlackFormulaImpliedVol(IF(O392&lt;$C$4,"Put","Call"),O392,$C$4,$C$7,P392),"")</f>
        <v/>
      </c>
      <c r="W392" s="61">
        <f>IFERROR(_xll.qlBachelierBlackFormulaImpliedVol(IF(O392&lt;$C$4,"Put","Call"),O392,$C$4,$C$7,Q392),"")</f>
        <v>8.1649352853004186E-3</v>
      </c>
      <c r="X392" s="61">
        <f>IFERROR(_xll.qlBachelierBlackFormulaImpliedVol(IF(O392&lt;$C$4,"Put","Call"),O392,$C$4,$C$7,R392),"")</f>
        <v>7.2019999999853304E-3</v>
      </c>
      <c r="Y392" s="96">
        <f>_xll.qlSmileSectionVolatility($C$40,O392+$C$31)</f>
        <v>8.7603836876773145E-3</v>
      </c>
    </row>
    <row r="393" spans="15:25">
      <c r="O393" s="37">
        <f t="shared" si="6"/>
        <v>2.8799999999999878E-2</v>
      </c>
      <c r="P393" s="38" t="str">
        <f>IFERROR(_xll.qlBlackFormula(IF(O393&lt;$C$4,"Put","Call"),O393,$C$4,$C$9*SQRT($C$7)),"")</f>
        <v/>
      </c>
      <c r="Q393" s="39">
        <f>IFERROR(_xll.qlBlackFormula(IF(O393&lt;$C$4,"Put","Call"),O393,$C$4,$C$10*SQRT($C$7),,$C$11),"")</f>
        <v>8.263964803069835E-4</v>
      </c>
      <c r="R393" s="40">
        <f>IFERROR(_xll.qlBachelierBlackFormula(IF(O393&lt;$C$4,"Put","Call"),O393,$C$4,$C$12*SQRT($C$7)),"")</f>
        <v>4.9627689833054074E-4</v>
      </c>
      <c r="S393" s="41" t="str">
        <f>IFERROR((_xll.qlBlackFormula(IF(O393&lt;$C$4,"Put","Call"),O393+$C$14,$C$4,$C$9*SQRT($C$7))-
2*_xll.qlBlackFormula(IF(O393&lt;$C$4,"Put","Call"),O393,$C$4,$C$9*SQRT($C$7))+
_xll.qlBlackFormula(IF(O393&lt;$C$4,"Put","Call"),O393-$C$14,$C$4,$C$9*SQRT($C$7)))/$C$14^2,"")</f>
        <v/>
      </c>
      <c r="T393" s="42">
        <f>IFERROR((_xll.qlBlackFormula(IF(O393&lt;$C$4,"Put","Call"),O393+$C$14,$C$4,$C$10*SQRT($C$7),,$C$11)-
2*_xll.qlBlackFormula(IF(O393&lt;$C$4,"Put","Call"),O393,$C$4,$C$10*SQRT($C$7),,$C$11)+
_xll.qlBlackFormula(IF(O393&lt;$C$4,"Put","Call"),O393-$C$14,$C$4,$C$10*SQRT($C$7),,$C$11))/$C$14^2,"")</f>
        <v>7.2946180346145084</v>
      </c>
      <c r="U393" s="43">
        <f>IFERROR((_xll.qlBachelierBlackFormula(IF(O393&lt;$C$4,"Put","Call"),O393+$C$14,$C$4,$C$12*SQRT($C$7))-
2*_xll.qlBachelierBlackFormula(IF(O393&lt;$C$4,"Put","Call"),O393,$C$4,$C$12*SQRT($C$7))+
_xll.qlBachelierBlackFormula(IF(O393&lt;$C$4,"Put","Call"),O393-$C$14,$C$4,$C$12*SQRT($C$7)))/$C$14^2,"")</f>
        <v>8.3117978645630419</v>
      </c>
      <c r="V393" s="61" t="str">
        <f>IFERROR(_xll.qlBachelierBlackFormulaImpliedVol(IF(O393&lt;$C$4,"Put","Call"),O393,$C$4,$C$7,P393),"")</f>
        <v/>
      </c>
      <c r="W393" s="61">
        <f>IFERROR(_xll.qlBachelierBlackFormulaImpliedVol(IF(O393&lt;$C$4,"Put","Call"),O393,$C$4,$C$7,Q393),"")</f>
        <v>8.168844268744084E-3</v>
      </c>
      <c r="X393" s="61">
        <f>IFERROR(_xll.qlBachelierBlackFormulaImpliedVol(IF(O393&lt;$C$4,"Put","Call"),O393,$C$4,$C$7,R393),"")</f>
        <v>7.2019999999844604E-3</v>
      </c>
      <c r="Y393" s="96">
        <f>_xll.qlSmileSectionVolatility($C$40,O393+$C$31)</f>
        <v>8.7684887907349043E-3</v>
      </c>
    </row>
    <row r="394" spans="15:25">
      <c r="O394" s="37">
        <f t="shared" si="6"/>
        <v>2.8899999999999877E-2</v>
      </c>
      <c r="P394" s="38" t="str">
        <f>IFERROR(_xll.qlBlackFormula(IF(O394&lt;$C$4,"Put","Call"),O394,$C$4,$C$9*SQRT($C$7)),"")</f>
        <v/>
      </c>
      <c r="Q394" s="39">
        <f>IFERROR(_xll.qlBlackFormula(IF(O394&lt;$C$4,"Put","Call"),O394,$C$4,$C$10*SQRT($C$7),,$C$11),"")</f>
        <v>8.1829536256426E-4</v>
      </c>
      <c r="R394" s="40">
        <f>IFERROR(_xll.qlBachelierBlackFormula(IF(O394&lt;$C$4,"Put","Call"),O394,$C$4,$C$12*SQRT($C$7)),"")</f>
        <v>4.893463201163374E-4</v>
      </c>
      <c r="S394" s="41" t="str">
        <f>IFERROR((_xll.qlBlackFormula(IF(O394&lt;$C$4,"Put","Call"),O394+$C$14,$C$4,$C$9*SQRT($C$7))-
2*_xll.qlBlackFormula(IF(O394&lt;$C$4,"Put","Call"),O394,$C$4,$C$9*SQRT($C$7))+
_xll.qlBlackFormula(IF(O394&lt;$C$4,"Put","Call"),O394-$C$14,$C$4,$C$9*SQRT($C$7)))/$C$14^2,"")</f>
        <v/>
      </c>
      <c r="T394" s="42">
        <f>IFERROR((_xll.qlBlackFormula(IF(O394&lt;$C$4,"Put","Call"),O394+$C$14,$C$4,$C$10*SQRT($C$7),,$C$11)-
2*_xll.qlBlackFormula(IF(O394&lt;$C$4,"Put","Call"),O394,$C$4,$C$10*SQRT($C$7),,$C$11)+
_xll.qlBlackFormula(IF(O394&lt;$C$4,"Put","Call"),O394-$C$14,$C$4,$C$10*SQRT($C$7),,$C$11))/$C$14^2,"")</f>
        <v>7.2387425914532955</v>
      </c>
      <c r="U394" s="43">
        <f>IFERROR((_xll.qlBachelierBlackFormula(IF(O394&lt;$C$4,"Put","Call"),O394+$C$14,$C$4,$C$12*SQRT($C$7))-
2*_xll.qlBachelierBlackFormula(IF(O394&lt;$C$4,"Put","Call"),O394,$C$4,$C$12*SQRT($C$7))+
_xll.qlBachelierBlackFormula(IF(O394&lt;$C$4,"Put","Call"),O394-$C$14,$C$4,$C$12*SQRT($C$7)))/$C$14^2,"")</f>
        <v>8.2357126760662656</v>
      </c>
      <c r="V394" s="61" t="str">
        <f>IFERROR(_xll.qlBachelierBlackFormulaImpliedVol(IF(O394&lt;$C$4,"Put","Call"),O394,$C$4,$C$7,P394),"")</f>
        <v/>
      </c>
      <c r="W394" s="61">
        <f>IFERROR(_xll.qlBachelierBlackFormulaImpliedVol(IF(O394&lt;$C$4,"Put","Call"),O394,$C$4,$C$7,Q394),"")</f>
        <v>8.1727521033846621E-3</v>
      </c>
      <c r="X394" s="61">
        <f>IFERROR(_xll.qlBachelierBlackFormulaImpliedVol(IF(O394&lt;$C$4,"Put","Call"),O394,$C$4,$C$7,R394),"")</f>
        <v>7.2019999999836269E-3</v>
      </c>
      <c r="Y394" s="96">
        <f>_xll.qlSmileSectionVolatility($C$40,O394+$C$31)</f>
        <v>8.7766016231944216E-3</v>
      </c>
    </row>
    <row r="395" spans="15:25">
      <c r="O395" s="37">
        <f t="shared" si="6"/>
        <v>2.8999999999999877E-2</v>
      </c>
      <c r="P395" s="38" t="str">
        <f>IFERROR(_xll.qlBlackFormula(IF(O395&lt;$C$4,"Put","Call"),O395,$C$4,$C$9*SQRT($C$7)),"")</f>
        <v/>
      </c>
      <c r="Q395" s="39">
        <f>IFERROR(_xll.qlBlackFormula(IF(O395&lt;$C$4,"Put","Call"),O395,$C$4,$C$10*SQRT($C$7),,$C$11),"")</f>
        <v>8.1026663247955009E-4</v>
      </c>
      <c r="R395" s="40">
        <f>IFERROR(_xll.qlBachelierBlackFormula(IF(O395&lt;$C$4,"Put","Call"),O395,$C$4,$C$12*SQRT($C$7)),"")</f>
        <v>4.8249809933689162E-4</v>
      </c>
      <c r="S395" s="41" t="str">
        <f>IFERROR((_xll.qlBlackFormula(IF(O395&lt;$C$4,"Put","Call"),O395+$C$14,$C$4,$C$9*SQRT($C$7))-
2*_xll.qlBlackFormula(IF(O395&lt;$C$4,"Put","Call"),O395,$C$4,$C$9*SQRT($C$7))+
_xll.qlBlackFormula(IF(O395&lt;$C$4,"Put","Call"),O395-$C$14,$C$4,$C$9*SQRT($C$7)))/$C$14^2,"")</f>
        <v/>
      </c>
      <c r="T395" s="42">
        <f>IFERROR((_xll.qlBlackFormula(IF(O395&lt;$C$4,"Put","Call"),O395+$C$14,$C$4,$C$10*SQRT($C$7),,$C$11)-
2*_xll.qlBlackFormula(IF(O395&lt;$C$4,"Put","Call"),O395,$C$4,$C$10*SQRT($C$7),,$C$11)+
_xll.qlBlackFormula(IF(O395&lt;$C$4,"Put","Call"),O395-$C$14,$C$4,$C$10*SQRT($C$7),,$C$11))/$C$14^2,"")</f>
        <v>7.1831811332412343</v>
      </c>
      <c r="U395" s="43">
        <f>IFERROR((_xll.qlBachelierBlackFormula(IF(O395&lt;$C$4,"Put","Call"),O395+$C$14,$C$4,$C$12*SQRT($C$7))-
2*_xll.qlBachelierBlackFormula(IF(O395&lt;$C$4,"Put","Call"),O395,$C$4,$C$12*SQRT($C$7))+
_xll.qlBachelierBlackFormula(IF(O395&lt;$C$4,"Put","Call"),O395-$C$14,$C$4,$C$12*SQRT($C$7)))/$C$14^2,"")</f>
        <v>8.1600058741276857</v>
      </c>
      <c r="V395" s="61" t="str">
        <f>IFERROR(_xll.qlBachelierBlackFormulaImpliedVol(IF(O395&lt;$C$4,"Put","Call"),O395,$C$4,$C$7,P395),"")</f>
        <v/>
      </c>
      <c r="W395" s="61">
        <f>IFERROR(_xll.qlBachelierBlackFormulaImpliedVol(IF(O395&lt;$C$4,"Put","Call"),O395,$C$4,$C$7,Q395),"")</f>
        <v>8.1766587907911147E-3</v>
      </c>
      <c r="X395" s="61">
        <f>IFERROR(_xll.qlBachelierBlackFormulaImpliedVol(IF(O395&lt;$C$4,"Put","Call"),O395,$C$4,$C$7,R395),"")</f>
        <v>7.2019999999828263E-3</v>
      </c>
      <c r="Y395" s="96">
        <f>_xll.qlSmileSectionVolatility($C$40,O395+$C$31)</f>
        <v>8.7847221340876074E-3</v>
      </c>
    </row>
    <row r="396" spans="15:25">
      <c r="O396" s="37">
        <f t="shared" si="6"/>
        <v>2.9099999999999876E-2</v>
      </c>
      <c r="P396" s="38" t="str">
        <f>IFERROR(_xll.qlBlackFormula(IF(O396&lt;$C$4,"Put","Call"),O396,$C$4,$C$9*SQRT($C$7)),"")</f>
        <v/>
      </c>
      <c r="Q396" s="39">
        <f>IFERROR(_xll.qlBlackFormula(IF(O396&lt;$C$4,"Put","Call"),O396,$C$4,$C$10*SQRT($C$7),,$C$11),"")</f>
        <v>8.0230973443186013E-4</v>
      </c>
      <c r="R396" s="40">
        <f>IFERROR(_xll.qlBachelierBlackFormula(IF(O396&lt;$C$4,"Put","Call"),O396,$C$4,$C$12*SQRT($C$7)),"")</f>
        <v>4.7573147894050863E-4</v>
      </c>
      <c r="S396" s="41" t="str">
        <f>IFERROR((_xll.qlBlackFormula(IF(O396&lt;$C$4,"Put","Call"),O396+$C$14,$C$4,$C$9*SQRT($C$7))-
2*_xll.qlBlackFormula(IF(O396&lt;$C$4,"Put","Call"),O396,$C$4,$C$9*SQRT($C$7))+
_xll.qlBlackFormula(IF(O396&lt;$C$4,"Put","Call"),O396-$C$14,$C$4,$C$9*SQRT($C$7)))/$C$14^2,"")</f>
        <v/>
      </c>
      <c r="T396" s="42">
        <f>IFERROR((_xll.qlBlackFormula(IF(O396&lt;$C$4,"Put","Call"),O396+$C$14,$C$4,$C$10*SQRT($C$7),,$C$11)-
2*_xll.qlBlackFormula(IF(O396&lt;$C$4,"Put","Call"),O396,$C$4,$C$10*SQRT($C$7),,$C$11)+
_xll.qlBlackFormula(IF(O396&lt;$C$4,"Put","Call"),O396-$C$14,$C$4,$C$10*SQRT($C$7),,$C$11))/$C$14^2,"")</f>
        <v>7.1279388641487529</v>
      </c>
      <c r="U396" s="43">
        <f>IFERROR((_xll.qlBachelierBlackFormula(IF(O396&lt;$C$4,"Put","Call"),O396+$C$14,$C$4,$C$12*SQRT($C$7))-
2*_xll.qlBachelierBlackFormula(IF(O396&lt;$C$4,"Put","Call"),O396,$C$4,$C$12*SQRT($C$7))+
_xll.qlBachelierBlackFormula(IF(O396&lt;$C$4,"Put","Call"),O396-$C$14,$C$4,$C$12*SQRT($C$7)))/$C$14^2,"")</f>
        <v>8.0846839639603374</v>
      </c>
      <c r="V396" s="61" t="str">
        <f>IFERROR(_xll.qlBachelierBlackFormulaImpliedVol(IF(O396&lt;$C$4,"Put","Call"),O396,$C$4,$C$7,P396),"")</f>
        <v/>
      </c>
      <c r="W396" s="61">
        <f>IFERROR(_xll.qlBachelierBlackFormulaImpliedVol(IF(O396&lt;$C$4,"Put","Call"),O396,$C$4,$C$7,Q396),"")</f>
        <v>8.180564332528787E-3</v>
      </c>
      <c r="X396" s="61">
        <f>IFERROR(_xll.qlBachelierBlackFormulaImpliedVol(IF(O396&lt;$C$4,"Put","Call"),O396,$C$4,$C$7,R396),"")</f>
        <v>7.2019999999820743E-3</v>
      </c>
      <c r="Y396" s="96">
        <f>_xll.qlSmileSectionVolatility($C$40,O396+$C$31)</f>
        <v>8.7928502727216123E-3</v>
      </c>
    </row>
    <row r="397" spans="15:25">
      <c r="O397" s="37">
        <f t="shared" si="6"/>
        <v>2.9199999999999875E-2</v>
      </c>
      <c r="P397" s="38" t="str">
        <f>IFERROR(_xll.qlBlackFormula(IF(O397&lt;$C$4,"Put","Call"),O397,$C$4,$C$9*SQRT($C$7)),"")</f>
        <v/>
      </c>
      <c r="Q397" s="39">
        <f>IFERROR(_xll.qlBlackFormula(IF(O397&lt;$C$4,"Put","Call"),O397,$C$4,$C$10*SQRT($C$7),,$C$11),"")</f>
        <v>7.9442411590299744E-4</v>
      </c>
      <c r="R397" s="40">
        <f>IFERROR(_xll.qlBachelierBlackFormula(IF(O397&lt;$C$4,"Put","Call"),O397,$C$4,$C$12*SQRT($C$7)),"")</f>
        <v>4.6904570571710343E-4</v>
      </c>
      <c r="S397" s="41" t="str">
        <f>IFERROR((_xll.qlBlackFormula(IF(O397&lt;$C$4,"Put","Call"),O397+$C$14,$C$4,$C$9*SQRT($C$7))-
2*_xll.qlBlackFormula(IF(O397&lt;$C$4,"Put","Call"),O397,$C$4,$C$9*SQRT($C$7))+
_xll.qlBlackFormula(IF(O397&lt;$C$4,"Put","Call"),O397-$C$14,$C$4,$C$9*SQRT($C$7)))/$C$14^2,"")</f>
        <v/>
      </c>
      <c r="T397" s="42">
        <f>IFERROR((_xll.qlBlackFormula(IF(O397&lt;$C$4,"Put","Call"),O397+$C$14,$C$4,$C$10*SQRT($C$7),,$C$11)-
2*_xll.qlBlackFormula(IF(O397&lt;$C$4,"Put","Call"),O397,$C$4,$C$10*SQRT($C$7),,$C$11)+
_xll.qlBlackFormula(IF(O397&lt;$C$4,"Put","Call"),O397-$C$14,$C$4,$C$10*SQRT($C$7),,$C$11))/$C$14^2,"")</f>
        <v>7.0729793549828557</v>
      </c>
      <c r="U397" s="43">
        <f>IFERROR((_xll.qlBachelierBlackFormula(IF(O397&lt;$C$4,"Put","Call"),O397+$C$14,$C$4,$C$12*SQRT($C$7))-
2*_xll.qlBachelierBlackFormula(IF(O397&lt;$C$4,"Put","Call"),O397,$C$4,$C$12*SQRT($C$7))+
_xll.qlBachelierBlackFormula(IF(O397&lt;$C$4,"Put","Call"),O397-$C$14,$C$4,$C$12*SQRT($C$7)))/$C$14^2,"")</f>
        <v>8.0097510655324786</v>
      </c>
      <c r="V397" s="61" t="str">
        <f>IFERROR(_xll.qlBachelierBlackFormulaImpliedVol(IF(O397&lt;$C$4,"Put","Call"),O397,$C$4,$C$7,P397),"")</f>
        <v/>
      </c>
      <c r="W397" s="61">
        <f>IFERROR(_xll.qlBachelierBlackFormulaImpliedVol(IF(O397&lt;$C$4,"Put","Call"),O397,$C$4,$C$7,Q397),"")</f>
        <v>8.1844687301594627E-3</v>
      </c>
      <c r="X397" s="61">
        <f>IFERROR(_xll.qlBachelierBlackFormulaImpliedVol(IF(O397&lt;$C$4,"Put","Call"),O397,$C$4,$C$7,R397),"")</f>
        <v>7.2019999999813761E-3</v>
      </c>
      <c r="Y397" s="96">
        <f>_xll.qlSmileSectionVolatility($C$40,O397+$C$31)</f>
        <v>8.8009859886781644E-3</v>
      </c>
    </row>
    <row r="398" spans="15:25">
      <c r="O398" s="37">
        <f t="shared" si="6"/>
        <v>2.9299999999999875E-2</v>
      </c>
      <c r="P398" s="38" t="str">
        <f>IFERROR(_xll.qlBlackFormula(IF(O398&lt;$C$4,"Put","Call"),O398,$C$4,$C$9*SQRT($C$7)),"")</f>
        <v/>
      </c>
      <c r="Q398" s="39">
        <f>IFERROR(_xll.qlBlackFormula(IF(O398&lt;$C$4,"Put","Call"),O398,$C$4,$C$10*SQRT($C$7),,$C$11),"")</f>
        <v>7.8660922747520422E-4</v>
      </c>
      <c r="R398" s="40">
        <f>IFERROR(_xll.qlBachelierBlackFormula(IF(O398&lt;$C$4,"Put","Call"),O398,$C$4,$C$12*SQRT($C$7)),"")</f>
        <v>4.6244003032056154E-4</v>
      </c>
      <c r="S398" s="41" t="str">
        <f>IFERROR((_xll.qlBlackFormula(IF(O398&lt;$C$4,"Put","Call"),O398+$C$14,$C$4,$C$9*SQRT($C$7))-
2*_xll.qlBlackFormula(IF(O398&lt;$C$4,"Put","Call"),O398,$C$4,$C$9*SQRT($C$7))+
_xll.qlBlackFormula(IF(O398&lt;$C$4,"Put","Call"),O398-$C$14,$C$4,$C$9*SQRT($C$7)))/$C$14^2,"")</f>
        <v/>
      </c>
      <c r="T398" s="42">
        <f>IFERROR((_xll.qlBlackFormula(IF(O398&lt;$C$4,"Put","Call"),O398+$C$14,$C$4,$C$10*SQRT($C$7),,$C$11)-
2*_xll.qlBlackFormula(IF(O398&lt;$C$4,"Put","Call"),O398,$C$4,$C$10*SQRT($C$7),,$C$11)+
_xll.qlBlackFormula(IF(O398&lt;$C$4,"Put","Call"),O398-$C$14,$C$4,$C$10*SQRT($C$7),,$C$11))/$C$14^2,"")</f>
        <v>7.0183477085539181</v>
      </c>
      <c r="U398" s="43">
        <f>IFERROR((_xll.qlBachelierBlackFormula(IF(O398&lt;$C$4,"Put","Call"),O398+$C$14,$C$4,$C$12*SQRT($C$7))-
2*_xll.qlBachelierBlackFormula(IF(O398&lt;$C$4,"Put","Call"),O398,$C$4,$C$12*SQRT($C$7))+
_xll.qlBachelierBlackFormula(IF(O398&lt;$C$4,"Put","Call"),O398-$C$14,$C$4,$C$12*SQRT($C$7)))/$C$14^2,"")</f>
        <v>7.9352050104397609</v>
      </c>
      <c r="V398" s="61" t="str">
        <f>IFERROR(_xll.qlBachelierBlackFormulaImpliedVol(IF(O398&lt;$C$4,"Put","Call"),O398,$C$4,$C$7,P398),"")</f>
        <v/>
      </c>
      <c r="W398" s="61">
        <f>IFERROR(_xll.qlBachelierBlackFormulaImpliedVol(IF(O398&lt;$C$4,"Put","Call"),O398,$C$4,$C$7,Q398),"")</f>
        <v>8.1883719852412374E-3</v>
      </c>
      <c r="X398" s="61">
        <f>IFERROR(_xll.qlBachelierBlackFormulaImpliedVol(IF(O398&lt;$C$4,"Put","Call"),O398,$C$4,$C$7,R398),"")</f>
        <v>7.201999999980723E-3</v>
      </c>
      <c r="Y398" s="96">
        <f>_xll.qlSmileSectionVolatility($C$40,O398+$C$31)</f>
        <v>8.8091292318129236E-3</v>
      </c>
    </row>
    <row r="399" spans="15:25">
      <c r="O399" s="37">
        <f t="shared" si="6"/>
        <v>2.9399999999999874E-2</v>
      </c>
      <c r="P399" s="38" t="str">
        <f>IFERROR(_xll.qlBlackFormula(IF(O399&lt;$C$4,"Put","Call"),O399,$C$4,$C$9*SQRT($C$7)),"")</f>
        <v/>
      </c>
      <c r="Q399" s="39">
        <f>IFERROR(_xll.qlBlackFormula(IF(O399&lt;$C$4,"Put","Call"),O399,$C$4,$C$10*SQRT($C$7),,$C$11),"")</f>
        <v>7.7886452282869764E-4</v>
      </c>
      <c r="R399" s="40">
        <f>IFERROR(_xll.qlBachelierBlackFormula(IF(O399&lt;$C$4,"Put","Call"),O399,$C$4,$C$12*SQRT($C$7)),"")</f>
        <v>4.5591370729044156E-4</v>
      </c>
      <c r="S399" s="41" t="str">
        <f>IFERROR((_xll.qlBlackFormula(IF(O399&lt;$C$4,"Put","Call"),O399+$C$14,$C$4,$C$9*SQRT($C$7))-
2*_xll.qlBlackFormula(IF(O399&lt;$C$4,"Put","Call"),O399,$C$4,$C$9*SQRT($C$7))+
_xll.qlBlackFormula(IF(O399&lt;$C$4,"Put","Call"),O399-$C$14,$C$4,$C$9*SQRT($C$7)))/$C$14^2,"")</f>
        <v/>
      </c>
      <c r="T399" s="42">
        <f>IFERROR((_xll.qlBlackFormula(IF(O399&lt;$C$4,"Put","Call"),O399+$C$14,$C$4,$C$10*SQRT($C$7),,$C$11)-
2*_xll.qlBlackFormula(IF(O399&lt;$C$4,"Put","Call"),O399,$C$4,$C$10*SQRT($C$7),,$C$11)+
_xll.qlBlackFormula(IF(O399&lt;$C$4,"Put","Call"),O399-$C$14,$C$4,$C$10*SQRT($C$7),,$C$11))/$C$14^2,"")</f>
        <v>6.9640213734567524</v>
      </c>
      <c r="U399" s="43">
        <f>IFERROR((_xll.qlBachelierBlackFormula(IF(O399&lt;$C$4,"Put","Call"),O399+$C$14,$C$4,$C$12*SQRT($C$7))-
2*_xll.qlBachelierBlackFormula(IF(O399&lt;$C$4,"Put","Call"),O399,$C$4,$C$12*SQRT($C$7))+
_xll.qlBachelierBlackFormula(IF(O399&lt;$C$4,"Put","Call"),O399-$C$14,$C$4,$C$12*SQRT($C$7)))/$C$14^2,"")</f>
        <v>7.8610479670865319</v>
      </c>
      <c r="V399" s="61" t="str">
        <f>IFERROR(_xll.qlBachelierBlackFormulaImpliedVol(IF(O399&lt;$C$4,"Put","Call"),O399,$C$4,$C$7,P399),"")</f>
        <v/>
      </c>
      <c r="W399" s="61">
        <f>IFERROR(_xll.qlBachelierBlackFormulaImpliedVol(IF(O399&lt;$C$4,"Put","Call"),O399,$C$4,$C$7,Q399),"")</f>
        <v>8.1922740993286523E-3</v>
      </c>
      <c r="X399" s="61">
        <f>IFERROR(_xll.qlBachelierBlackFormulaImpliedVol(IF(O399&lt;$C$4,"Put","Call"),O399,$C$4,$C$7,R399),"")</f>
        <v>7.2019999999801427E-3</v>
      </c>
      <c r="Y399" s="96">
        <f>_xll.qlSmileSectionVolatility($C$40,O399+$C$31)</f>
        <v>8.8172799522547272E-3</v>
      </c>
    </row>
    <row r="400" spans="15:25">
      <c r="O400" s="37">
        <f t="shared" si="6"/>
        <v>2.9499999999999874E-2</v>
      </c>
      <c r="P400" s="38" t="str">
        <f>IFERROR(_xll.qlBlackFormula(IF(O400&lt;$C$4,"Put","Call"),O400,$C$4,$C$9*SQRT($C$7)),"")</f>
        <v/>
      </c>
      <c r="Q400" s="39">
        <f>IFERROR(_xll.qlBlackFormula(IF(O400&lt;$C$4,"Put","Call"),O400,$C$4,$C$10*SQRT($C$7),,$C$11),"")</f>
        <v>7.7118945873888914E-4</v>
      </c>
      <c r="R400" s="40">
        <f>IFERROR(_xll.qlBachelierBlackFormula(IF(O400&lt;$C$4,"Put","Call"),O400,$C$4,$C$12*SQRT($C$7)),"")</f>
        <v>4.4946599507302183E-4</v>
      </c>
      <c r="S400" s="41" t="str">
        <f>IFERROR((_xll.qlBlackFormula(IF(O400&lt;$C$4,"Put","Call"),O400+$C$14,$C$4,$C$9*SQRT($C$7))-
2*_xll.qlBlackFormula(IF(O400&lt;$C$4,"Put","Call"),O400,$C$4,$C$9*SQRT($C$7))+
_xll.qlBlackFormula(IF(O400&lt;$C$4,"Put","Call"),O400-$C$14,$C$4,$C$9*SQRT($C$7)))/$C$14^2,"")</f>
        <v/>
      </c>
      <c r="T400" s="42">
        <f>IFERROR((_xll.qlBlackFormula(IF(O400&lt;$C$4,"Put","Call"),O400+$C$14,$C$4,$C$10*SQRT($C$7),,$C$11)-
2*_xll.qlBlackFormula(IF(O400&lt;$C$4,"Put","Call"),O400,$C$4,$C$10*SQRT($C$7),,$C$11)+
_xll.qlBlackFormula(IF(O400&lt;$C$4,"Put","Call"),O400-$C$14,$C$4,$C$10*SQRT($C$7),,$C$11))/$C$14^2,"")</f>
        <v>6.9100246358200224</v>
      </c>
      <c r="U400" s="43">
        <f>IFERROR((_xll.qlBachelierBlackFormula(IF(O400&lt;$C$4,"Put","Call"),O400+$C$14,$C$4,$C$12*SQRT($C$7))-
2*_xll.qlBachelierBlackFormula(IF(O400&lt;$C$4,"Put","Call"),O400,$C$4,$C$12*SQRT($C$7))+
_xll.qlBachelierBlackFormula(IF(O400&lt;$C$4,"Put","Call"),O400-$C$14,$C$4,$C$12*SQRT($C$7)))/$C$14^2,"")</f>
        <v>7.7872849228027841</v>
      </c>
      <c r="V400" s="61" t="str">
        <f>IFERROR(_xll.qlBachelierBlackFormulaImpliedVol(IF(O400&lt;$C$4,"Put","Call"),O400,$C$4,$C$7,P400),"")</f>
        <v/>
      </c>
      <c r="W400" s="61">
        <f>IFERROR(_xll.qlBachelierBlackFormulaImpliedVol(IF(O400&lt;$C$4,"Put","Call"),O400,$C$4,$C$7,Q400),"")</f>
        <v>8.1961750739726683E-3</v>
      </c>
      <c r="X400" s="61">
        <f>IFERROR(_xll.qlBachelierBlackFormulaImpliedVol(IF(O400&lt;$C$4,"Put","Call"),O400,$C$4,$C$7,R400),"")</f>
        <v>7.2019999999796205E-3</v>
      </c>
      <c r="Y400" s="96">
        <f>_xll.qlSmileSectionVolatility($C$40,O400+$C$31)</f>
        <v>8.8254381004047918E-3</v>
      </c>
    </row>
    <row r="401" spans="15:25">
      <c r="O401" s="37">
        <f t="shared" ref="O401:O464" si="7">O400+0.01%</f>
        <v>2.9599999999999873E-2</v>
      </c>
      <c r="P401" s="38" t="str">
        <f>IFERROR(_xll.qlBlackFormula(IF(O401&lt;$C$4,"Put","Call"),O401,$C$4,$C$9*SQRT($C$7)),"")</f>
        <v/>
      </c>
      <c r="Q401" s="39">
        <f>IFERROR(_xll.qlBlackFormula(IF(O401&lt;$C$4,"Put","Call"),O401,$C$4,$C$10*SQRT($C$7),,$C$11),"")</f>
        <v>7.635834950734232E-4</v>
      </c>
      <c r="R401" s="40">
        <f>IFERROR(_xll.qlBachelierBlackFormula(IF(O401&lt;$C$4,"Put","Call"),O401,$C$4,$C$12*SQRT($C$7)),"")</f>
        <v>4.4309615604172536E-4</v>
      </c>
      <c r="S401" s="41" t="str">
        <f>IFERROR((_xll.qlBlackFormula(IF(O401&lt;$C$4,"Put","Call"),O401+$C$14,$C$4,$C$9*SQRT($C$7))-
2*_xll.qlBlackFormula(IF(O401&lt;$C$4,"Put","Call"),O401,$C$4,$C$9*SQRT($C$7))+
_xll.qlBlackFormula(IF(O401&lt;$C$4,"Put","Call"),O401-$C$14,$C$4,$C$9*SQRT($C$7)))/$C$14^2,"")</f>
        <v/>
      </c>
      <c r="T401" s="42">
        <f>IFERROR((_xll.qlBlackFormula(IF(O401&lt;$C$4,"Put","Call"),O401+$C$14,$C$4,$C$10*SQRT($C$7),,$C$11)-
2*_xll.qlBlackFormula(IF(O401&lt;$C$4,"Put","Call"),O401,$C$4,$C$10*SQRT($C$7),,$C$11)+
_xll.qlBlackFormula(IF(O401&lt;$C$4,"Put","Call"),O401-$C$14,$C$4,$C$10*SQRT($C$7),,$C$11))/$C$14^2,"")</f>
        <v>6.8563193317272564</v>
      </c>
      <c r="U401" s="43">
        <f>IFERROR((_xll.qlBachelierBlackFormula(IF(O401&lt;$C$4,"Put","Call"),O401+$C$14,$C$4,$C$12*SQRT($C$7))-
2*_xll.qlBachelierBlackFormula(IF(O401&lt;$C$4,"Put","Call"),O401,$C$4,$C$12*SQRT($C$7))+
_xll.qlBachelierBlackFormula(IF(O401&lt;$C$4,"Put","Call"),O401-$C$14,$C$4,$C$12*SQRT($C$7)))/$C$14^2,"")</f>
        <v>7.713917395471559</v>
      </c>
      <c r="V401" s="61" t="str">
        <f>IFERROR(_xll.qlBachelierBlackFormulaImpliedVol(IF(O401&lt;$C$4,"Put","Call"),O401,$C$4,$C$7,P401),"")</f>
        <v/>
      </c>
      <c r="W401" s="61">
        <f>IFERROR(_xll.qlBachelierBlackFormulaImpliedVol(IF(O401&lt;$C$4,"Put","Call"),O401,$C$4,$C$7,Q401),"")</f>
        <v>8.2000749107206932E-3</v>
      </c>
      <c r="X401" s="61">
        <f>IFERROR(_xll.qlBachelierBlackFormulaImpliedVol(IF(O401&lt;$C$4,"Put","Call"),O401,$C$4,$C$7,R401),"")</f>
        <v>7.2019999999791712E-3</v>
      </c>
      <c r="Y401" s="96">
        <f>_xll.qlSmileSectionVolatility($C$40,O401+$C$31)</f>
        <v>8.833603626936009E-3</v>
      </c>
    </row>
    <row r="402" spans="15:25">
      <c r="O402" s="37">
        <f t="shared" si="7"/>
        <v>2.9699999999999872E-2</v>
      </c>
      <c r="P402" s="38" t="str">
        <f>IFERROR(_xll.qlBlackFormula(IF(O402&lt;$C$4,"Put","Call"),O402,$C$4,$C$9*SQRT($C$7)),"")</f>
        <v/>
      </c>
      <c r="Q402" s="39">
        <f>IFERROR(_xll.qlBlackFormula(IF(O402&lt;$C$4,"Put","Call"),O402,$C$4,$C$10*SQRT($C$7),,$C$11),"")</f>
        <v>7.5604609478895773E-4</v>
      </c>
      <c r="R402" s="40">
        <f>IFERROR(_xll.qlBachelierBlackFormula(IF(O402&lt;$C$4,"Put","Call"),O402,$C$4,$C$12*SQRT($C$7)),"")</f>
        <v>4.368034565168761E-4</v>
      </c>
      <c r="S402" s="41" t="str">
        <f>IFERROR((_xll.qlBlackFormula(IF(O402&lt;$C$4,"Put","Call"),O402+$C$14,$C$4,$C$9*SQRT($C$7))-
2*_xll.qlBlackFormula(IF(O402&lt;$C$4,"Put","Call"),O402,$C$4,$C$9*SQRT($C$7))+
_xll.qlBlackFormula(IF(O402&lt;$C$4,"Put","Call"),O402-$C$14,$C$4,$C$9*SQRT($C$7)))/$C$14^2,"")</f>
        <v/>
      </c>
      <c r="T402" s="42">
        <f>IFERROR((_xll.qlBlackFormula(IF(O402&lt;$C$4,"Put","Call"),O402+$C$14,$C$4,$C$10*SQRT($C$7),,$C$11)-
2*_xll.qlBlackFormula(IF(O402&lt;$C$4,"Put","Call"),O402,$C$4,$C$10*SQRT($C$7),,$C$11)+
_xll.qlBlackFormula(IF(O402&lt;$C$4,"Put","Call"),O402-$C$14,$C$4,$C$10*SQRT($C$7),,$C$11))/$C$14^2,"")</f>
        <v>6.8029332167540701</v>
      </c>
      <c r="U402" s="43">
        <f>IFERROR((_xll.qlBachelierBlackFormula(IF(O402&lt;$C$4,"Put","Call"),O402+$C$14,$C$4,$C$12*SQRT($C$7))-
2*_xll.qlBachelierBlackFormula(IF(O402&lt;$C$4,"Put","Call"),O402,$C$4,$C$12*SQRT($C$7))+
_xll.qlBachelierBlackFormula(IF(O402&lt;$C$4,"Put","Call"),O402-$C$14,$C$4,$C$12*SQRT($C$7)))/$C$14^2,"")</f>
        <v>7.6409477703376361</v>
      </c>
      <c r="V402" s="61" t="str">
        <f>IFERROR(_xll.qlBachelierBlackFormulaImpliedVol(IF(O402&lt;$C$4,"Put","Call"),O402,$C$4,$C$7,P402),"")</f>
        <v/>
      </c>
      <c r="W402" s="61">
        <f>IFERROR(_xll.qlBachelierBlackFormulaImpliedVol(IF(O402&lt;$C$4,"Put","Call"),O402,$C$4,$C$7,Q402),"")</f>
        <v>8.2039736111165357E-3</v>
      </c>
      <c r="X402" s="61">
        <f>IFERROR(_xll.qlBachelierBlackFormulaImpliedVol(IF(O402&lt;$C$4,"Put","Call"),O402,$C$4,$C$7,R402),"")</f>
        <v>7.2019999999787905E-3</v>
      </c>
      <c r="Y402" s="96">
        <f>_xll.qlSmileSectionVolatility($C$40,O402+$C$31)</f>
        <v>8.8417764827920867E-3</v>
      </c>
    </row>
    <row r="403" spans="15:25">
      <c r="O403" s="37">
        <f t="shared" si="7"/>
        <v>2.9799999999999872E-2</v>
      </c>
      <c r="P403" s="38" t="str">
        <f>IFERROR(_xll.qlBlackFormula(IF(O403&lt;$C$4,"Put","Call"),O403,$C$4,$C$9*SQRT($C$7)),"")</f>
        <v/>
      </c>
      <c r="Q403" s="39">
        <f>IFERROR(_xll.qlBlackFormula(IF(O403&lt;$C$4,"Put","Call"),O403,$C$4,$C$10*SQRT($C$7),,$C$11),"")</f>
        <v>7.485767239277883E-4</v>
      </c>
      <c r="R403" s="40">
        <f>IFERROR(_xll.qlBachelierBlackFormula(IF(O403&lt;$C$4,"Put","Call"),O403,$C$4,$C$12*SQRT($C$7)),"")</f>
        <v>4.3058716678483103E-4</v>
      </c>
      <c r="S403" s="41" t="str">
        <f>IFERROR((_xll.qlBlackFormula(IF(O403&lt;$C$4,"Put","Call"),O403+$C$14,$C$4,$C$9*SQRT($C$7))-
2*_xll.qlBlackFormula(IF(O403&lt;$C$4,"Put","Call"),O403,$C$4,$C$9*SQRT($C$7))+
_xll.qlBlackFormula(IF(O403&lt;$C$4,"Put","Call"),O403-$C$14,$C$4,$C$9*SQRT($C$7)))/$C$14^2,"")</f>
        <v/>
      </c>
      <c r="T403" s="42">
        <f>IFERROR((_xll.qlBlackFormula(IF(O403&lt;$C$4,"Put","Call"),O403+$C$14,$C$4,$C$10*SQRT($C$7),,$C$11)-
2*_xll.qlBlackFormula(IF(O403&lt;$C$4,"Put","Call"),O403,$C$4,$C$10*SQRT($C$7),,$C$11)+
_xll.qlBlackFormula(IF(O403&lt;$C$4,"Put","Call"),O403-$C$14,$C$4,$C$10*SQRT($C$7),,$C$11))/$C$14^2,"")</f>
        <v>6.749836800601372</v>
      </c>
      <c r="U403" s="43">
        <f>IFERROR((_xll.qlBachelierBlackFormula(IF(O403&lt;$C$4,"Put","Call"),O403+$C$14,$C$4,$C$12*SQRT($C$7))-
2*_xll.qlBachelierBlackFormula(IF(O403&lt;$C$4,"Put","Call"),O403,$C$4,$C$12*SQRT($C$7))+
_xll.qlBachelierBlackFormula(IF(O403&lt;$C$4,"Put","Call"),O403-$C$14,$C$4,$C$12*SQRT($C$7)))/$C$14^2,"")</f>
        <v>7.5683719274327599</v>
      </c>
      <c r="V403" s="61" t="str">
        <f>IFERROR(_xll.qlBachelierBlackFormulaImpliedVol(IF(O403&lt;$C$4,"Put","Call"),O403,$C$4,$C$7,P403),"")</f>
        <v/>
      </c>
      <c r="W403" s="61">
        <f>IFERROR(_xll.qlBachelierBlackFormulaImpliedVol(IF(O403&lt;$C$4,"Put","Call"),O403,$C$4,$C$7,Q403),"")</f>
        <v>8.2078711767005208E-3</v>
      </c>
      <c r="X403" s="61">
        <f>IFERROR(_xll.qlBachelierBlackFormulaImpliedVol(IF(O403&lt;$C$4,"Put","Call"),O403,$C$4,$C$7,R403),"")</f>
        <v>7.2019999999784964E-3</v>
      </c>
      <c r="Y403" s="96">
        <f>_xll.qlSmileSectionVolatility($C$40,O403+$C$31)</f>
        <v>8.8499566191868433E-3</v>
      </c>
    </row>
    <row r="404" spans="15:25">
      <c r="O404" s="37">
        <f t="shared" si="7"/>
        <v>2.9899999999999871E-2</v>
      </c>
      <c r="P404" s="38" t="str">
        <f>IFERROR(_xll.qlBlackFormula(IF(O404&lt;$C$4,"Put","Call"),O404,$C$4,$C$9*SQRT($C$7)),"")</f>
        <v/>
      </c>
      <c r="Q404" s="39">
        <f>IFERROR(_xll.qlBlackFormula(IF(O404&lt;$C$4,"Put","Call"),O404,$C$4,$C$10*SQRT($C$7),,$C$11),"")</f>
        <v>7.4117485161417571E-4</v>
      </c>
      <c r="R404" s="40">
        <f>IFERROR(_xll.qlBachelierBlackFormula(IF(O404&lt;$C$4,"Put","Call"),O404,$C$4,$C$12*SQRT($C$7)),"")</f>
        <v>4.2444656111645775E-4</v>
      </c>
      <c r="S404" s="41" t="str">
        <f>IFERROR((_xll.qlBlackFormula(IF(O404&lt;$C$4,"Put","Call"),O404+$C$14,$C$4,$C$9*SQRT($C$7))-
2*_xll.qlBlackFormula(IF(O404&lt;$C$4,"Put","Call"),O404,$C$4,$C$9*SQRT($C$7))+
_xll.qlBlackFormula(IF(O404&lt;$C$4,"Put","Call"),O404-$C$14,$C$4,$C$9*SQRT($C$7)))/$C$14^2,"")</f>
        <v/>
      </c>
      <c r="T404" s="42">
        <f>IFERROR((_xll.qlBlackFormula(IF(O404&lt;$C$4,"Put","Call"),O404+$C$14,$C$4,$C$10*SQRT($C$7),,$C$11)-
2*_xll.qlBlackFormula(IF(O404&lt;$C$4,"Put","Call"),O404,$C$4,$C$10*SQRT($C$7),,$C$11)+
_xll.qlBlackFormula(IF(O404&lt;$C$4,"Put","Call"),O404-$C$14,$C$4,$C$10*SQRT($C$7),,$C$11))/$C$14^2,"")</f>
        <v>6.6970456957804458</v>
      </c>
      <c r="U404" s="43">
        <f>IFERROR((_xll.qlBachelierBlackFormula(IF(O404&lt;$C$4,"Put","Call"),O404+$C$14,$C$4,$C$12*SQRT($C$7))-
2*_xll.qlBachelierBlackFormula(IF(O404&lt;$C$4,"Put","Call"),O404,$C$4,$C$12*SQRT($C$7))+
_xll.qlBachelierBlackFormula(IF(O404&lt;$C$4,"Put","Call"),O404-$C$14,$C$4,$C$12*SQRT($C$7)))/$C$14^2,"")</f>
        <v>7.4962004919382208</v>
      </c>
      <c r="V404" s="61" t="str">
        <f>IFERROR(_xll.qlBachelierBlackFormulaImpliedVol(IF(O404&lt;$C$4,"Put","Call"),O404,$C$4,$C$7,P404),"")</f>
        <v/>
      </c>
      <c r="W404" s="61">
        <f>IFERROR(_xll.qlBachelierBlackFormulaImpliedVol(IF(O404&lt;$C$4,"Put","Call"),O404,$C$4,$C$7,Q404),"")</f>
        <v>8.2117676090093638E-3</v>
      </c>
      <c r="X404" s="61">
        <f>IFERROR(_xll.qlBachelierBlackFormulaImpliedVol(IF(O404&lt;$C$4,"Put","Call"),O404,$C$4,$C$7,R404),"")</f>
        <v>7.2019999999782822E-3</v>
      </c>
      <c r="Y404" s="96">
        <f>_xll.qlSmileSectionVolatility($C$40,O404+$C$31)</f>
        <v>8.8581439876033036E-3</v>
      </c>
    </row>
    <row r="405" spans="15:25">
      <c r="O405" s="37">
        <f t="shared" si="7"/>
        <v>2.9999999999999871E-2</v>
      </c>
      <c r="P405" s="38" t="str">
        <f>IFERROR(_xll.qlBlackFormula(IF(O405&lt;$C$4,"Put","Call"),O405,$C$4,$C$9*SQRT($C$7)),"")</f>
        <v/>
      </c>
      <c r="Q405" s="39">
        <f>IFERROR(_xll.qlBlackFormula(IF(O405&lt;$C$4,"Put","Call"),O405,$C$4,$C$10*SQRT($C$7),,$C$11),"")</f>
        <v>7.338399500505504E-4</v>
      </c>
      <c r="R405" s="40">
        <f>IFERROR(_xll.qlBachelierBlackFormula(IF(O405&lt;$C$4,"Put","Call"),O405,$C$4,$C$12*SQRT($C$7)),"")</f>
        <v>4.1838091778500456E-4</v>
      </c>
      <c r="S405" s="41" t="str">
        <f>IFERROR((_xll.qlBlackFormula(IF(O405&lt;$C$4,"Put","Call"),O405+$C$14,$C$4,$C$9*SQRT($C$7))-
2*_xll.qlBlackFormula(IF(O405&lt;$C$4,"Put","Call"),O405,$C$4,$C$9*SQRT($C$7))+
_xll.qlBlackFormula(IF(O405&lt;$C$4,"Put","Call"),O405-$C$14,$C$4,$C$9*SQRT($C$7)))/$C$14^2,"")</f>
        <v/>
      </c>
      <c r="T405" s="42">
        <f>IFERROR((_xll.qlBlackFormula(IF(O405&lt;$C$4,"Put","Call"),O405+$C$14,$C$4,$C$10*SQRT($C$7),,$C$11)-
2*_xll.qlBlackFormula(IF(O405&lt;$C$4,"Put","Call"),O405,$C$4,$C$10*SQRT($C$7),,$C$11)+
_xll.qlBlackFormula(IF(O405&lt;$C$4,"Put","Call"),O405-$C$14,$C$4,$C$10*SQRT($C$7),,$C$11))/$C$14^2,"")</f>
        <v>6.6445789842495273</v>
      </c>
      <c r="U405" s="43">
        <f>IFERROR((_xll.qlBachelierBlackFormula(IF(O405&lt;$C$4,"Put","Call"),O405+$C$14,$C$4,$C$12*SQRT($C$7))-
2*_xll.qlBachelierBlackFormula(IF(O405&lt;$C$4,"Put","Call"),O405,$C$4,$C$12*SQRT($C$7))+
_xll.qlBachelierBlackFormula(IF(O405&lt;$C$4,"Put","Call"),O405-$C$14,$C$4,$C$12*SQRT($C$7)))/$C$14^2,"")</f>
        <v>7.4244295607261979</v>
      </c>
      <c r="V405" s="61" t="str">
        <f>IFERROR(_xll.qlBachelierBlackFormulaImpliedVol(IF(O405&lt;$C$4,"Put","Call"),O405,$C$4,$C$7,P405),"")</f>
        <v/>
      </c>
      <c r="W405" s="61">
        <f>IFERROR(_xll.qlBachelierBlackFormulaImpliedVol(IF(O405&lt;$C$4,"Put","Call"),O405,$C$4,$C$7,Q405),"")</f>
        <v>8.2156629095762983E-3</v>
      </c>
      <c r="X405" s="61">
        <f>IFERROR(_xll.qlBachelierBlackFormulaImpliedVol(IF(O405&lt;$C$4,"Put","Call"),O405,$C$4,$C$7,R405),"")</f>
        <v>7.2019999999781573E-3</v>
      </c>
      <c r="Y405" s="96">
        <f>_xll.qlSmileSectionVolatility($C$40,O405+$C$31)</f>
        <v>8.8663385397929496E-3</v>
      </c>
    </row>
    <row r="406" spans="15:25">
      <c r="O406" s="37">
        <f t="shared" si="7"/>
        <v>3.009999999999987E-2</v>
      </c>
      <c r="P406" s="38" t="str">
        <f>IFERROR(_xll.qlBlackFormula(IF(O406&lt;$C$4,"Put","Call"),O406,$C$4,$C$9*SQRT($C$7)),"")</f>
        <v/>
      </c>
      <c r="Q406" s="39">
        <f>IFERROR(_xll.qlBlackFormula(IF(O406&lt;$C$4,"Put","Call"),O406,$C$4,$C$10*SQRT($C$7),,$C$11),"")</f>
        <v>7.2657149451345673E-4</v>
      </c>
      <c r="R406" s="40">
        <f>IFERROR(_xll.qlBachelierBlackFormula(IF(O406&lt;$C$4,"Put","Call"),O406,$C$4,$C$12*SQRT($C$7)),"")</f>
        <v>4.1238951908331451E-4</v>
      </c>
      <c r="S406" s="41" t="str">
        <f>IFERROR((_xll.qlBlackFormula(IF(O406&lt;$C$4,"Put","Call"),O406+$C$14,$C$4,$C$9*SQRT($C$7))-
2*_xll.qlBlackFormula(IF(O406&lt;$C$4,"Put","Call"),O406,$C$4,$C$9*SQRT($C$7))+
_xll.qlBlackFormula(IF(O406&lt;$C$4,"Put","Call"),O406-$C$14,$C$4,$C$9*SQRT($C$7)))/$C$14^2,"")</f>
        <v/>
      </c>
      <c r="T406" s="42">
        <f>IFERROR((_xll.qlBlackFormula(IF(O406&lt;$C$4,"Put","Call"),O406+$C$14,$C$4,$C$10*SQRT($C$7),,$C$11)-
2*_xll.qlBlackFormula(IF(O406&lt;$C$4,"Put","Call"),O406,$C$4,$C$10*SQRT($C$7),,$C$11)+
_xll.qlBlackFormula(IF(O406&lt;$C$4,"Put","Call"),O406-$C$14,$C$4,$C$10*SQRT($C$7),,$C$11))/$C$14^2,"")</f>
        <v>6.5924158493269047</v>
      </c>
      <c r="U406" s="43">
        <f>IFERROR((_xll.qlBachelierBlackFormula(IF(O406&lt;$C$4,"Put","Call"),O406+$C$14,$C$4,$C$12*SQRT($C$7))-
2*_xll.qlBachelierBlackFormula(IF(O406&lt;$C$4,"Put","Call"),O406,$C$4,$C$12*SQRT($C$7))+
_xll.qlBachelierBlackFormula(IF(O406&lt;$C$4,"Put","Call"),O406-$C$14,$C$4,$C$12*SQRT($C$7)))/$C$14^2,"")</f>
        <v>7.3530623864032085</v>
      </c>
      <c r="V406" s="61" t="str">
        <f>IFERROR(_xll.qlBachelierBlackFormulaImpliedVol(IF(O406&lt;$C$4,"Put","Call"),O406,$C$4,$C$7,P406),"")</f>
        <v/>
      </c>
      <c r="W406" s="61">
        <f>IFERROR(_xll.qlBachelierBlackFormulaImpliedVol(IF(O406&lt;$C$4,"Put","Call"),O406,$C$4,$C$7,Q406),"")</f>
        <v>8.2195570799310433E-3</v>
      </c>
      <c r="X406" s="61">
        <f>IFERROR(_xll.qlBachelierBlackFormulaImpliedVol(IF(O406&lt;$C$4,"Put","Call"),O406,$C$4,$C$7,R406),"")</f>
        <v>7.2019999999781287E-3</v>
      </c>
      <c r="Y406" s="96">
        <f>_xll.qlSmileSectionVolatility($C$40,O406+$C$31)</f>
        <v>8.8745402277748877E-3</v>
      </c>
    </row>
    <row r="407" spans="15:25">
      <c r="O407" s="37">
        <f t="shared" si="7"/>
        <v>3.0199999999999869E-2</v>
      </c>
      <c r="P407" s="38" t="str">
        <f>IFERROR(_xll.qlBlackFormula(IF(O407&lt;$C$4,"Put","Call"),O407,$C$4,$C$9*SQRT($C$7)),"")</f>
        <v/>
      </c>
      <c r="Q407" s="39">
        <f>IFERROR(_xll.qlBlackFormula(IF(O407&lt;$C$4,"Put","Call"),O407,$C$4,$C$10*SQRT($C$7),,$C$11),"")</f>
        <v>7.1936896334930632E-4</v>
      </c>
      <c r="R407" s="40">
        <f>IFERROR(_xll.qlBachelierBlackFormula(IF(O407&lt;$C$4,"Put","Call"),O407,$C$4,$C$12*SQRT($C$7)),"")</f>
        <v>4.0647165134042652E-4</v>
      </c>
      <c r="S407" s="41" t="str">
        <f>IFERROR((_xll.qlBlackFormula(IF(O407&lt;$C$4,"Put","Call"),O407+$C$14,$C$4,$C$9*SQRT($C$7))-
2*_xll.qlBlackFormula(IF(O407&lt;$C$4,"Put","Call"),O407,$C$4,$C$9*SQRT($C$7))+
_xll.qlBlackFormula(IF(O407&lt;$C$4,"Put","Call"),O407-$C$14,$C$4,$C$9*SQRT($C$7)))/$C$14^2,"")</f>
        <v/>
      </c>
      <c r="T407" s="42">
        <f>IFERROR((_xll.qlBlackFormula(IF(O407&lt;$C$4,"Put","Call"),O407+$C$14,$C$4,$C$10*SQRT($C$7),,$C$11)-
2*_xll.qlBlackFormula(IF(O407&lt;$C$4,"Put","Call"),O407,$C$4,$C$10*SQRT($C$7),,$C$11)+
_xll.qlBlackFormula(IF(O407&lt;$C$4,"Put","Call"),O407-$C$14,$C$4,$C$10*SQRT($C$7),,$C$11))/$C$14^2,"")</f>
        <v>6.5405406785012943</v>
      </c>
      <c r="U407" s="43">
        <f>IFERROR((_xll.qlBachelierBlackFormula(IF(O407&lt;$C$4,"Put","Call"),O407+$C$14,$C$4,$C$12*SQRT($C$7))-
2*_xll.qlBachelierBlackFormula(IF(O407&lt;$C$4,"Put","Call"),O407,$C$4,$C$12*SQRT($C$7))+
_xll.qlBachelierBlackFormula(IF(O407&lt;$C$4,"Put","Call"),O407-$C$14,$C$4,$C$12*SQRT($C$7)))/$C$14^2,"")</f>
        <v>7.2820998363309908</v>
      </c>
      <c r="V407" s="61" t="str">
        <f>IFERROR(_xll.qlBachelierBlackFormulaImpliedVol(IF(O407&lt;$C$4,"Put","Call"),O407,$C$4,$C$7,P407),"")</f>
        <v/>
      </c>
      <c r="W407" s="61">
        <f>IFERROR(_xll.qlBachelierBlackFormulaImpliedVol(IF(O407&lt;$C$4,"Put","Call"),O407,$C$4,$C$7,Q407),"")</f>
        <v>8.2234501215998138E-3</v>
      </c>
      <c r="X407" s="61">
        <f>IFERROR(_xll.qlBachelierBlackFormulaImpliedVol(IF(O407&lt;$C$4,"Put","Call"),O407,$C$4,$C$7,R407),"")</f>
        <v>7.201999999978192E-3</v>
      </c>
      <c r="Y407" s="96">
        <f>_xll.qlSmileSectionVolatility($C$40,O407+$C$31)</f>
        <v>8.8827490038349624E-3</v>
      </c>
    </row>
    <row r="408" spans="15:25">
      <c r="O408" s="37">
        <f t="shared" si="7"/>
        <v>3.0299999999999869E-2</v>
      </c>
      <c r="P408" s="38" t="str">
        <f>IFERROR(_xll.qlBlackFormula(IF(O408&lt;$C$4,"Put","Call"),O408,$C$4,$C$9*SQRT($C$7)),"")</f>
        <v/>
      </c>
      <c r="Q408" s="39">
        <f>IFERROR(_xll.qlBlackFormula(IF(O408&lt;$C$4,"Put","Call"),O408,$C$4,$C$10*SQRT($C$7),,$C$11),"")</f>
        <v>7.1223183796991635E-4</v>
      </c>
      <c r="R408" s="40">
        <f>IFERROR(_xll.qlBachelierBlackFormula(IF(O408&lt;$C$4,"Put","Call"),O408,$C$4,$C$12*SQRT($C$7)),"")</f>
        <v>4.0062660493754457E-4</v>
      </c>
      <c r="S408" s="41" t="str">
        <f>IFERROR((_xll.qlBlackFormula(IF(O408&lt;$C$4,"Put","Call"),O408+$C$14,$C$4,$C$9*SQRT($C$7))-
2*_xll.qlBlackFormula(IF(O408&lt;$C$4,"Put","Call"),O408,$C$4,$C$9*SQRT($C$7))+
_xll.qlBlackFormula(IF(O408&lt;$C$4,"Put","Call"),O408-$C$14,$C$4,$C$9*SQRT($C$7)))/$C$14^2,"")</f>
        <v/>
      </c>
      <c r="T408" s="42">
        <f>IFERROR((_xll.qlBlackFormula(IF(O408&lt;$C$4,"Put","Call"),O408+$C$14,$C$4,$C$10*SQRT($C$7),,$C$11)-
2*_xll.qlBlackFormula(IF(O408&lt;$C$4,"Put","Call"),O408,$C$4,$C$10*SQRT($C$7),,$C$11)+
_xll.qlBlackFormula(IF(O408&lt;$C$4,"Put","Call"),O408-$C$14,$C$4,$C$10*SQRT($C$7),,$C$11))/$C$14^2,"")</f>
        <v>6.4889951051361194</v>
      </c>
      <c r="U408" s="43">
        <f>IFERROR((_xll.qlBachelierBlackFormula(IF(O408&lt;$C$4,"Put","Call"),O408+$C$14,$C$4,$C$12*SQRT($C$7))-
2*_xll.qlBachelierBlackFormula(IF(O408&lt;$C$4,"Put","Call"),O408,$C$4,$C$12*SQRT($C$7))+
_xll.qlBachelierBlackFormula(IF(O408&lt;$C$4,"Put","Call"),O408-$C$14,$C$4,$C$12*SQRT($C$7)))/$C$14^2,"")</f>
        <v>7.2115453799564966</v>
      </c>
      <c r="V408" s="61" t="str">
        <f>IFERROR(_xll.qlBachelierBlackFormulaImpliedVol(IF(O408&lt;$C$4,"Put","Call"),O408,$C$4,$C$7,P408),"")</f>
        <v/>
      </c>
      <c r="W408" s="61">
        <f>IFERROR(_xll.qlBachelierBlackFormulaImpliedVol(IF(O408&lt;$C$4,"Put","Call"),O408,$C$4,$C$7,Q408),"")</f>
        <v>8.2273420361053048E-3</v>
      </c>
      <c r="X408" s="61">
        <f>IFERROR(_xll.qlBachelierBlackFormulaImpliedVol(IF(O408&lt;$C$4,"Put","Call"),O408,$C$4,$C$7,R408),"")</f>
        <v>7.2019999999783507E-3</v>
      </c>
      <c r="Y408" s="96">
        <f>_xll.qlSmileSectionVolatility($C$40,O408+$C$31)</f>
        <v>8.8909648205249235E-3</v>
      </c>
    </row>
    <row r="409" spans="15:25">
      <c r="O409" s="37">
        <f t="shared" si="7"/>
        <v>3.0399999999999868E-2</v>
      </c>
      <c r="P409" s="38" t="str">
        <f>IFERROR(_xll.qlBlackFormula(IF(O409&lt;$C$4,"Put","Call"),O409,$C$4,$C$9*SQRT($C$7)),"")</f>
        <v/>
      </c>
      <c r="Q409" s="39">
        <f>IFERROR(_xll.qlBlackFormula(IF(O409&lt;$C$4,"Put","Call"),O409,$C$4,$C$10*SQRT($C$7),,$C$11),"")</f>
        <v>7.0515960284789781E-4</v>
      </c>
      <c r="R409" s="40">
        <f>IFERROR(_xll.qlBachelierBlackFormula(IF(O409&lt;$C$4,"Put","Call"),O409,$C$4,$C$12*SQRT($C$7)),"")</f>
        <v>3.9485367432339435E-4</v>
      </c>
      <c r="S409" s="41" t="str">
        <f>IFERROR((_xll.qlBlackFormula(IF(O409&lt;$C$4,"Put","Call"),O409+$C$14,$C$4,$C$9*SQRT($C$7))-
2*_xll.qlBlackFormula(IF(O409&lt;$C$4,"Put","Call"),O409,$C$4,$C$9*SQRT($C$7))+
_xll.qlBlackFormula(IF(O409&lt;$C$4,"Put","Call"),O409-$C$14,$C$4,$C$9*SQRT($C$7)))/$C$14^2,"")</f>
        <v/>
      </c>
      <c r="T409" s="42">
        <f>IFERROR((_xll.qlBlackFormula(IF(O409&lt;$C$4,"Put","Call"),O409+$C$14,$C$4,$C$10*SQRT($C$7),,$C$11)-
2*_xll.qlBlackFormula(IF(O409&lt;$C$4,"Put","Call"),O409,$C$4,$C$10*SQRT($C$7),,$C$11)+
_xll.qlBlackFormula(IF(O409&lt;$C$4,"Put","Call"),O409-$C$14,$C$4,$C$10*SQRT($C$7),,$C$11))/$C$14^2,"")</f>
        <v>6.4377557104644545</v>
      </c>
      <c r="U409" s="43">
        <f>IFERROR((_xll.qlBachelierBlackFormula(IF(O409&lt;$C$4,"Put","Call"),O409+$C$14,$C$4,$C$12*SQRT($C$7))-
2*_xll.qlBachelierBlackFormula(IF(O409&lt;$C$4,"Put","Call"),O409,$C$4,$C$12*SQRT($C$7))+
_xll.qlBachelierBlackFormula(IF(O409&lt;$C$4,"Put","Call"),O409-$C$14,$C$4,$C$12*SQRT($C$7)))/$C$14^2,"")</f>
        <v>7.1413994509605949</v>
      </c>
      <c r="V409" s="61" t="str">
        <f>IFERROR(_xll.qlBachelierBlackFormulaImpliedVol(IF(O409&lt;$C$4,"Put","Call"),O409,$C$4,$C$7,P409),"")</f>
        <v/>
      </c>
      <c r="W409" s="61">
        <f>IFERROR(_xll.qlBachelierBlackFormulaImpliedVol(IF(O409&lt;$C$4,"Put","Call"),O409,$C$4,$C$7,Q409),"")</f>
        <v>8.2312328249667787E-3</v>
      </c>
      <c r="X409" s="61">
        <f>IFERROR(_xll.qlBachelierBlackFormulaImpliedVol(IF(O409&lt;$C$4,"Put","Call"),O409,$C$4,$C$7,R409),"")</f>
        <v>7.2019999999786127E-3</v>
      </c>
      <c r="Y409" s="96">
        <f>_xll.qlSmileSectionVolatility($C$40,O409+$C$31)</f>
        <v>8.8991876306616056E-3</v>
      </c>
    </row>
    <row r="410" spans="15:25">
      <c r="O410" s="37">
        <f t="shared" si="7"/>
        <v>3.0499999999999867E-2</v>
      </c>
      <c r="P410" s="38" t="str">
        <f>IFERROR(_xll.qlBlackFormula(IF(O410&lt;$C$4,"Put","Call"),O410,$C$4,$C$9*SQRT($C$7)),"")</f>
        <v/>
      </c>
      <c r="Q410" s="39">
        <f>IFERROR(_xll.qlBlackFormula(IF(O410&lt;$C$4,"Put","Call"),O410,$C$4,$C$10*SQRT($C$7),,$C$11),"")</f>
        <v>6.9815174551179655E-4</v>
      </c>
      <c r="R410" s="40">
        <f>IFERROR(_xll.qlBachelierBlackFormula(IF(O410&lt;$C$4,"Put","Call"),O410,$C$4,$C$12*SQRT($C$7)),"")</f>
        <v>3.8915215802896017E-4</v>
      </c>
      <c r="S410" s="41" t="str">
        <f>IFERROR((_xll.qlBlackFormula(IF(O410&lt;$C$4,"Put","Call"),O410+$C$14,$C$4,$C$9*SQRT($C$7))-
2*_xll.qlBlackFormula(IF(O410&lt;$C$4,"Put","Call"),O410,$C$4,$C$9*SQRT($C$7))+
_xll.qlBlackFormula(IF(O410&lt;$C$4,"Put","Call"),O410-$C$14,$C$4,$C$9*SQRT($C$7)))/$C$14^2,"")</f>
        <v/>
      </c>
      <c r="T410" s="42">
        <f>IFERROR((_xll.qlBlackFormula(IF(O410&lt;$C$4,"Put","Call"),O410+$C$14,$C$4,$C$10*SQRT($C$7),,$C$11)-
2*_xll.qlBlackFormula(IF(O410&lt;$C$4,"Put","Call"),O410,$C$4,$C$10*SQRT($C$7),,$C$11)+
_xll.qlBlackFormula(IF(O410&lt;$C$4,"Put","Call"),O410-$C$14,$C$4,$C$10*SQRT($C$7),,$C$11))/$C$14^2,"")</f>
        <v>6.3867964736341598</v>
      </c>
      <c r="U410" s="43">
        <f>IFERROR((_xll.qlBachelierBlackFormula(IF(O410&lt;$C$4,"Put","Call"),O410+$C$14,$C$4,$C$12*SQRT($C$7))-
2*_xll.qlBachelierBlackFormula(IF(O410&lt;$C$4,"Put","Call"),O410,$C$4,$C$12*SQRT($C$7))+
_xll.qlBachelierBlackFormula(IF(O410&lt;$C$4,"Put","Call"),O410-$C$14,$C$4,$C$12*SQRT($C$7)))/$C$14^2,"")</f>
        <v>7.0716624830241548</v>
      </c>
      <c r="V410" s="61" t="str">
        <f>IFERROR(_xll.qlBachelierBlackFormulaImpliedVol(IF(O410&lt;$C$4,"Put","Call"),O410,$C$4,$C$7,P410),"")</f>
        <v/>
      </c>
      <c r="W410" s="61">
        <f>IFERROR(_xll.qlBachelierBlackFormulaImpliedVol(IF(O410&lt;$C$4,"Put","Call"),O410,$C$4,$C$7,Q410),"")</f>
        <v>8.2351224897000436E-3</v>
      </c>
      <c r="X410" s="61">
        <f>IFERROR(_xll.qlBachelierBlackFormulaImpliedVol(IF(O410&lt;$C$4,"Put","Call"),O410,$C$4,$C$7,R410),"")</f>
        <v>7.2019999999789813E-3</v>
      </c>
      <c r="Y410" s="96">
        <f>_xll.qlSmileSectionVolatility($C$40,O410+$C$31)</f>
        <v>8.9074173873259759E-3</v>
      </c>
    </row>
    <row r="411" spans="15:25">
      <c r="O411" s="37">
        <f t="shared" si="7"/>
        <v>3.0599999999999867E-2</v>
      </c>
      <c r="P411" s="38" t="str">
        <f>IFERROR(_xll.qlBlackFormula(IF(O411&lt;$C$4,"Put","Call"),O411,$C$4,$C$9*SQRT($C$7)),"")</f>
        <v/>
      </c>
      <c r="Q411" s="39">
        <f>IFERROR(_xll.qlBlackFormula(IF(O411&lt;$C$4,"Put","Call"),O411,$C$4,$C$10*SQRT($C$7),,$C$11),"")</f>
        <v>6.912077565410504E-4</v>
      </c>
      <c r="R411" s="40">
        <f>IFERROR(_xll.qlBachelierBlackFormula(IF(O411&lt;$C$4,"Put","Call"),O411,$C$4,$C$12*SQRT($C$7)),"")</f>
        <v>3.8352135868160455E-4</v>
      </c>
      <c r="S411" s="41" t="str">
        <f>IFERROR((_xll.qlBlackFormula(IF(O411&lt;$C$4,"Put","Call"),O411+$C$14,$C$4,$C$9*SQRT($C$7))-
2*_xll.qlBlackFormula(IF(O411&lt;$C$4,"Put","Call"),O411,$C$4,$C$9*SQRT($C$7))+
_xll.qlBlackFormula(IF(O411&lt;$C$4,"Put","Call"),O411-$C$14,$C$4,$C$9*SQRT($C$7)))/$C$14^2,"")</f>
        <v/>
      </c>
      <c r="T411" s="42">
        <f>IFERROR((_xll.qlBlackFormula(IF(O411&lt;$C$4,"Put","Call"),O411+$C$14,$C$4,$C$10*SQRT($C$7),,$C$11)-
2*_xll.qlBlackFormula(IF(O411&lt;$C$4,"Put","Call"),O411,$C$4,$C$10*SQRT($C$7),,$C$11)+
_xll.qlBlackFormula(IF(O411&lt;$C$4,"Put","Call"),O411-$C$14,$C$4,$C$10*SQRT($C$7),,$C$11))/$C$14^2,"")</f>
        <v>6.3361616300938728</v>
      </c>
      <c r="U411" s="43">
        <f>IFERROR((_xll.qlBachelierBlackFormula(IF(O411&lt;$C$4,"Put","Call"),O411+$C$14,$C$4,$C$12*SQRT($C$7))-
2*_xll.qlBachelierBlackFormula(IF(O411&lt;$C$4,"Put","Call"),O411,$C$4,$C$12*SQRT($C$7))+
_xll.qlBachelierBlackFormula(IF(O411&lt;$C$4,"Put","Call"),O411-$C$14,$C$4,$C$12*SQRT($C$7)))/$C$14^2,"")</f>
        <v>7.0023364277110867</v>
      </c>
      <c r="V411" s="61" t="str">
        <f>IFERROR(_xll.qlBachelierBlackFormulaImpliedVol(IF(O411&lt;$C$4,"Put","Call"),O411,$C$4,$C$7,P411),"")</f>
        <v/>
      </c>
      <c r="W411" s="61">
        <f>IFERROR(_xll.qlBachelierBlackFormulaImpliedVol(IF(O411&lt;$C$4,"Put","Call"),O411,$C$4,$C$7,Q411),"")</f>
        <v>8.2390110318173761E-3</v>
      </c>
      <c r="X411" s="61">
        <f>IFERROR(_xll.qlBachelierBlackFormulaImpliedVol(IF(O411&lt;$C$4,"Put","Call"),O411,$C$4,$C$7,R411),"")</f>
        <v>7.2019999999794592E-3</v>
      </c>
      <c r="Y411" s="96">
        <f>_xll.qlSmileSectionVolatility($C$40,O411+$C$31)</f>
        <v>8.915654043862303E-3</v>
      </c>
    </row>
    <row r="412" spans="15:25">
      <c r="O412" s="37">
        <f t="shared" si="7"/>
        <v>3.0699999999999866E-2</v>
      </c>
      <c r="P412" s="38" t="str">
        <f>IFERROR(_xll.qlBlackFormula(IF(O412&lt;$C$4,"Put","Call"),O412,$C$4,$C$9*SQRT($C$7)),"")</f>
        <v/>
      </c>
      <c r="Q412" s="39">
        <f>IFERROR(_xll.qlBlackFormula(IF(O412&lt;$C$4,"Put","Call"),O412,$C$4,$C$10*SQRT($C$7),,$C$11),"")</f>
        <v>6.8432712956079285E-4</v>
      </c>
      <c r="R412" s="40">
        <f>IFERROR(_xll.qlBachelierBlackFormula(IF(O412&lt;$C$4,"Put","Call"),O412,$C$4,$C$12*SQRT($C$7)),"")</f>
        <v>3.779605830185823E-4</v>
      </c>
      <c r="S412" s="41" t="str">
        <f>IFERROR((_xll.qlBlackFormula(IF(O412&lt;$C$4,"Put","Call"),O412+$C$14,$C$4,$C$9*SQRT($C$7))-
2*_xll.qlBlackFormula(IF(O412&lt;$C$4,"Put","Call"),O412,$C$4,$C$9*SQRT($C$7))+
_xll.qlBlackFormula(IF(O412&lt;$C$4,"Put","Call"),O412-$C$14,$C$4,$C$9*SQRT($C$7)))/$C$14^2,"")</f>
        <v/>
      </c>
      <c r="T412" s="42">
        <f>IFERROR((_xll.qlBlackFormula(IF(O412&lt;$C$4,"Put","Call"),O412+$C$14,$C$4,$C$10*SQRT($C$7),,$C$11)-
2*_xll.qlBlackFormula(IF(O412&lt;$C$4,"Put","Call"),O412,$C$4,$C$10*SQRT($C$7),,$C$11)+
_xll.qlBlackFormula(IF(O412&lt;$C$4,"Put","Call"),O412-$C$14,$C$4,$C$10*SQRT($C$7),,$C$11))/$C$14^2,"")</f>
        <v>6.2858373020557856</v>
      </c>
      <c r="U412" s="43">
        <f>IFERROR((_xll.qlBachelierBlackFormula(IF(O412&lt;$C$4,"Put","Call"),O412+$C$14,$C$4,$C$12*SQRT($C$7))-
2*_xll.qlBachelierBlackFormula(IF(O412&lt;$C$4,"Put","Call"),O412,$C$4,$C$12*SQRT($C$7))+
_xll.qlBachelierBlackFormula(IF(O412&lt;$C$4,"Put","Call"),O412-$C$14,$C$4,$C$12*SQRT($C$7)))/$C$14^2,"")</f>
        <v>6.9334204176596526</v>
      </c>
      <c r="V412" s="61" t="str">
        <f>IFERROR(_xll.qlBachelierBlackFormulaImpliedVol(IF(O412&lt;$C$4,"Put","Call"),O412,$C$4,$C$7,P412),"")</f>
        <v/>
      </c>
      <c r="W412" s="61">
        <f>IFERROR(_xll.qlBachelierBlackFormulaImpliedVol(IF(O412&lt;$C$4,"Put","Call"),O412,$C$4,$C$7,Q412),"")</f>
        <v>8.2428984528276524E-3</v>
      </c>
      <c r="X412" s="61">
        <f>IFERROR(_xll.qlBachelierBlackFormulaImpliedVol(IF(O412&lt;$C$4,"Put","Call"),O412,$C$4,$C$7,R412),"")</f>
        <v>7.201999999980056E-3</v>
      </c>
      <c r="Y412" s="96">
        <f>_xll.qlSmileSectionVolatility($C$40,O412+$C$31)</f>
        <v>8.9238975538772757E-3</v>
      </c>
    </row>
    <row r="413" spans="15:25">
      <c r="O413" s="37">
        <f t="shared" si="7"/>
        <v>3.0799999999999866E-2</v>
      </c>
      <c r="P413" s="38" t="str">
        <f>IFERROR(_xll.qlBlackFormula(IF(O413&lt;$C$4,"Put","Call"),O413,$C$4,$C$9*SQRT($C$7)),"")</f>
        <v/>
      </c>
      <c r="Q413" s="39">
        <f>IFERROR(_xll.qlBlackFormula(IF(O413&lt;$C$4,"Put","Call"),O413,$C$4,$C$10*SQRT($C$7),,$C$11),"")</f>
        <v>6.7750936123644502E-4</v>
      </c>
      <c r="R413" s="40">
        <f>IFERROR(_xll.qlBachelierBlackFormula(IF(O413&lt;$C$4,"Put","Call"),O413,$C$4,$C$12*SQRT($C$7)),"")</f>
        <v>3.7246914189994996E-4</v>
      </c>
      <c r="S413" s="41" t="str">
        <f>IFERROR((_xll.qlBlackFormula(IF(O413&lt;$C$4,"Put","Call"),O413+$C$14,$C$4,$C$9*SQRT($C$7))-
2*_xll.qlBlackFormula(IF(O413&lt;$C$4,"Put","Call"),O413,$C$4,$C$9*SQRT($C$7))+
_xll.qlBlackFormula(IF(O413&lt;$C$4,"Put","Call"),O413-$C$14,$C$4,$C$9*SQRT($C$7)))/$C$14^2,"")</f>
        <v/>
      </c>
      <c r="T413" s="42">
        <f>IFERROR((_xll.qlBlackFormula(IF(O413&lt;$C$4,"Put","Call"),O413+$C$14,$C$4,$C$10*SQRT($C$7),,$C$11)-
2*_xll.qlBlackFormula(IF(O413&lt;$C$4,"Put","Call"),O413,$C$4,$C$10*SQRT($C$7),,$C$11)+
_xll.qlBlackFormula(IF(O413&lt;$C$4,"Put","Call"),O413-$C$14,$C$4,$C$10*SQRT($C$7),,$C$11))/$C$14^2,"")</f>
        <v>6.2358156832642564</v>
      </c>
      <c r="U413" s="43">
        <f>IFERROR((_xll.qlBachelierBlackFormula(IF(O413&lt;$C$4,"Put","Call"),O413+$C$14,$C$4,$C$12*SQRT($C$7))-
2*_xll.qlBachelierBlackFormula(IF(O413&lt;$C$4,"Put","Call"),O413,$C$4,$C$12*SQRT($C$7))+
_xll.qlBachelierBlackFormula(IF(O413&lt;$C$4,"Put","Call"),O413-$C$14,$C$4,$C$12*SQRT($C$7)))/$C$14^2,"")</f>
        <v>6.8649183559976734</v>
      </c>
      <c r="V413" s="61" t="str">
        <f>IFERROR(_xll.qlBachelierBlackFormulaImpliedVol(IF(O413&lt;$C$4,"Put","Call"),O413,$C$4,$C$7,P413),"")</f>
        <v/>
      </c>
      <c r="W413" s="61">
        <f>IFERROR(_xll.qlBachelierBlackFormulaImpliedVol(IF(O413&lt;$C$4,"Put","Call"),O413,$C$4,$C$7,Q413),"")</f>
        <v>8.2467847542363158E-3</v>
      </c>
      <c r="X413" s="61">
        <f>IFERROR(_xll.qlBachelierBlackFormulaImpliedVol(IF(O413&lt;$C$4,"Put","Call"),O413,$C$4,$C$7,R413),"")</f>
        <v>7.2019999999807481E-3</v>
      </c>
      <c r="Y413" s="96">
        <f>_xll.qlSmileSectionVolatility($C$40,O413+$C$31)</f>
        <v>8.9321478712390458E-3</v>
      </c>
    </row>
    <row r="414" spans="15:25">
      <c r="O414" s="37">
        <f t="shared" si="7"/>
        <v>3.0899999999999865E-2</v>
      </c>
      <c r="P414" s="38" t="str">
        <f>IFERROR(_xll.qlBlackFormula(IF(O414&lt;$C$4,"Put","Call"),O414,$C$4,$C$9*SQRT($C$7)),"")</f>
        <v/>
      </c>
      <c r="Q414" s="39">
        <f>IFERROR(_xll.qlBlackFormula(IF(O414&lt;$C$4,"Put","Call"),O414,$C$4,$C$10*SQRT($C$7),,$C$11),"")</f>
        <v>6.7075395126813507E-4</v>
      </c>
      <c r="R414" s="40">
        <f>IFERROR(_xll.qlBachelierBlackFormula(IF(O414&lt;$C$4,"Put","Call"),O414,$C$4,$C$12*SQRT($C$7)),"")</f>
        <v>3.6704635032087712E-4</v>
      </c>
      <c r="S414" s="41" t="str">
        <f>IFERROR((_xll.qlBlackFormula(IF(O414&lt;$C$4,"Put","Call"),O414+$C$14,$C$4,$C$9*SQRT($C$7))-
2*_xll.qlBlackFormula(IF(O414&lt;$C$4,"Put","Call"),O414,$C$4,$C$9*SQRT($C$7))+
_xll.qlBlackFormula(IF(O414&lt;$C$4,"Put","Call"),O414-$C$14,$C$4,$C$9*SQRT($C$7)))/$C$14^2,"")</f>
        <v/>
      </c>
      <c r="T414" s="42">
        <f>IFERROR((_xll.qlBlackFormula(IF(O414&lt;$C$4,"Put","Call"),O414+$C$14,$C$4,$C$10*SQRT($C$7),,$C$11)-
2*_xll.qlBlackFormula(IF(O414&lt;$C$4,"Put","Call"),O414,$C$4,$C$10*SQRT($C$7),,$C$11)+
_xll.qlBlackFormula(IF(O414&lt;$C$4,"Put","Call"),O414-$C$14,$C$4,$C$10*SQRT($C$7),,$C$11))/$C$14^2,"")</f>
        <v>6.1860907021871192</v>
      </c>
      <c r="U414" s="43">
        <f>IFERROR((_xll.qlBachelierBlackFormula(IF(O414&lt;$C$4,"Put","Call"),O414+$C$14,$C$4,$C$12*SQRT($C$7))-
2*_xll.qlBachelierBlackFormula(IF(O414&lt;$C$4,"Put","Call"),O414,$C$4,$C$12*SQRT($C$7))+
_xll.qlBachelierBlackFormula(IF(O414&lt;$C$4,"Put","Call"),O414-$C$14,$C$4,$C$12*SQRT($C$7)))/$C$14^2,"")</f>
        <v>6.7968321942890597</v>
      </c>
      <c r="V414" s="61" t="str">
        <f>IFERROR(_xll.qlBachelierBlackFormulaImpliedVol(IF(O414&lt;$C$4,"Put","Call"),O414,$C$4,$C$7,P414),"")</f>
        <v/>
      </c>
      <c r="W414" s="61">
        <f>IFERROR(_xll.qlBachelierBlackFormulaImpliedVol(IF(O414&lt;$C$4,"Put","Call"),O414,$C$4,$C$7,Q414),"")</f>
        <v>8.2506699375453942E-3</v>
      </c>
      <c r="X414" s="61">
        <f>IFERROR(_xll.qlBachelierBlackFormulaImpliedVol(IF(O414&lt;$C$4,"Put","Call"),O414,$C$4,$C$7,R414),"")</f>
        <v>7.2019999999815582E-3</v>
      </c>
      <c r="Y414" s="96">
        <f>_xll.qlSmileSectionVolatility($C$40,O414+$C$31)</f>
        <v>8.940404950076369E-3</v>
      </c>
    </row>
    <row r="415" spans="15:25">
      <c r="O415" s="37">
        <f t="shared" si="7"/>
        <v>3.0999999999999864E-2</v>
      </c>
      <c r="P415" s="38" t="str">
        <f>IFERROR(_xll.qlBlackFormula(IF(O415&lt;$C$4,"Put","Call"),O415,$C$4,$C$9*SQRT($C$7)),"")</f>
        <v/>
      </c>
      <c r="Q415" s="39">
        <f>IFERROR(_xll.qlBlackFormula(IF(O415&lt;$C$4,"Put","Call"),O415,$C$4,$C$10*SQRT($C$7),,$C$11),"")</f>
        <v>6.640604023849233E-4</v>
      </c>
      <c r="R415" s="40">
        <f>IFERROR(_xll.qlBachelierBlackFormula(IF(O415&lt;$C$4,"Put","Call"),O415,$C$4,$C$12*SQRT($C$7)),"")</f>
        <v>3.6169152742334993E-4</v>
      </c>
      <c r="S415" s="41" t="str">
        <f>IFERROR((_xll.qlBlackFormula(IF(O415&lt;$C$4,"Put","Call"),O415+$C$14,$C$4,$C$9*SQRT($C$7))-
2*_xll.qlBlackFormula(IF(O415&lt;$C$4,"Put","Call"),O415,$C$4,$C$9*SQRT($C$7))+
_xll.qlBlackFormula(IF(O415&lt;$C$4,"Put","Call"),O415-$C$14,$C$4,$C$9*SQRT($C$7)))/$C$14^2,"")</f>
        <v/>
      </c>
      <c r="T415" s="42">
        <f>IFERROR((_xll.qlBlackFormula(IF(O415&lt;$C$4,"Put","Call"),O415+$C$14,$C$4,$C$10*SQRT($C$7),,$C$11)-
2*_xll.qlBlackFormula(IF(O415&lt;$C$4,"Put","Call"),O415,$C$4,$C$10*SQRT($C$7),,$C$11)+
_xll.qlBlackFormula(IF(O415&lt;$C$4,"Put","Call"),O415-$C$14,$C$4,$C$10*SQRT($C$7),,$C$11))/$C$14^2,"")</f>
        <v>6.1366510831217802</v>
      </c>
      <c r="U415" s="43">
        <f>IFERROR((_xll.qlBachelierBlackFormula(IF(O415&lt;$C$4,"Put","Call"),O415+$C$14,$C$4,$C$12*SQRT($C$7))-
2*_xll.qlBachelierBlackFormula(IF(O415&lt;$C$4,"Put","Call"),O415,$C$4,$C$12*SQRT($C$7))+
_xll.qlBachelierBlackFormula(IF(O415&lt;$C$4,"Put","Call"),O415-$C$14,$C$4,$C$12*SQRT($C$7)))/$C$14^2,"")</f>
        <v>6.7291621493742459</v>
      </c>
      <c r="V415" s="61" t="str">
        <f>IFERROR(_xll.qlBachelierBlackFormulaImpliedVol(IF(O415&lt;$C$4,"Put","Call"),O415,$C$4,$C$7,P415),"")</f>
        <v/>
      </c>
      <c r="W415" s="61">
        <f>IFERROR(_xll.qlBachelierBlackFormulaImpliedVol(IF(O415&lt;$C$4,"Put","Call"),O415,$C$4,$C$7,Q415),"")</f>
        <v>8.2545540042535063E-3</v>
      </c>
      <c r="X415" s="61">
        <f>IFERROR(_xll.qlBachelierBlackFormulaImpliedVol(IF(O415&lt;$C$4,"Put","Call"),O415,$C$4,$C$7,R415),"")</f>
        <v>7.2019999999824794E-3</v>
      </c>
      <c r="Y415" s="96">
        <f>_xll.qlSmileSectionVolatility($C$40,O415+$C$31)</f>
        <v>8.948668744777644E-3</v>
      </c>
    </row>
    <row r="416" spans="15:25">
      <c r="O416" s="37">
        <f t="shared" si="7"/>
        <v>3.1099999999999864E-2</v>
      </c>
      <c r="P416" s="38" t="str">
        <f>IFERROR(_xll.qlBlackFormula(IF(O416&lt;$C$4,"Put","Call"),O416,$C$4,$C$9*SQRT($C$7)),"")</f>
        <v/>
      </c>
      <c r="Q416" s="39">
        <f>IFERROR(_xll.qlBlackFormula(IF(O416&lt;$C$4,"Put","Call"),O416,$C$4,$C$10*SQRT($C$7),,$C$11),"")</f>
        <v>6.5742822033885637E-4</v>
      </c>
      <c r="R416" s="40">
        <f>IFERROR(_xll.qlBachelierBlackFormula(IF(O416&lt;$C$4,"Put","Call"),O416,$C$4,$C$12*SQRT($C$7)),"")</f>
        <v>3.5640399650729111E-4</v>
      </c>
      <c r="S416" s="41" t="str">
        <f>IFERROR((_xll.qlBlackFormula(IF(O416&lt;$C$4,"Put","Call"),O416+$C$14,$C$4,$C$9*SQRT($C$7))-
2*_xll.qlBlackFormula(IF(O416&lt;$C$4,"Put","Call"),O416,$C$4,$C$9*SQRT($C$7))+
_xll.qlBlackFormula(IF(O416&lt;$C$4,"Put","Call"),O416-$C$14,$C$4,$C$9*SQRT($C$7)))/$C$14^2,"")</f>
        <v/>
      </c>
      <c r="T416" s="42">
        <f>IFERROR((_xll.qlBlackFormula(IF(O416&lt;$C$4,"Put","Call"),O416+$C$14,$C$4,$C$10*SQRT($C$7),,$C$11)-
2*_xll.qlBlackFormula(IF(O416&lt;$C$4,"Put","Call"),O416,$C$4,$C$10*SQRT($C$7),,$C$11)+
_xll.qlBlackFormula(IF(O416&lt;$C$4,"Put","Call"),O416-$C$14,$C$4,$C$10*SQRT($C$7),,$C$11))/$C$14^2,"")</f>
        <v>6.087528051090807</v>
      </c>
      <c r="U416" s="43">
        <f>IFERROR((_xll.qlBachelierBlackFormula(IF(O416&lt;$C$4,"Put","Call"),O416+$C$14,$C$4,$C$12*SQRT($C$7))-
2*_xll.qlBachelierBlackFormula(IF(O416&lt;$C$4,"Put","Call"),O416,$C$4,$C$12*SQRT($C$7))+
_xll.qlBachelierBlackFormula(IF(O416&lt;$C$4,"Put","Call"),O416-$C$14,$C$4,$C$12*SQRT($C$7)))/$C$14^2,"")</f>
        <v>6.6619119075406186</v>
      </c>
      <c r="V416" s="61" t="str">
        <f>IFERROR(_xll.qlBachelierBlackFormulaImpliedVol(IF(O416&lt;$C$4,"Put","Call"),O416,$C$4,$C$7,P416),"")</f>
        <v/>
      </c>
      <c r="W416" s="61">
        <f>IFERROR(_xll.qlBachelierBlackFormulaImpliedVol(IF(O416&lt;$C$4,"Put","Call"),O416,$C$4,$C$7,Q416),"")</f>
        <v>8.2584369558558173E-3</v>
      </c>
      <c r="X416" s="61">
        <f>IFERROR(_xll.qlBachelierBlackFormulaImpliedVol(IF(O416&lt;$C$4,"Put","Call"),O416,$C$4,$C$7,R416),"")</f>
        <v>7.2019999999835141E-3</v>
      </c>
      <c r="Y416" s="96">
        <f>_xll.qlSmileSectionVolatility($C$40,O416+$C$31)</f>
        <v>8.9569392099900277E-3</v>
      </c>
    </row>
    <row r="417" spans="15:25">
      <c r="O417" s="37">
        <f t="shared" si="7"/>
        <v>3.1199999999999863E-2</v>
      </c>
      <c r="P417" s="38" t="str">
        <f>IFERROR(_xll.qlBlackFormula(IF(O417&lt;$C$4,"Put","Call"),O417,$C$4,$C$9*SQRT($C$7)),"")</f>
        <v/>
      </c>
      <c r="Q417" s="39">
        <f>IFERROR(_xll.qlBlackFormula(IF(O417&lt;$C$4,"Put","Call"),O417,$C$4,$C$10*SQRT($C$7),,$C$11),"")</f>
        <v>6.5085691389888366E-4</v>
      </c>
      <c r="R417" s="40">
        <f>IFERROR(_xll.qlBachelierBlackFormula(IF(O417&lt;$C$4,"Put","Call"),O417,$C$4,$C$12*SQRT($C$7)),"")</f>
        <v>3.5118308504109106E-4</v>
      </c>
      <c r="S417" s="41" t="str">
        <f>IFERROR((_xll.qlBlackFormula(IF(O417&lt;$C$4,"Put","Call"),O417+$C$14,$C$4,$C$9*SQRT($C$7))-
2*_xll.qlBlackFormula(IF(O417&lt;$C$4,"Put","Call"),O417,$C$4,$C$9*SQRT($C$7))+
_xll.qlBlackFormula(IF(O417&lt;$C$4,"Put","Call"),O417-$C$14,$C$4,$C$9*SQRT($C$7)))/$C$14^2,"")</f>
        <v/>
      </c>
      <c r="T417" s="42">
        <f>IFERROR((_xll.qlBlackFormula(IF(O417&lt;$C$4,"Put","Call"),O417+$C$14,$C$4,$C$10*SQRT($C$7),,$C$11)-
2*_xll.qlBlackFormula(IF(O417&lt;$C$4,"Put","Call"),O417,$C$4,$C$10*SQRT($C$7),,$C$11)+
_xll.qlBlackFormula(IF(O417&lt;$C$4,"Put","Call"),O417-$C$14,$C$4,$C$10*SQRT($C$7),,$C$11))/$C$14^2,"")</f>
        <v>6.0387164019237716</v>
      </c>
      <c r="U417" s="43">
        <f>IFERROR((_xll.qlBachelierBlackFormula(IF(O417&lt;$C$4,"Put","Call"),O417+$C$14,$C$4,$C$12*SQRT($C$7))-
2*_xll.qlBachelierBlackFormula(IF(O417&lt;$C$4,"Put","Call"),O417,$C$4,$C$12*SQRT($C$7))+
_xll.qlBachelierBlackFormula(IF(O417&lt;$C$4,"Put","Call"),O417-$C$14,$C$4,$C$12*SQRT($C$7)))/$C$14^2,"")</f>
        <v>6.5950723614899287</v>
      </c>
      <c r="V417" s="61" t="str">
        <f>IFERROR(_xll.qlBachelierBlackFormulaImpliedVol(IF(O417&lt;$C$4,"Put","Call"),O417,$C$4,$C$7,P417),"")</f>
        <v/>
      </c>
      <c r="W417" s="61">
        <f>IFERROR(_xll.qlBachelierBlackFormulaImpliedVol(IF(O417&lt;$C$4,"Put","Call"),O417,$C$4,$C$7,Q417),"")</f>
        <v>8.2623187938441409E-3</v>
      </c>
      <c r="X417" s="61">
        <f>IFERROR(_xll.qlBachelierBlackFormulaImpliedVol(IF(O417&lt;$C$4,"Put","Call"),O417,$C$4,$C$7,R417),"")</f>
        <v>7.2019999999846599E-3</v>
      </c>
      <c r="Y417" s="96">
        <f>_xll.qlSmileSectionVolatility($C$40,O417+$C$31)</f>
        <v>8.9652163006184431E-3</v>
      </c>
    </row>
    <row r="418" spans="15:25">
      <c r="O418" s="37">
        <f t="shared" si="7"/>
        <v>3.1299999999999863E-2</v>
      </c>
      <c r="P418" s="38" t="str">
        <f>IFERROR(_xll.qlBlackFormula(IF(O418&lt;$C$4,"Put","Call"),O418,$C$4,$C$9*SQRT($C$7)),"")</f>
        <v/>
      </c>
      <c r="Q418" s="39">
        <f>IFERROR(_xll.qlBlackFormula(IF(O418&lt;$C$4,"Put","Call"),O418,$C$4,$C$10*SQRT($C$7),,$C$11),"")</f>
        <v>6.4434599484455585E-4</v>
      </c>
      <c r="R418" s="40">
        <f>IFERROR(_xll.qlBachelierBlackFormula(IF(O418&lt;$C$4,"Put","Call"),O418,$C$4,$C$12*SQRT($C$7)),"")</f>
        <v>3.4602812467153955E-4</v>
      </c>
      <c r="S418" s="41" t="str">
        <f>IFERROR((_xll.qlBlackFormula(IF(O418&lt;$C$4,"Put","Call"),O418+$C$14,$C$4,$C$9*SQRT($C$7))-
2*_xll.qlBlackFormula(IF(O418&lt;$C$4,"Put","Call"),O418,$C$4,$C$9*SQRT($C$7))+
_xll.qlBlackFormula(IF(O418&lt;$C$4,"Put","Call"),O418-$C$14,$C$4,$C$9*SQRT($C$7)))/$C$14^2,"")</f>
        <v/>
      </c>
      <c r="T418" s="42">
        <f>IFERROR((_xll.qlBlackFormula(IF(O418&lt;$C$4,"Put","Call"),O418+$C$14,$C$4,$C$10*SQRT($C$7),,$C$11)-
2*_xll.qlBlackFormula(IF(O418&lt;$C$4,"Put","Call"),O418,$C$4,$C$10*SQRT($C$7),,$C$11)+
_xll.qlBlackFormula(IF(O418&lt;$C$4,"Put","Call"),O418-$C$14,$C$4,$C$10*SQRT($C$7),,$C$11))/$C$14^2,"")</f>
        <v>5.9901909821302723</v>
      </c>
      <c r="U418" s="43">
        <f>IFERROR((_xll.qlBachelierBlackFormula(IF(O418&lt;$C$4,"Put","Call"),O418+$C$14,$C$4,$C$12*SQRT($C$7))-
2*_xll.qlBachelierBlackFormula(IF(O418&lt;$C$4,"Put","Call"),O418,$C$4,$C$12*SQRT($C$7))+
_xll.qlBachelierBlackFormula(IF(O418&lt;$C$4,"Put","Call"),O418-$C$14,$C$4,$C$12*SQRT($C$7)))/$C$14^2,"")</f>
        <v>6.5286604247760671</v>
      </c>
      <c r="V418" s="61" t="str">
        <f>IFERROR(_xll.qlBachelierBlackFormulaImpliedVol(IF(O418&lt;$C$4,"Put","Call"),O418,$C$4,$C$7,P418),"")</f>
        <v/>
      </c>
      <c r="W418" s="61">
        <f>IFERROR(_xll.qlBachelierBlackFormulaImpliedVol(IF(O418&lt;$C$4,"Put","Call"),O418,$C$4,$C$7,Q418),"")</f>
        <v>8.2661995197069373E-3</v>
      </c>
      <c r="X418" s="61">
        <f>IFERROR(_xll.qlBachelierBlackFormulaImpliedVol(IF(O418&lt;$C$4,"Put","Call"),O418,$C$4,$C$7,R418),"")</f>
        <v>7.2019999999859228E-3</v>
      </c>
      <c r="Y418" s="96">
        <f>_xll.qlSmileSectionVolatility($C$40,O418+$C$31)</f>
        <v>8.9734999718246878E-3</v>
      </c>
    </row>
    <row r="419" spans="15:25">
      <c r="O419" s="37">
        <f t="shared" si="7"/>
        <v>3.1399999999999866E-2</v>
      </c>
      <c r="P419" s="38" t="str">
        <f>IFERROR(_xll.qlBlackFormula(IF(O419&lt;$C$4,"Put","Call"),O419,$C$4,$C$9*SQRT($C$7)),"")</f>
        <v/>
      </c>
      <c r="Q419" s="39">
        <f>IFERROR(_xll.qlBlackFormula(IF(O419&lt;$C$4,"Put","Call"),O419,$C$4,$C$10*SQRT($C$7),,$C$11),"")</f>
        <v>6.3789497795957266E-4</v>
      </c>
      <c r="R419" s="40">
        <f>IFERROR(_xll.qlBachelierBlackFormula(IF(O419&lt;$C$4,"Put","Call"),O419,$C$4,$C$12*SQRT($C$7)),"")</f>
        <v>3.4093845123320493E-4</v>
      </c>
      <c r="S419" s="41" t="str">
        <f>IFERROR((_xll.qlBlackFormula(IF(O419&lt;$C$4,"Put","Call"),O419+$C$14,$C$4,$C$9*SQRT($C$7))-
2*_xll.qlBlackFormula(IF(O419&lt;$C$4,"Put","Call"),O419,$C$4,$C$9*SQRT($C$7))+
_xll.qlBlackFormula(IF(O419&lt;$C$4,"Put","Call"),O419-$C$14,$C$4,$C$9*SQRT($C$7)))/$C$14^2,"")</f>
        <v/>
      </c>
      <c r="T419" s="42">
        <f>IFERROR((_xll.qlBlackFormula(IF(O419&lt;$C$4,"Put","Call"),O419+$C$14,$C$4,$C$10*SQRT($C$7),,$C$11)-
2*_xll.qlBlackFormula(IF(O419&lt;$C$4,"Put","Call"),O419,$C$4,$C$10*SQRT($C$7),,$C$11)+
_xll.qlBlackFormula(IF(O419&lt;$C$4,"Put","Call"),O419-$C$14,$C$4,$C$10*SQRT($C$7),,$C$11))/$C$14^2,"")</f>
        <v>5.941974343115497</v>
      </c>
      <c r="U419" s="43">
        <f>IFERROR((_xll.qlBachelierBlackFormula(IF(O419&lt;$C$4,"Put","Call"),O419+$C$14,$C$4,$C$12*SQRT($C$7))-
2*_xll.qlBachelierBlackFormula(IF(O419&lt;$C$4,"Put","Call"),O419,$C$4,$C$12*SQRT($C$7))+
_xll.qlBachelierBlackFormula(IF(O419&lt;$C$4,"Put","Call"),O419-$C$14,$C$4,$C$12*SQRT($C$7)))/$C$14^2,"")</f>
        <v>6.462660918568619</v>
      </c>
      <c r="V419" s="61" t="str">
        <f>IFERROR(_xll.qlBachelierBlackFormulaImpliedVol(IF(O419&lt;$C$4,"Put","Call"),O419,$C$4,$C$7,P419),"")</f>
        <v/>
      </c>
      <c r="W419" s="61">
        <f>IFERROR(_xll.qlBachelierBlackFormulaImpliedVol(IF(O419&lt;$C$4,"Put","Call"),O419,$C$4,$C$7,Q419),"")</f>
        <v>8.270079134929241E-3</v>
      </c>
      <c r="X419" s="61">
        <f>IFERROR(_xll.qlBachelierBlackFormulaImpliedVol(IF(O419&lt;$C$4,"Put","Call"),O419,$C$4,$C$7,R419),"")</f>
        <v>7.2019999999872932E-3</v>
      </c>
      <c r="Y419" s="96">
        <f>_xll.qlSmileSectionVolatility($C$40,O419+$C$31)</f>
        <v>8.9817901790264672E-3</v>
      </c>
    </row>
    <row r="420" spans="15:25">
      <c r="O420" s="37">
        <f t="shared" si="7"/>
        <v>3.1499999999999868E-2</v>
      </c>
      <c r="P420" s="38" t="str">
        <f>IFERROR(_xll.qlBlackFormula(IF(O420&lt;$C$4,"Put","Call"),O420,$C$4,$C$9*SQRT($C$7)),"")</f>
        <v/>
      </c>
      <c r="Q420" s="39">
        <f>IFERROR(_xll.qlBlackFormula(IF(O420&lt;$C$4,"Put","Call"),O420,$C$4,$C$10*SQRT($C$7),,$C$11),"")</f>
        <v>6.3150338102517609E-4</v>
      </c>
      <c r="R420" s="40">
        <f>IFERROR(_xll.qlBachelierBlackFormula(IF(O420&lt;$C$4,"Put","Call"),O420,$C$4,$C$12*SQRT($C$7)),"")</f>
        <v>3.3591340475720645E-4</v>
      </c>
      <c r="S420" s="41" t="str">
        <f>IFERROR((_xll.qlBlackFormula(IF(O420&lt;$C$4,"Put","Call"),O420+$C$14,$C$4,$C$9*SQRT($C$7))-
2*_xll.qlBlackFormula(IF(O420&lt;$C$4,"Put","Call"),O420,$C$4,$C$9*SQRT($C$7))+
_xll.qlBlackFormula(IF(O420&lt;$C$4,"Put","Call"),O420-$C$14,$C$4,$C$9*SQRT($C$7)))/$C$14^2,"")</f>
        <v/>
      </c>
      <c r="T420" s="42">
        <f>IFERROR((_xll.qlBlackFormula(IF(O420&lt;$C$4,"Put","Call"),O420+$C$14,$C$4,$C$10*SQRT($C$7),,$C$11)-
2*_xll.qlBlackFormula(IF(O420&lt;$C$4,"Put","Call"),O420,$C$4,$C$10*SQRT($C$7),,$C$11)+
_xll.qlBlackFormula(IF(O420&lt;$C$4,"Put","Call"),O420-$C$14,$C$4,$C$10*SQRT($C$7),,$C$11))/$C$14^2,"")</f>
        <v>5.8940526070916377</v>
      </c>
      <c r="U420" s="43">
        <f>IFERROR((_xll.qlBachelierBlackFormula(IF(O420&lt;$C$4,"Put","Call"),O420+$C$14,$C$4,$C$12*SQRT($C$7))-
2*_xll.qlBachelierBlackFormula(IF(O420&lt;$C$4,"Put","Call"),O420,$C$4,$C$12*SQRT($C$7))+
_xll.qlBachelierBlackFormula(IF(O420&lt;$C$4,"Put","Call"),O420-$C$14,$C$4,$C$12*SQRT($C$7)))/$C$14^2,"")</f>
        <v>6.3970849017297438</v>
      </c>
      <c r="V420" s="61" t="str">
        <f>IFERROR(_xll.qlBachelierBlackFormulaImpliedVol(IF(O420&lt;$C$4,"Put","Call"),O420,$C$4,$C$7,P420),"")</f>
        <v/>
      </c>
      <c r="W420" s="61">
        <f>IFERROR(_xll.qlBachelierBlackFormulaImpliedVol(IF(O420&lt;$C$4,"Put","Call"),O420,$C$4,$C$7,Q420),"")</f>
        <v>8.2739576409927591E-3</v>
      </c>
      <c r="X420" s="61">
        <f>IFERROR(_xll.qlBachelierBlackFormulaImpliedVol(IF(O420&lt;$C$4,"Put","Call"),O420,$C$4,$C$7,R420),"")</f>
        <v>7.2019999999887929E-3</v>
      </c>
      <c r="Y420" s="96">
        <f>_xll.qlSmileSectionVolatility($C$40,O420+$C$31)</f>
        <v>8.9900868778963854E-3</v>
      </c>
    </row>
    <row r="421" spans="15:25">
      <c r="O421" s="37">
        <f t="shared" si="7"/>
        <v>3.1599999999999871E-2</v>
      </c>
      <c r="P421" s="38" t="str">
        <f>IFERROR(_xll.qlBlackFormula(IF(O421&lt;$C$4,"Put","Call"),O421,$C$4,$C$9*SQRT($C$7)),"")</f>
        <v/>
      </c>
      <c r="Q421" s="39">
        <f>IFERROR(_xll.qlBlackFormula(IF(O421&lt;$C$4,"Put","Call"),O421,$C$4,$C$10*SQRT($C$7),,$C$11),"")</f>
        <v>6.2517072481338941E-4</v>
      </c>
      <c r="R421" s="40">
        <f>IFERROR(_xll.qlBachelierBlackFormula(IF(O421&lt;$C$4,"Put","Call"),O421,$C$4,$C$12*SQRT($C$7)),"")</f>
        <v>3.3095232947943313E-4</v>
      </c>
      <c r="S421" s="41" t="str">
        <f>IFERROR((_xll.qlBlackFormula(IF(O421&lt;$C$4,"Put","Call"),O421+$C$14,$C$4,$C$9*SQRT($C$7))-
2*_xll.qlBlackFormula(IF(O421&lt;$C$4,"Put","Call"),O421,$C$4,$C$9*SQRT($C$7))+
_xll.qlBlackFormula(IF(O421&lt;$C$4,"Put","Call"),O421-$C$14,$C$4,$C$9*SQRT($C$7)))/$C$14^2,"")</f>
        <v/>
      </c>
      <c r="T421" s="42">
        <f>IFERROR((_xll.qlBlackFormula(IF(O421&lt;$C$4,"Put","Call"),O421+$C$14,$C$4,$C$10*SQRT($C$7),,$C$11)-
2*_xll.qlBlackFormula(IF(O421&lt;$C$4,"Put","Call"),O421,$C$4,$C$10*SQRT($C$7),,$C$11)+
_xll.qlBlackFormula(IF(O421&lt;$C$4,"Put","Call"),O421-$C$14,$C$4,$C$10*SQRT($C$7),,$C$11))/$C$14^2,"")</f>
        <v>5.8464266414204324</v>
      </c>
      <c r="U421" s="43">
        <f>IFERROR((_xll.qlBachelierBlackFormula(IF(O421&lt;$C$4,"Put","Call"),O421+$C$14,$C$4,$C$12*SQRT($C$7))-
2*_xll.qlBachelierBlackFormula(IF(O421&lt;$C$4,"Put","Call"),O421,$C$4,$C$12*SQRT($C$7))+
_xll.qlBachelierBlackFormula(IF(O421&lt;$C$4,"Put","Call"),O421-$C$14,$C$4,$C$12*SQRT($C$7)))/$C$14^2,"")</f>
        <v>6.3319291216529239</v>
      </c>
      <c r="V421" s="61" t="str">
        <f>IFERROR(_xll.qlBachelierBlackFormulaImpliedVol(IF(O421&lt;$C$4,"Put","Call"),O421,$C$4,$C$7,P421),"")</f>
        <v/>
      </c>
      <c r="W421" s="61">
        <f>IFERROR(_xll.qlBachelierBlackFormulaImpliedVol(IF(O421&lt;$C$4,"Put","Call"),O421,$C$4,$C$7,Q421),"")</f>
        <v>8.2778350393758453E-3</v>
      </c>
      <c r="X421" s="61">
        <f>IFERROR(_xll.qlBachelierBlackFormulaImpliedVol(IF(O421&lt;$C$4,"Put","Call"),O421,$C$4,$C$7,R421),"")</f>
        <v>7.2019999999903888E-3</v>
      </c>
      <c r="Y421" s="96">
        <f>_xll.qlSmileSectionVolatility($C$40,O421+$C$31)</f>
        <v>8.9983900243610707E-3</v>
      </c>
    </row>
    <row r="422" spans="15:25">
      <c r="O422" s="37">
        <f t="shared" si="7"/>
        <v>3.1699999999999874E-2</v>
      </c>
      <c r="P422" s="38" t="str">
        <f>IFERROR(_xll.qlBlackFormula(IF(O422&lt;$C$4,"Put","Call"),O422,$C$4,$C$9*SQRT($C$7)),"")</f>
        <v/>
      </c>
      <c r="Q422" s="39">
        <f>IFERROR(_xll.qlBlackFormula(IF(O422&lt;$C$4,"Put","Call"),O422,$C$4,$C$10*SQRT($C$7),,$C$11),"")</f>
        <v>6.1889653308006779E-4</v>
      </c>
      <c r="R422" s="40">
        <f>IFERROR(_xll.qlBachelierBlackFormula(IF(O422&lt;$C$4,"Put","Call"),O422,$C$4,$C$12*SQRT($C$7)),"")</f>
        <v>3.2605457384819563E-4</v>
      </c>
      <c r="S422" s="41" t="str">
        <f>IFERROR((_xll.qlBlackFormula(IF(O422&lt;$C$4,"Put","Call"),O422+$C$14,$C$4,$C$9*SQRT($C$7))-
2*_xll.qlBlackFormula(IF(O422&lt;$C$4,"Put","Call"),O422,$C$4,$C$9*SQRT($C$7))+
_xll.qlBlackFormula(IF(O422&lt;$C$4,"Put","Call"),O422-$C$14,$C$4,$C$9*SQRT($C$7)))/$C$14^2,"")</f>
        <v/>
      </c>
      <c r="T422" s="42">
        <f>IFERROR((_xll.qlBlackFormula(IF(O422&lt;$C$4,"Put","Call"),O422+$C$14,$C$4,$C$10*SQRT($C$7),,$C$11)-
2*_xll.qlBlackFormula(IF(O422&lt;$C$4,"Put","Call"),O422,$C$4,$C$10*SQRT($C$7),,$C$11)+
_xll.qlBlackFormula(IF(O422&lt;$C$4,"Put","Call"),O422-$C$14,$C$4,$C$10*SQRT($C$7),,$C$11))/$C$14^2,"")</f>
        <v>5.7990860377610254</v>
      </c>
      <c r="U422" s="43">
        <f>IFERROR((_xll.qlBachelierBlackFormula(IF(O422&lt;$C$4,"Put","Call"),O422+$C$14,$C$4,$C$12*SQRT($C$7))-
2*_xll.qlBachelierBlackFormula(IF(O422&lt;$C$4,"Put","Call"),O422,$C$4,$C$12*SQRT($C$7))+
_xll.qlBachelierBlackFormula(IF(O422&lt;$C$4,"Put","Call"),O422-$C$14,$C$4,$C$12*SQRT($C$7)))/$C$14^2,"")</f>
        <v>6.2671957467425043</v>
      </c>
      <c r="V422" s="61" t="str">
        <f>IFERROR(_xll.qlBachelierBlackFormulaImpliedVol(IF(O422&lt;$C$4,"Put","Call"),O422,$C$4,$C$7,P422),"")</f>
        <v/>
      </c>
      <c r="W422" s="61">
        <f>IFERROR(_xll.qlBachelierBlackFormulaImpliedVol(IF(O422&lt;$C$4,"Put","Call"),O422,$C$4,$C$7,Q422),"")</f>
        <v>8.281711331553537E-3</v>
      </c>
      <c r="X422" s="61">
        <f>IFERROR(_xll.qlBachelierBlackFormulaImpliedVol(IF(O422&lt;$C$4,"Put","Call"),O422,$C$4,$C$7,R422),"")</f>
        <v>7.2019999999920932E-3</v>
      </c>
      <c r="Y422" s="96">
        <f>_xll.qlSmileSectionVolatility($C$40,O422+$C$31)</f>
        <v>9.006699574600114E-3</v>
      </c>
    </row>
    <row r="423" spans="15:25">
      <c r="O423" s="37">
        <f t="shared" si="7"/>
        <v>3.1799999999999877E-2</v>
      </c>
      <c r="P423" s="38" t="str">
        <f>IFERROR(_xll.qlBlackFormula(IF(O423&lt;$C$4,"Put","Call"),O423,$C$4,$C$9*SQRT($C$7)),"")</f>
        <v/>
      </c>
      <c r="Q423" s="39">
        <f>IFERROR(_xll.qlBlackFormula(IF(O423&lt;$C$4,"Put","Call"),O423,$C$4,$C$10*SQRT($C$7),,$C$11),"")</f>
        <v>6.1268033255780681E-4</v>
      </c>
      <c r="R423" s="40">
        <f>IFERROR(_xll.qlBachelierBlackFormula(IF(O423&lt;$C$4,"Put","Call"),O423,$C$4,$C$12*SQRT($C$7)),"")</f>
        <v>3.2121949053130544E-4</v>
      </c>
      <c r="S423" s="41" t="str">
        <f>IFERROR((_xll.qlBlackFormula(IF(O423&lt;$C$4,"Put","Call"),O423+$C$14,$C$4,$C$9*SQRT($C$7))-
2*_xll.qlBlackFormula(IF(O423&lt;$C$4,"Put","Call"),O423,$C$4,$C$9*SQRT($C$7))+
_xll.qlBlackFormula(IF(O423&lt;$C$4,"Put","Call"),O423-$C$14,$C$4,$C$9*SQRT($C$7)))/$C$14^2,"")</f>
        <v/>
      </c>
      <c r="T423" s="42">
        <f>IFERROR((_xll.qlBlackFormula(IF(O423&lt;$C$4,"Put","Call"),O423+$C$14,$C$4,$C$10*SQRT($C$7),,$C$11)-
2*_xll.qlBlackFormula(IF(O423&lt;$C$4,"Put","Call"),O423,$C$4,$C$10*SQRT($C$7),,$C$11)+
_xll.qlBlackFormula(IF(O423&lt;$C$4,"Put","Call"),O423-$C$14,$C$4,$C$10*SQRT($C$7),,$C$11))/$C$14^2,"")</f>
        <v>5.752067225306412</v>
      </c>
      <c r="U423" s="43">
        <f>IFERROR((_xll.qlBachelierBlackFormula(IF(O423&lt;$C$4,"Put","Call"),O423+$C$14,$C$4,$C$12*SQRT($C$7))-
2*_xll.qlBachelierBlackFormula(IF(O423&lt;$C$4,"Put","Call"),O423,$C$4,$C$12*SQRT($C$7))+
_xll.qlBachelierBlackFormula(IF(O423&lt;$C$4,"Put","Call"),O423-$C$14,$C$4,$C$12*SQRT($C$7)))/$C$14^2,"")</f>
        <v>6.2028849938389197</v>
      </c>
      <c r="V423" s="61" t="str">
        <f>IFERROR(_xll.qlBachelierBlackFormulaImpliedVol(IF(O423&lt;$C$4,"Put","Call"),O423,$C$4,$C$7,P423),"")</f>
        <v/>
      </c>
      <c r="W423" s="61">
        <f>IFERROR(_xll.qlBachelierBlackFormulaImpliedVol(IF(O423&lt;$C$4,"Put","Call"),O423,$C$4,$C$7,Q423),"")</f>
        <v>8.2855865189974762E-3</v>
      </c>
      <c r="X423" s="61">
        <f>IFERROR(_xll.qlBachelierBlackFormulaImpliedVol(IF(O423&lt;$C$4,"Put","Call"),O423,$C$4,$C$7,R423),"")</f>
        <v>7.2019999999939077E-3</v>
      </c>
      <c r="Y423" s="96">
        <f>_xll.qlSmileSectionVolatility($C$40,O423+$C$31)</f>
        <v>9.0150154850451424E-3</v>
      </c>
    </row>
    <row r="424" spans="15:25">
      <c r="O424" s="37">
        <f t="shared" si="7"/>
        <v>3.189999999999988E-2</v>
      </c>
      <c r="P424" s="38" t="str">
        <f>IFERROR(_xll.qlBlackFormula(IF(O424&lt;$C$4,"Put","Call"),O424,$C$4,$C$9*SQRT($C$7)),"")</f>
        <v/>
      </c>
      <c r="Q424" s="39">
        <f>IFERROR(_xll.qlBlackFormula(IF(O424&lt;$C$4,"Put","Call"),O424,$C$4,$C$10*SQRT($C$7),,$C$11),"")</f>
        <v>6.065216529487329E-4</v>
      </c>
      <c r="R424" s="40">
        <f>IFERROR(_xll.qlBachelierBlackFormula(IF(O424&lt;$C$4,"Put","Call"),O424,$C$4,$C$12*SQRT($C$7)),"")</f>
        <v>3.1644643642260743E-4</v>
      </c>
      <c r="S424" s="41" t="str">
        <f>IFERROR((_xll.qlBlackFormula(IF(O424&lt;$C$4,"Put","Call"),O424+$C$14,$C$4,$C$9*SQRT($C$7))-
2*_xll.qlBlackFormula(IF(O424&lt;$C$4,"Put","Call"),O424,$C$4,$C$9*SQRT($C$7))+
_xll.qlBlackFormula(IF(O424&lt;$C$4,"Put","Call"),O424-$C$14,$C$4,$C$9*SQRT($C$7)))/$C$14^2,"")</f>
        <v/>
      </c>
      <c r="T424" s="42">
        <f>IFERROR((_xll.qlBlackFormula(IF(O424&lt;$C$4,"Put","Call"),O424+$C$14,$C$4,$C$10*SQRT($C$7),,$C$11)-
2*_xll.qlBlackFormula(IF(O424&lt;$C$4,"Put","Call"),O424,$C$4,$C$10*SQRT($C$7),,$C$11)+
_xll.qlBlackFormula(IF(O424&lt;$C$4,"Put","Call"),O424-$C$14,$C$4,$C$10*SQRT($C$7),,$C$11))/$C$14^2,"")</f>
        <v>5.705323366522741</v>
      </c>
      <c r="U424" s="43">
        <f>IFERROR((_xll.qlBachelierBlackFormula(IF(O424&lt;$C$4,"Put","Call"),O424+$C$14,$C$4,$C$12*SQRT($C$7))-
2*_xll.qlBachelierBlackFormula(IF(O424&lt;$C$4,"Put","Call"),O424,$C$4,$C$12*SQRT($C$7))+
_xll.qlBachelierBlackFormula(IF(O424&lt;$C$4,"Put","Call"),O424-$C$14,$C$4,$C$12*SQRT($C$7)))/$C$14^2,"")</f>
        <v>6.1389983808252113</v>
      </c>
      <c r="V424" s="61" t="str">
        <f>IFERROR(_xll.qlBachelierBlackFormulaImpliedVol(IF(O424&lt;$C$4,"Put","Call"),O424,$C$4,$C$7,P424),"")</f>
        <v/>
      </c>
      <c r="W424" s="61">
        <f>IFERROR(_xll.qlBachelierBlackFormulaImpliedVol(IF(O424&lt;$C$4,"Put","Call"),O424,$C$4,$C$7,Q424),"")</f>
        <v>8.2894606031760909E-3</v>
      </c>
      <c r="X424" s="61">
        <f>IFERROR(_xll.qlBachelierBlackFormulaImpliedVol(IF(O424&lt;$C$4,"Put","Call"),O424,$C$4,$C$7,R424),"")</f>
        <v>7.2019999999958159E-3</v>
      </c>
      <c r="Y424" s="96">
        <f>_xll.qlSmileSectionVolatility($C$40,O424+$C$31)</f>
        <v>9.0233377123787942E-3</v>
      </c>
    </row>
    <row r="425" spans="15:25">
      <c r="O425" s="37">
        <f t="shared" si="7"/>
        <v>3.1999999999999883E-2</v>
      </c>
      <c r="P425" s="38" t="str">
        <f>IFERROR(_xll.qlBlackFormula(IF(O425&lt;$C$4,"Put","Call"),O425,$C$4,$C$9*SQRT($C$7)),"")</f>
        <v/>
      </c>
      <c r="Q425" s="39">
        <f>IFERROR(_xll.qlBlackFormula(IF(O425&lt;$C$4,"Put","Call"),O425,$C$4,$C$10*SQRT($C$7),,$C$11),"")</f>
        <v>6.0042002691708656E-4</v>
      </c>
      <c r="R425" s="40">
        <f>IFERROR(_xll.qlBachelierBlackFormula(IF(O425&lt;$C$4,"Put","Call"),O425,$C$4,$C$12*SQRT($C$7)),"")</f>
        <v>3.117347726479488E-4</v>
      </c>
      <c r="S425" s="41" t="str">
        <f>IFERROR((_xll.qlBlackFormula(IF(O425&lt;$C$4,"Put","Call"),O425+$C$14,$C$4,$C$9*SQRT($C$7))-
2*_xll.qlBlackFormula(IF(O425&lt;$C$4,"Put","Call"),O425,$C$4,$C$9*SQRT($C$7))+
_xll.qlBlackFormula(IF(O425&lt;$C$4,"Put","Call"),O425-$C$14,$C$4,$C$9*SQRT($C$7)))/$C$14^2,"")</f>
        <v/>
      </c>
      <c r="T425" s="42">
        <f>IFERROR((_xll.qlBlackFormula(IF(O425&lt;$C$4,"Put","Call"),O425+$C$14,$C$4,$C$10*SQRT($C$7),,$C$11)-
2*_xll.qlBlackFormula(IF(O425&lt;$C$4,"Put","Call"),O425,$C$4,$C$10*SQRT($C$7),,$C$11)+
_xll.qlBlackFormula(IF(O425&lt;$C$4,"Put","Call"),O425-$C$14,$C$4,$C$10*SQRT($C$7),,$C$11))/$C$14^2,"")</f>
        <v>5.6588900232412698</v>
      </c>
      <c r="U425" s="43">
        <f>IFERROR((_xll.qlBachelierBlackFormula(IF(O425&lt;$C$4,"Put","Call"),O425+$C$14,$C$4,$C$12*SQRT($C$7))-
2*_xll.qlBachelierBlackFormula(IF(O425&lt;$C$4,"Put","Call"),O425,$C$4,$C$12*SQRT($C$7))+
_xll.qlBachelierBlackFormula(IF(O425&lt;$C$4,"Put","Call"),O425-$C$14,$C$4,$C$12*SQRT($C$7)))/$C$14^2,"")</f>
        <v>6.0755361245418138</v>
      </c>
      <c r="V425" s="61" t="str">
        <f>IFERROR(_xll.qlBachelierBlackFormulaImpliedVol(IF(O425&lt;$C$4,"Put","Call"),O425,$C$4,$C$7,P425),"")</f>
        <v/>
      </c>
      <c r="W425" s="61">
        <f>IFERROR(_xll.qlBachelierBlackFormulaImpliedVol(IF(O425&lt;$C$4,"Put","Call"),O425,$C$4,$C$7,Q425),"")</f>
        <v>8.2933335855544243E-3</v>
      </c>
      <c r="X425" s="61">
        <f>IFERROR(_xll.qlBachelierBlackFormulaImpliedVol(IF(O425&lt;$C$4,"Put","Call"),O425,$C$4,$C$7,R425),"")</f>
        <v>7.2019999999978239E-3</v>
      </c>
      <c r="Y425" s="96">
        <f>_xll.qlSmileSectionVolatility($C$40,O425+$C$31)</f>
        <v>9.0316662135337834E-3</v>
      </c>
    </row>
    <row r="426" spans="15:25">
      <c r="O426" s="37">
        <f t="shared" si="7"/>
        <v>3.2099999999999886E-2</v>
      </c>
      <c r="P426" s="38" t="str">
        <f>IFERROR(_xll.qlBlackFormula(IF(O426&lt;$C$4,"Put","Call"),O426,$C$4,$C$9*SQRT($C$7)),"")</f>
        <v/>
      </c>
      <c r="Q426" s="39">
        <f>IFERROR(_xll.qlBlackFormula(IF(O426&lt;$C$4,"Put","Call"),O426,$C$4,$C$10*SQRT($C$7),,$C$11),"")</f>
        <v>5.9437499008168672E-4</v>
      </c>
      <c r="R426" s="40">
        <f>IFERROR(_xll.qlBachelierBlackFormula(IF(O426&lt;$C$4,"Put","Call"),O426,$C$4,$C$12*SQRT($C$7)),"")</f>
        <v>3.0708386457061116E-4</v>
      </c>
      <c r="S426" s="41" t="str">
        <f>IFERROR((_xll.qlBlackFormula(IF(O426&lt;$C$4,"Put","Call"),O426+$C$14,$C$4,$C$9*SQRT($C$7))-
2*_xll.qlBlackFormula(IF(O426&lt;$C$4,"Put","Call"),O426,$C$4,$C$9*SQRT($C$7))+
_xll.qlBlackFormula(IF(O426&lt;$C$4,"Put","Call"),O426-$C$14,$C$4,$C$9*SQRT($C$7)))/$C$14^2,"")</f>
        <v/>
      </c>
      <c r="T426" s="42">
        <f>IFERROR((_xll.qlBlackFormula(IF(O426&lt;$C$4,"Put","Call"),O426+$C$14,$C$4,$C$10*SQRT($C$7),,$C$11)-
2*_xll.qlBlackFormula(IF(O426&lt;$C$4,"Put","Call"),O426,$C$4,$C$10*SQRT($C$7),,$C$11)+
_xll.qlBlackFormula(IF(O426&lt;$C$4,"Put","Call"),O426-$C$14,$C$4,$C$10*SQRT($C$7),,$C$11))/$C$14^2,"")</f>
        <v>5.6127524503124526</v>
      </c>
      <c r="U426" s="43">
        <f>IFERROR((_xll.qlBachelierBlackFormula(IF(O426&lt;$C$4,"Put","Call"),O426+$C$14,$C$4,$C$12*SQRT($C$7))-
2*_xll.qlBachelierBlackFormula(IF(O426&lt;$C$4,"Put","Call"),O426,$C$4,$C$12*SQRT($C$7))+
_xll.qlBachelierBlackFormula(IF(O426&lt;$C$4,"Put","Call"),O426-$C$14,$C$4,$C$12*SQRT($C$7)))/$C$14^2,"")</f>
        <v>6.0124936713396027</v>
      </c>
      <c r="V426" s="61" t="str">
        <f>IFERROR(_xll.qlBachelierBlackFormulaImpliedVol(IF(O426&lt;$C$4,"Put","Call"),O426,$C$4,$C$7,P426),"")</f>
        <v/>
      </c>
      <c r="W426" s="61">
        <f>IFERROR(_xll.qlBachelierBlackFormulaImpliedVol(IF(O426&lt;$C$4,"Put","Call"),O426,$C$4,$C$7,Q426),"")</f>
        <v>8.2972054675942292E-3</v>
      </c>
      <c r="X426" s="61">
        <f>IFERROR(_xll.qlBachelierBlackFormulaImpliedVol(IF(O426&lt;$C$4,"Put","Call"),O426,$C$4,$C$7,R426),"")</f>
        <v>7.2019999999999341E-3</v>
      </c>
      <c r="Y426" s="96">
        <f>_xll.qlSmileSectionVolatility($C$40,O426+$C$31)</f>
        <v>9.0400009456918454E-3</v>
      </c>
    </row>
    <row r="427" spans="15:25">
      <c r="O427" s="37">
        <f t="shared" si="7"/>
        <v>3.2199999999999888E-2</v>
      </c>
      <c r="P427" s="38" t="str">
        <f>IFERROR(_xll.qlBlackFormula(IF(O427&lt;$C$4,"Put","Call"),O427,$C$4,$C$9*SQRT($C$7)),"")</f>
        <v/>
      </c>
      <c r="Q427" s="39">
        <f>IFERROR(_xll.qlBlackFormula(IF(O427&lt;$C$4,"Put","Call"),O427,$C$4,$C$10*SQRT($C$7),,$C$11),"")</f>
        <v>5.883860810082962E-4</v>
      </c>
      <c r="R427" s="40">
        <f>IFERROR(_xll.qlBachelierBlackFormula(IF(O427&lt;$C$4,"Put","Call"),O427,$C$4,$C$12*SQRT($C$7)),"")</f>
        <v>3.0249308179618401E-4</v>
      </c>
      <c r="S427" s="41" t="str">
        <f>IFERROR((_xll.qlBlackFormula(IF(O427&lt;$C$4,"Put","Call"),O427+$C$14,$C$4,$C$9*SQRT($C$7))-
2*_xll.qlBlackFormula(IF(O427&lt;$C$4,"Put","Call"),O427,$C$4,$C$9*SQRT($C$7))+
_xll.qlBlackFormula(IF(O427&lt;$C$4,"Put","Call"),O427-$C$14,$C$4,$C$9*SQRT($C$7)))/$C$14^2,"")</f>
        <v/>
      </c>
      <c r="T427" s="42">
        <f>IFERROR((_xll.qlBlackFormula(IF(O427&lt;$C$4,"Put","Call"),O427+$C$14,$C$4,$C$10*SQRT($C$7),,$C$11)-
2*_xll.qlBlackFormula(IF(O427&lt;$C$4,"Put","Call"),O427,$C$4,$C$10*SQRT($C$7),,$C$11)+
_xll.qlBlackFormula(IF(O427&lt;$C$4,"Put","Call"),O427-$C$14,$C$4,$C$10*SQRT($C$7),,$C$11))/$C$14^2,"")</f>
        <v>5.5668880963311018</v>
      </c>
      <c r="U427" s="43">
        <f>IFERROR((_xll.qlBachelierBlackFormula(IF(O427&lt;$C$4,"Put","Call"),O427+$C$14,$C$4,$C$12*SQRT($C$7))-
2*_xll.qlBachelierBlackFormula(IF(O427&lt;$C$4,"Put","Call"),O427,$C$4,$C$12*SQRT($C$7))+
_xll.qlBachelierBlackFormula(IF(O427&lt;$C$4,"Put","Call"),O427-$C$14,$C$4,$C$12*SQRT($C$7)))/$C$14^2,"")</f>
        <v>5.9498770927507438</v>
      </c>
      <c r="V427" s="61" t="str">
        <f>IFERROR(_xll.qlBachelierBlackFormulaImpliedVol(IF(O427&lt;$C$4,"Put","Call"),O427,$C$4,$C$7,P427),"")</f>
        <v/>
      </c>
      <c r="W427" s="61">
        <f>IFERROR(_xll.qlBachelierBlackFormulaImpliedVol(IF(O427&lt;$C$4,"Put","Call"),O427,$C$4,$C$7,Q427),"")</f>
        <v>8.3010762507540557E-3</v>
      </c>
      <c r="X427" s="61">
        <f>IFERROR(_xll.qlBachelierBlackFormulaImpliedVol(IF(O427&lt;$C$4,"Put","Call"),O427,$C$4,$C$7,R427),"")</f>
        <v>7.2020000000021346E-3</v>
      </c>
      <c r="Y427" s="96">
        <f>_xll.qlSmileSectionVolatility($C$40,O427+$C$31)</f>
        <v>9.0483418662827345E-3</v>
      </c>
    </row>
    <row r="428" spans="15:25">
      <c r="O428" s="37">
        <f t="shared" si="7"/>
        <v>3.2299999999999891E-2</v>
      </c>
      <c r="P428" s="38" t="str">
        <f>IFERROR(_xll.qlBlackFormula(IF(O428&lt;$C$4,"Put","Call"),O428,$C$4,$C$9*SQRT($C$7)),"")</f>
        <v/>
      </c>
      <c r="Q428" s="39">
        <f>IFERROR(_xll.qlBlackFormula(IF(O428&lt;$C$4,"Put","Call"),O428,$C$4,$C$10*SQRT($C$7),,$C$11),"")</f>
        <v>5.8245284120171572E-4</v>
      </c>
      <c r="R428" s="40">
        <f>IFERROR(_xll.qlBachelierBlackFormula(IF(O428&lt;$C$4,"Put","Call"),O428,$C$4,$C$12*SQRT($C$7)),"")</f>
        <v>2.9796179817691369E-4</v>
      </c>
      <c r="S428" s="41" t="str">
        <f>IFERROR((_xll.qlBlackFormula(IF(O428&lt;$C$4,"Put","Call"),O428+$C$14,$C$4,$C$9*SQRT($C$7))-
2*_xll.qlBlackFormula(IF(O428&lt;$C$4,"Put","Call"),O428,$C$4,$C$9*SQRT($C$7))+
_xll.qlBlackFormula(IF(O428&lt;$C$4,"Put","Call"),O428-$C$14,$C$4,$C$9*SQRT($C$7)))/$C$14^2,"")</f>
        <v/>
      </c>
      <c r="T428" s="42">
        <f>IFERROR((_xll.qlBlackFormula(IF(O428&lt;$C$4,"Put","Call"),O428+$C$14,$C$4,$C$10*SQRT($C$7),,$C$11)-
2*_xll.qlBlackFormula(IF(O428&lt;$C$4,"Put","Call"),O428,$C$4,$C$10*SQRT($C$7),,$C$11)+
_xll.qlBlackFormula(IF(O428&lt;$C$4,"Put","Call"),O428-$C$14,$C$4,$C$10*SQRT($C$7),,$C$11))/$C$14^2,"")</f>
        <v>5.5213455335545447</v>
      </c>
      <c r="U428" s="43">
        <f>IFERROR((_xll.qlBachelierBlackFormula(IF(O428&lt;$C$4,"Put","Call"),O428+$C$14,$C$4,$C$12*SQRT($C$7))-
2*_xll.qlBachelierBlackFormula(IF(O428&lt;$C$4,"Put","Call"),O428,$C$4,$C$12*SQRT($C$7))+
_xll.qlBachelierBlackFormula(IF(O428&lt;$C$4,"Put","Call"),O428-$C$14,$C$4,$C$12*SQRT($C$7)))/$C$14^2,"")</f>
        <v>5.8876915929456652</v>
      </c>
      <c r="V428" s="61" t="str">
        <f>IFERROR(_xll.qlBachelierBlackFormulaImpliedVol(IF(O428&lt;$C$4,"Put","Call"),O428,$C$4,$C$7,P428),"")</f>
        <v/>
      </c>
      <c r="W428" s="61">
        <f>IFERROR(_xll.qlBachelierBlackFormulaImpliedVol(IF(O428&lt;$C$4,"Put","Call"),O428,$C$4,$C$7,Q428),"")</f>
        <v>8.3049459364890228E-3</v>
      </c>
      <c r="X428" s="61">
        <f>IFERROR(_xll.qlBachelierBlackFormulaImpliedVol(IF(O428&lt;$C$4,"Put","Call"),O428,$C$4,$C$7,R428),"")</f>
        <v>7.2020000000044149E-3</v>
      </c>
      <c r="Y428" s="96">
        <f>_xll.qlSmileSectionVolatility($C$40,O428+$C$31)</f>
        <v>9.0566889329832759E-3</v>
      </c>
    </row>
    <row r="429" spans="15:25">
      <c r="O429" s="37">
        <f t="shared" si="7"/>
        <v>3.2399999999999894E-2</v>
      </c>
      <c r="P429" s="38" t="str">
        <f>IFERROR(_xll.qlBlackFormula(IF(O429&lt;$C$4,"Put","Call"),O429,$C$4,$C$9*SQRT($C$7)),"")</f>
        <v/>
      </c>
      <c r="Q429" s="39">
        <f>IFERROR(_xll.qlBlackFormula(IF(O429&lt;$C$4,"Put","Call"),O429,$C$4,$C$10*SQRT($C$7),,$C$11),"")</f>
        <v>5.765748150979343E-4</v>
      </c>
      <c r="R429" s="40">
        <f>IFERROR(_xll.qlBachelierBlackFormula(IF(O429&lt;$C$4,"Put","Call"),O429,$C$4,$C$12*SQRT($C$7)),"")</f>
        <v>2.9348939181551631E-4</v>
      </c>
      <c r="S429" s="41" t="str">
        <f>IFERROR((_xll.qlBlackFormula(IF(O429&lt;$C$4,"Put","Call"),O429+$C$14,$C$4,$C$9*SQRT($C$7))-
2*_xll.qlBlackFormula(IF(O429&lt;$C$4,"Put","Call"),O429,$C$4,$C$9*SQRT($C$7))+
_xll.qlBlackFormula(IF(O429&lt;$C$4,"Put","Call"),O429-$C$14,$C$4,$C$9*SQRT($C$7)))/$C$14^2,"")</f>
        <v/>
      </c>
      <c r="T429" s="42">
        <f>IFERROR((_xll.qlBlackFormula(IF(O429&lt;$C$4,"Put","Call"),O429+$C$14,$C$4,$C$10*SQRT($C$7),,$C$11)-
2*_xll.qlBlackFormula(IF(O429&lt;$C$4,"Put","Call"),O429,$C$4,$C$10*SQRT($C$7),,$C$11)+
_xll.qlBlackFormula(IF(O429&lt;$C$4,"Put","Call"),O429-$C$14,$C$4,$C$10*SQRT($C$7),,$C$11))/$C$14^2,"")</f>
        <v>5.4760805265341439</v>
      </c>
      <c r="U429" s="43">
        <f>IFERROR((_xll.qlBachelierBlackFormula(IF(O429&lt;$C$4,"Put","Call"),O429+$C$14,$C$4,$C$12*SQRT($C$7))-
2*_xll.qlBachelierBlackFormula(IF(O429&lt;$C$4,"Put","Call"),O429,$C$4,$C$12*SQRT($C$7))+
_xll.qlBachelierBlackFormula(IF(O429&lt;$C$4,"Put","Call"),O429-$C$14,$C$4,$C$12*SQRT($C$7)))/$C$14^2,"")</f>
        <v>5.82592719726438</v>
      </c>
      <c r="V429" s="61" t="str">
        <f>IFERROR(_xll.qlBachelierBlackFormulaImpliedVol(IF(O429&lt;$C$4,"Put","Call"),O429,$C$4,$C$7,P429),"")</f>
        <v/>
      </c>
      <c r="W429" s="61">
        <f>IFERROR(_xll.qlBachelierBlackFormulaImpliedVol(IF(O429&lt;$C$4,"Put","Call"),O429,$C$4,$C$7,Q429),"")</f>
        <v>8.3088145262511758E-3</v>
      </c>
      <c r="X429" s="61">
        <f>IFERROR(_xll.qlBachelierBlackFormulaImpliedVol(IF(O429&lt;$C$4,"Put","Call"),O429,$C$4,$C$7,R429),"")</f>
        <v>7.202000000006769E-3</v>
      </c>
      <c r="Y429" s="96">
        <f>_xll.qlSmileSectionVolatility($C$40,O429+$C$31)</f>
        <v>9.065042103716274E-3</v>
      </c>
    </row>
    <row r="430" spans="15:25">
      <c r="O430" s="37">
        <f t="shared" si="7"/>
        <v>3.2499999999999897E-2</v>
      </c>
      <c r="P430" s="38" t="str">
        <f>IFERROR(_xll.qlBlackFormula(IF(O430&lt;$C$4,"Put","Call"),O430,$C$4,$C$9*SQRT($C$7)),"")</f>
        <v/>
      </c>
      <c r="Q430" s="39">
        <f>IFERROR(_xll.qlBlackFormula(IF(O430&lt;$C$4,"Put","Call"),O430,$C$4,$C$10*SQRT($C$7),,$C$11),"")</f>
        <v>5.7075155005593264E-4</v>
      </c>
      <c r="R430" s="40">
        <f>IFERROR(_xll.qlBachelierBlackFormula(IF(O430&lt;$C$4,"Put","Call"),O430,$C$4,$C$12*SQRT($C$7)),"")</f>
        <v>2.8907524506845031E-4</v>
      </c>
      <c r="S430" s="41" t="str">
        <f>IFERROR((_xll.qlBlackFormula(IF(O430&lt;$C$4,"Put","Call"),O430+$C$14,$C$4,$C$9*SQRT($C$7))-
2*_xll.qlBlackFormula(IF(O430&lt;$C$4,"Put","Call"),O430,$C$4,$C$9*SQRT($C$7))+
_xll.qlBlackFormula(IF(O430&lt;$C$4,"Put","Call"),O430-$C$14,$C$4,$C$9*SQRT($C$7)))/$C$14^2,"")</f>
        <v/>
      </c>
      <c r="T430" s="42">
        <f>IFERROR((_xll.qlBlackFormula(IF(O430&lt;$C$4,"Put","Call"),O430+$C$14,$C$4,$C$10*SQRT($C$7),,$C$11)-
2*_xll.qlBlackFormula(IF(O430&lt;$C$4,"Put","Call"),O430,$C$4,$C$10*SQRT($C$7),,$C$11)+
_xll.qlBlackFormula(IF(O430&lt;$C$4,"Put","Call"),O430-$C$14,$C$4,$C$10*SQRT($C$7),,$C$11))/$C$14^2,"")</f>
        <v>5.4311060856959692</v>
      </c>
      <c r="U430" s="43">
        <f>IFERROR((_xll.qlBachelierBlackFormula(IF(O430&lt;$C$4,"Put","Call"),O430+$C$14,$C$4,$C$12*SQRT($C$7))-
2*_xll.qlBachelierBlackFormula(IF(O430&lt;$C$4,"Put","Call"),O430,$C$4,$C$12*SQRT($C$7))+
_xll.qlBachelierBlackFormula(IF(O430&lt;$C$4,"Put","Call"),O430-$C$14,$C$4,$C$12*SQRT($C$7)))/$C$14^2,"")</f>
        <v>5.7645873751538401</v>
      </c>
      <c r="V430" s="61" t="str">
        <f>IFERROR(_xll.qlBachelierBlackFormulaImpliedVol(IF(O430&lt;$C$4,"Put","Call"),O430,$C$4,$C$7,P430),"")</f>
        <v/>
      </c>
      <c r="W430" s="61">
        <f>IFERROR(_xll.qlBachelierBlackFormulaImpliedVol(IF(O430&lt;$C$4,"Put","Call"),O430,$C$4,$C$7,Q430),"")</f>
        <v>8.3126820214891387E-3</v>
      </c>
      <c r="X430" s="61">
        <f>IFERROR(_xll.qlBachelierBlackFormulaImpliedVol(IF(O430&lt;$C$4,"Put","Call"),O430,$C$4,$C$7,R430),"")</f>
        <v>7.2020000000092045E-3</v>
      </c>
      <c r="Y430" s="96">
        <f>_xll.qlSmileSectionVolatility($C$40,O430+$C$31)</f>
        <v>9.0734013366495503E-3</v>
      </c>
    </row>
    <row r="431" spans="15:25">
      <c r="O431" s="37">
        <f t="shared" si="7"/>
        <v>3.25999999999999E-2</v>
      </c>
      <c r="P431" s="38" t="str">
        <f>IFERROR(_xll.qlBlackFormula(IF(O431&lt;$C$4,"Put","Call"),O431,$C$4,$C$9*SQRT($C$7)),"")</f>
        <v/>
      </c>
      <c r="Q431" s="39">
        <f>IFERROR(_xll.qlBlackFormula(IF(O431&lt;$C$4,"Put","Call"),O431,$C$4,$C$10*SQRT($C$7),,$C$11),"")</f>
        <v>5.6498259634952738E-4</v>
      </c>
      <c r="R431" s="40">
        <f>IFERROR(_xll.qlBachelierBlackFormula(IF(O431&lt;$C$4,"Put","Call"),O431,$C$4,$C$12*SQRT($C$7)),"")</f>
        <v>2.8471874454867726E-4</v>
      </c>
      <c r="S431" s="41" t="str">
        <f>IFERROR((_xll.qlBlackFormula(IF(O431&lt;$C$4,"Put","Call"),O431+$C$14,$C$4,$C$9*SQRT($C$7))-
2*_xll.qlBlackFormula(IF(O431&lt;$C$4,"Put","Call"),O431,$C$4,$C$9*SQRT($C$7))+
_xll.qlBlackFormula(IF(O431&lt;$C$4,"Put","Call"),O431-$C$14,$C$4,$C$9*SQRT($C$7)))/$C$14^2,"")</f>
        <v/>
      </c>
      <c r="T431" s="42">
        <f>IFERROR((_xll.qlBlackFormula(IF(O431&lt;$C$4,"Put","Call"),O431+$C$14,$C$4,$C$10*SQRT($C$7),,$C$11)-
2*_xll.qlBlackFormula(IF(O431&lt;$C$4,"Put","Call"),O431,$C$4,$C$10*SQRT($C$7),,$C$11)+
_xll.qlBlackFormula(IF(O431&lt;$C$4,"Put","Call"),O431-$C$14,$C$4,$C$10*SQRT($C$7),,$C$11))/$C$14^2,"")</f>
        <v>5.3864291499339245</v>
      </c>
      <c r="U431" s="43">
        <f>IFERROR((_xll.qlBachelierBlackFormula(IF(O431&lt;$C$4,"Put","Call"),O431+$C$14,$C$4,$C$12*SQRT($C$7))-
2*_xll.qlBachelierBlackFormula(IF(O431&lt;$C$4,"Put","Call"),O431,$C$4,$C$12*SQRT($C$7))+
_xll.qlBachelierBlackFormula(IF(O431&lt;$C$4,"Put","Call"),O431-$C$14,$C$4,$C$12*SQRT($C$7)))/$C$14^2,"")</f>
        <v>5.703674078177956</v>
      </c>
      <c r="V431" s="61" t="str">
        <f>IFERROR(_xll.qlBachelierBlackFormulaImpliedVol(IF(O431&lt;$C$4,"Put","Call"),O431,$C$4,$C$7,P431),"")</f>
        <v/>
      </c>
      <c r="W431" s="61">
        <f>IFERROR(_xll.qlBachelierBlackFormulaImpliedVol(IF(O431&lt;$C$4,"Put","Call"),O431,$C$4,$C$7,Q431),"")</f>
        <v>8.3165484236483837E-3</v>
      </c>
      <c r="X431" s="61">
        <f>IFERROR(_xll.qlBachelierBlackFormulaImpliedVol(IF(O431&lt;$C$4,"Put","Call"),O431,$C$4,$C$7,R431),"")</f>
        <v>7.2020000000117112E-3</v>
      </c>
      <c r="Y431" s="96">
        <f>_xll.qlSmileSectionVolatility($C$40,O431+$C$31)</f>
        <v>9.081766590194891E-3</v>
      </c>
    </row>
    <row r="432" spans="15:25">
      <c r="O432" s="37">
        <f t="shared" si="7"/>
        <v>3.2699999999999903E-2</v>
      </c>
      <c r="P432" s="38" t="str">
        <f>IFERROR(_xll.qlBlackFormula(IF(O432&lt;$C$4,"Put","Call"),O432,$C$4,$C$9*SQRT($C$7)),"")</f>
        <v/>
      </c>
      <c r="Q432" s="39">
        <f>IFERROR(_xll.qlBlackFormula(IF(O432&lt;$C$4,"Put","Call"),O432,$C$4,$C$10*SQRT($C$7),,$C$11),"")</f>
        <v>5.5926750715899233E-4</v>
      </c>
      <c r="R432" s="40">
        <f>IFERROR(_xll.qlBachelierBlackFormula(IF(O432&lt;$C$4,"Put","Call"),O432,$C$4,$C$12*SQRT($C$7)),"")</f>
        <v>2.8041928112790032E-4</v>
      </c>
      <c r="S432" s="41" t="str">
        <f>IFERROR((_xll.qlBlackFormula(IF(O432&lt;$C$4,"Put","Call"),O432+$C$14,$C$4,$C$9*SQRT($C$7))-
2*_xll.qlBlackFormula(IF(O432&lt;$C$4,"Put","Call"),O432,$C$4,$C$9*SQRT($C$7))+
_xll.qlBlackFormula(IF(O432&lt;$C$4,"Put","Call"),O432-$C$14,$C$4,$C$9*SQRT($C$7)))/$C$14^2,"")</f>
        <v/>
      </c>
      <c r="T432" s="42">
        <f>IFERROR((_xll.qlBlackFormula(IF(O432&lt;$C$4,"Put","Call"),O432+$C$14,$C$4,$C$10*SQRT($C$7),,$C$11)-
2*_xll.qlBlackFormula(IF(O432&lt;$C$4,"Put","Call"),O432,$C$4,$C$10*SQRT($C$7),,$C$11)+
_xll.qlBlackFormula(IF(O432&lt;$C$4,"Put","Call"),O432-$C$14,$C$4,$C$10*SQRT($C$7),,$C$11))/$C$14^2,"")</f>
        <v>5.3420280352045602</v>
      </c>
      <c r="U432" s="43">
        <f>IFERROR((_xll.qlBachelierBlackFormula(IF(O432&lt;$C$4,"Put","Call"),O432+$C$14,$C$4,$C$12*SQRT($C$7))-
2*_xll.qlBachelierBlackFormula(IF(O432&lt;$C$4,"Put","Call"),O432,$C$4,$C$12*SQRT($C$7))+
_xll.qlBachelierBlackFormula(IF(O432&lt;$C$4,"Put","Call"),O432-$C$14,$C$4,$C$12*SQRT($C$7)))/$C$14^2,"")</f>
        <v>5.6431875231771622</v>
      </c>
      <c r="V432" s="61" t="str">
        <f>IFERROR(_xll.qlBachelierBlackFormulaImpliedVol(IF(O432&lt;$C$4,"Put","Call"),O432,$C$4,$C$7,P432),"")</f>
        <v/>
      </c>
      <c r="W432" s="61">
        <f>IFERROR(_xll.qlBachelierBlackFormulaImpliedVol(IF(O432&lt;$C$4,"Put","Call"),O432,$C$4,$C$7,Q432),"")</f>
        <v>8.3204137341711532E-3</v>
      </c>
      <c r="X432" s="61">
        <f>IFERROR(_xll.qlBachelierBlackFormulaImpliedVol(IF(O432&lt;$C$4,"Put","Call"),O432,$C$4,$C$7,R432),"")</f>
        <v>7.2020000000142734E-3</v>
      </c>
      <c r="Y432" s="96">
        <f>_xll.qlSmileSectionVolatility($C$40,O432+$C$31)</f>
        <v>9.0901378230070148E-3</v>
      </c>
    </row>
    <row r="433" spans="15:25">
      <c r="O433" s="37">
        <f t="shared" si="7"/>
        <v>3.2799999999999906E-2</v>
      </c>
      <c r="P433" s="38" t="str">
        <f>IFERROR(_xll.qlBlackFormula(IF(O433&lt;$C$4,"Put","Call"),O433,$C$4,$C$9*SQRT($C$7)),"")</f>
        <v/>
      </c>
      <c r="Q433" s="39">
        <f>IFERROR(_xll.qlBlackFormula(IF(O433&lt;$C$4,"Put","Call"),O433,$C$4,$C$10*SQRT($C$7),,$C$11),"")</f>
        <v>5.5360583856254968E-4</v>
      </c>
      <c r="R433" s="40">
        <f>IFERROR(_xll.qlBachelierBlackFormula(IF(O433&lt;$C$4,"Put","Call"),O433,$C$4,$C$12*SQRT($C$7)),"")</f>
        <v>2.7617624993828832E-4</v>
      </c>
      <c r="S433" s="41" t="str">
        <f>IFERROR((_xll.qlBlackFormula(IF(O433&lt;$C$4,"Put","Call"),O433+$C$14,$C$4,$C$9*SQRT($C$7))-
2*_xll.qlBlackFormula(IF(O433&lt;$C$4,"Put","Call"),O433,$C$4,$C$9*SQRT($C$7))+
_xll.qlBlackFormula(IF(O433&lt;$C$4,"Put","Call"),O433-$C$14,$C$4,$C$9*SQRT($C$7)))/$C$14^2,"")</f>
        <v/>
      </c>
      <c r="T433" s="42">
        <f>IFERROR((_xll.qlBlackFormula(IF(O433&lt;$C$4,"Put","Call"),O433+$C$14,$C$4,$C$10*SQRT($C$7),,$C$11)-
2*_xll.qlBlackFormula(IF(O433&lt;$C$4,"Put","Call"),O433,$C$4,$C$10*SQRT($C$7),,$C$11)+
_xll.qlBlackFormula(IF(O433&lt;$C$4,"Put","Call"),O433-$C$14,$C$4,$C$10*SQRT($C$7),,$C$11))/$C$14^2,"")</f>
        <v>5.2979296297217537</v>
      </c>
      <c r="U433" s="43">
        <f>IFERROR((_xll.qlBachelierBlackFormula(IF(O433&lt;$C$4,"Put","Call"),O433+$C$14,$C$4,$C$12*SQRT($C$7))-
2*_xll.qlBachelierBlackFormula(IF(O433&lt;$C$4,"Put","Call"),O433,$C$4,$C$12*SQRT($C$7))+
_xll.qlBachelierBlackFormula(IF(O433&lt;$C$4,"Put","Call"),O433-$C$14,$C$4,$C$12*SQRT($C$7)))/$C$14^2,"")</f>
        <v>5.5831264091088517</v>
      </c>
      <c r="V433" s="61" t="str">
        <f>IFERROR(_xll.qlBachelierBlackFormulaImpliedVol(IF(O433&lt;$C$4,"Put","Call"),O433,$C$4,$C$7,P433),"")</f>
        <v/>
      </c>
      <c r="W433" s="61">
        <f>IFERROR(_xll.qlBachelierBlackFormulaImpliedVol(IF(O433&lt;$C$4,"Put","Call"),O433,$C$4,$C$7,Q433),"")</f>
        <v>8.3242779544964035E-3</v>
      </c>
      <c r="X433" s="61">
        <f>IFERROR(_xll.qlBachelierBlackFormulaImpliedVol(IF(O433&lt;$C$4,"Put","Call"),O433,$C$4,$C$7,R433),"")</f>
        <v>7.2020000000168841E-3</v>
      </c>
      <c r="Y433" s="96">
        <f>_xll.qlSmileSectionVolatility($C$40,O433+$C$31)</f>
        <v>9.0985149939825632E-3</v>
      </c>
    </row>
    <row r="434" spans="15:25">
      <c r="O434" s="37">
        <f t="shared" si="7"/>
        <v>3.2899999999999908E-2</v>
      </c>
      <c r="P434" s="38" t="str">
        <f>IFERROR(_xll.qlBlackFormula(IF(O434&lt;$C$4,"Put","Call"),O434,$C$4,$C$9*SQRT($C$7)),"")</f>
        <v/>
      </c>
      <c r="Q434" s="39">
        <f>IFERROR(_xll.qlBlackFormula(IF(O434&lt;$C$4,"Put","Call"),O434,$C$4,$C$10*SQRT($C$7),,$C$11),"")</f>
        <v>5.4799714952779958E-4</v>
      </c>
      <c r="R434" s="40">
        <f>IFERROR(_xll.qlBachelierBlackFormula(IF(O434&lt;$C$4,"Put","Call"),O434,$C$4,$C$12*SQRT($C$7)),"")</f>
        <v>2.7198905037369246E-4</v>
      </c>
      <c r="S434" s="41" t="str">
        <f>IFERROR((_xll.qlBlackFormula(IF(O434&lt;$C$4,"Put","Call"),O434+$C$14,$C$4,$C$9*SQRT($C$7))-
2*_xll.qlBlackFormula(IF(O434&lt;$C$4,"Put","Call"),O434,$C$4,$C$9*SQRT($C$7))+
_xll.qlBlackFormula(IF(O434&lt;$C$4,"Put","Call"),O434-$C$14,$C$4,$C$9*SQRT($C$7)))/$C$14^2,"")</f>
        <v/>
      </c>
      <c r="T434" s="42">
        <f>IFERROR((_xll.qlBlackFormula(IF(O434&lt;$C$4,"Put","Call"),O434+$C$14,$C$4,$C$10*SQRT($C$7),,$C$11)-
2*_xll.qlBlackFormula(IF(O434&lt;$C$4,"Put","Call"),O434,$C$4,$C$10*SQRT($C$7),,$C$11)+
_xll.qlBlackFormula(IF(O434&lt;$C$4,"Put","Call"),O434-$C$14,$C$4,$C$10*SQRT($C$7),,$C$11))/$C$14^2,"")</f>
        <v>5.2541087799951036</v>
      </c>
      <c r="U434" s="43">
        <f>IFERROR((_xll.qlBachelierBlackFormula(IF(O434&lt;$C$4,"Put","Call"),O434+$C$14,$C$4,$C$12*SQRT($C$7))-
2*_xll.qlBachelierBlackFormula(IF(O434&lt;$C$4,"Put","Call"),O434,$C$4,$C$12*SQRT($C$7))+
_xll.qlBachelierBlackFormula(IF(O434&lt;$C$4,"Put","Call"),O434-$C$14,$C$4,$C$12*SQRT($C$7)))/$C$14^2,"")</f>
        <v>5.5234916033347625</v>
      </c>
      <c r="V434" s="61" t="str">
        <f>IFERROR(_xll.qlBachelierBlackFormulaImpliedVol(IF(O434&lt;$C$4,"Put","Call"),O434,$C$4,$C$7,P434),"")</f>
        <v/>
      </c>
      <c r="W434" s="61">
        <f>IFERROR(_xll.qlBachelierBlackFormulaImpliedVol(IF(O434&lt;$C$4,"Put","Call"),O434,$C$4,$C$7,Q434),"")</f>
        <v>8.3281410860599168E-3</v>
      </c>
      <c r="X434" s="61">
        <f>IFERROR(_xll.qlBachelierBlackFormulaImpliedVol(IF(O434&lt;$C$4,"Put","Call"),O434,$C$4,$C$7,R434),"")</f>
        <v>7.2020000000195556E-3</v>
      </c>
      <c r="Y434" s="96">
        <f>_xll.qlSmileSectionVolatility($C$40,O434+$C$31)</f>
        <v>9.1068980622590681E-3</v>
      </c>
    </row>
    <row r="435" spans="15:25">
      <c r="O435" s="37">
        <f t="shared" si="7"/>
        <v>3.2999999999999911E-2</v>
      </c>
      <c r="P435" s="38" t="str">
        <f>IFERROR(_xll.qlBlackFormula(IF(O435&lt;$C$4,"Put","Call"),O435,$C$4,$C$9*SQRT($C$7)),"")</f>
        <v/>
      </c>
      <c r="Q435" s="39">
        <f>IFERROR(_xll.qlBlackFormula(IF(O435&lt;$C$4,"Put","Call"),O435,$C$4,$C$10*SQRT($C$7),,$C$11),"")</f>
        <v>5.4244100190297285E-4</v>
      </c>
      <c r="R435" s="40">
        <f>IFERROR(_xll.qlBachelierBlackFormula(IF(O435&lt;$C$4,"Put","Call"),O435,$C$4,$C$12*SQRT($C$7)),"")</f>
        <v>2.6785708609035558E-4</v>
      </c>
      <c r="S435" s="41" t="str">
        <f>IFERROR((_xll.qlBlackFormula(IF(O435&lt;$C$4,"Put","Call"),O435+$C$14,$C$4,$C$9*SQRT($C$7))-
2*_xll.qlBlackFormula(IF(O435&lt;$C$4,"Put","Call"),O435,$C$4,$C$9*SQRT($C$7))+
_xll.qlBlackFormula(IF(O435&lt;$C$4,"Put","Call"),O435-$C$14,$C$4,$C$9*SQRT($C$7)))/$C$14^2,"")</f>
        <v/>
      </c>
      <c r="T435" s="42">
        <f>IFERROR((_xll.qlBlackFormula(IF(O435&lt;$C$4,"Put","Call"),O435+$C$14,$C$4,$C$10*SQRT($C$7),,$C$11)-
2*_xll.qlBlackFormula(IF(O435&lt;$C$4,"Put","Call"),O435,$C$4,$C$10*SQRT($C$7),,$C$11)+
_xll.qlBlackFormula(IF(O435&lt;$C$4,"Put","Call"),O435-$C$14,$C$4,$C$10*SQRT($C$7),,$C$11))/$C$14^2,"")</f>
        <v>5.2105941089619634</v>
      </c>
      <c r="U435" s="43">
        <f>IFERROR((_xll.qlBachelierBlackFormula(IF(O435&lt;$C$4,"Put","Call"),O435+$C$14,$C$4,$C$12*SQRT($C$7))-
2*_xll.qlBachelierBlackFormula(IF(O435&lt;$C$4,"Put","Call"),O435,$C$4,$C$12*SQRT($C$7))+
_xll.qlBachelierBlackFormula(IF(O435&lt;$C$4,"Put","Call"),O435-$C$14,$C$4,$C$12*SQRT($C$7)))/$C$14^2,"")</f>
        <v>5.4642835395357636</v>
      </c>
      <c r="V435" s="61" t="str">
        <f>IFERROR(_xll.qlBachelierBlackFormulaImpliedVol(IF(O435&lt;$C$4,"Put","Call"),O435,$C$4,$C$7,P435),"")</f>
        <v/>
      </c>
      <c r="W435" s="61">
        <f>IFERROR(_xll.qlBachelierBlackFormulaImpliedVol(IF(O435&lt;$C$4,"Put","Call"),O435,$C$4,$C$7,Q435),"")</f>
        <v>8.3320031302943093E-3</v>
      </c>
      <c r="X435" s="61">
        <f>IFERROR(_xll.qlBachelierBlackFormulaImpliedVol(IF(O435&lt;$C$4,"Put","Call"),O435,$C$4,$C$7,R435),"")</f>
        <v>7.2020000000222531E-3</v>
      </c>
      <c r="Y435" s="96">
        <f>_xll.qlSmileSectionVolatility($C$40,O435+$C$31)</f>
        <v>9.1152869872138699E-3</v>
      </c>
    </row>
    <row r="436" spans="15:25">
      <c r="O436" s="37">
        <f t="shared" si="7"/>
        <v>3.3099999999999914E-2</v>
      </c>
      <c r="P436" s="38" t="str">
        <f>IFERROR(_xll.qlBlackFormula(IF(O436&lt;$C$4,"Put","Call"),O436,$C$4,$C$9*SQRT($C$7)),"")</f>
        <v/>
      </c>
      <c r="Q436" s="39">
        <f>IFERROR(_xll.qlBlackFormula(IF(O436&lt;$C$4,"Put","Call"),O436,$C$4,$C$10*SQRT($C$7),,$C$11),"")</f>
        <v>5.3693696040806472E-4</v>
      </c>
      <c r="R436" s="40">
        <f>IFERROR(_xll.qlBachelierBlackFormula(IF(O436&lt;$C$4,"Put","Call"),O436,$C$4,$C$12*SQRT($C$7)),"")</f>
        <v>2.6377976500713187E-4</v>
      </c>
      <c r="S436" s="41" t="str">
        <f>IFERROR((_xll.qlBlackFormula(IF(O436&lt;$C$4,"Put","Call"),O436+$C$14,$C$4,$C$9*SQRT($C$7))-
2*_xll.qlBlackFormula(IF(O436&lt;$C$4,"Put","Call"),O436,$C$4,$C$9*SQRT($C$7))+
_xll.qlBlackFormula(IF(O436&lt;$C$4,"Put","Call"),O436-$C$14,$C$4,$C$9*SQRT($C$7)))/$C$14^2,"")</f>
        <v/>
      </c>
      <c r="T436" s="42">
        <f>IFERROR((_xll.qlBlackFormula(IF(O436&lt;$C$4,"Put","Call"),O436+$C$14,$C$4,$C$10*SQRT($C$7),,$C$11)-
2*_xll.qlBlackFormula(IF(O436&lt;$C$4,"Put","Call"),O436,$C$4,$C$10*SQRT($C$7),,$C$11)+
_xll.qlBlackFormula(IF(O436&lt;$C$4,"Put","Call"),O436-$C$14,$C$4,$C$10*SQRT($C$7),,$C$11))/$C$14^2,"")</f>
        <v>5.1673552589615035</v>
      </c>
      <c r="U436" s="43">
        <f>IFERROR((_xll.qlBachelierBlackFormula(IF(O436&lt;$C$4,"Put","Call"),O436+$C$14,$C$4,$C$12*SQRT($C$7))-
2*_xll.qlBachelierBlackFormula(IF(O436&lt;$C$4,"Put","Call"),O436,$C$4,$C$12*SQRT($C$7))+
_xll.qlBachelierBlackFormula(IF(O436&lt;$C$4,"Put","Call"),O436-$C$14,$C$4,$C$12*SQRT($C$7)))/$C$14^2,"")</f>
        <v>5.405503518754462</v>
      </c>
      <c r="V436" s="61" t="str">
        <f>IFERROR(_xll.qlBachelierBlackFormulaImpliedVol(IF(O436&lt;$C$4,"Put","Call"),O436,$C$4,$C$7,P436),"")</f>
        <v/>
      </c>
      <c r="W436" s="61">
        <f>IFERROR(_xll.qlBachelierBlackFormulaImpliedVol(IF(O436&lt;$C$4,"Put","Call"),O436,$C$4,$C$7,Q436),"")</f>
        <v>8.3358640886289082E-3</v>
      </c>
      <c r="X436" s="61">
        <f>IFERROR(_xll.qlBachelierBlackFormulaImpliedVol(IF(O436&lt;$C$4,"Put","Call"),O436,$C$4,$C$7,R436),"")</f>
        <v>7.2020000000249784E-3</v>
      </c>
      <c r="Y436" s="96">
        <f>_xll.qlSmileSectionVolatility($C$40,O436+$C$31)</f>
        <v>9.1236817284631091E-3</v>
      </c>
    </row>
    <row r="437" spans="15:25">
      <c r="O437" s="37">
        <f t="shared" si="7"/>
        <v>3.3199999999999917E-2</v>
      </c>
      <c r="P437" s="38" t="str">
        <f>IFERROR(_xll.qlBlackFormula(IF(O437&lt;$C$4,"Put","Call"),O437,$C$4,$C$9*SQRT($C$7)),"")</f>
        <v/>
      </c>
      <c r="Q437" s="39">
        <f>IFERROR(_xll.qlBlackFormula(IF(O437&lt;$C$4,"Put","Call"),O437,$C$4,$C$10*SQRT($C$7),,$C$11),"")</f>
        <v>5.3148459262589761E-4</v>
      </c>
      <c r="R437" s="40">
        <f>IFERROR(_xll.qlBachelierBlackFormula(IF(O437&lt;$C$4,"Put","Call"),O437,$C$4,$C$12*SQRT($C$7)),"")</f>
        <v>2.5975649930520643E-4</v>
      </c>
      <c r="S437" s="41" t="str">
        <f>IFERROR((_xll.qlBlackFormula(IF(O437&lt;$C$4,"Put","Call"),O437+$C$14,$C$4,$C$9*SQRT($C$7))-
2*_xll.qlBlackFormula(IF(O437&lt;$C$4,"Put","Call"),O437,$C$4,$C$9*SQRT($C$7))+
_xll.qlBlackFormula(IF(O437&lt;$C$4,"Put","Call"),O437-$C$14,$C$4,$C$9*SQRT($C$7)))/$C$14^2,"")</f>
        <v/>
      </c>
      <c r="T437" s="42">
        <f>IFERROR((_xll.qlBlackFormula(IF(O437&lt;$C$4,"Put","Call"),O437+$C$14,$C$4,$C$10*SQRT($C$7),,$C$11)-
2*_xll.qlBlackFormula(IF(O437&lt;$C$4,"Put","Call"),O437,$C$4,$C$10*SQRT($C$7),,$C$11)+
_xll.qlBlackFormula(IF(O437&lt;$C$4,"Put","Call"),O437-$C$14,$C$4,$C$10*SQRT($C$7),,$C$11))/$C$14^2,"")</f>
        <v>5.1243948320789379</v>
      </c>
      <c r="U437" s="43">
        <f>IFERROR((_xll.qlBachelierBlackFormula(IF(O437&lt;$C$4,"Put","Call"),O437+$C$14,$C$4,$C$12*SQRT($C$7))-
2*_xll.qlBachelierBlackFormula(IF(O437&lt;$C$4,"Put","Call"),O437,$C$4,$C$12*SQRT($C$7))+
_xll.qlBachelierBlackFormula(IF(O437&lt;$C$4,"Put","Call"),O437-$C$14,$C$4,$C$12*SQRT($C$7)))/$C$14^2,"")</f>
        <v>5.3471469873417332</v>
      </c>
      <c r="V437" s="61" t="str">
        <f>IFERROR(_xll.qlBachelierBlackFormulaImpliedVol(IF(O437&lt;$C$4,"Put","Call"),O437,$C$4,$C$7,P437),"")</f>
        <v/>
      </c>
      <c r="W437" s="61">
        <f>IFERROR(_xll.qlBachelierBlackFormulaImpliedVol(IF(O437&lt;$C$4,"Put","Call"),O437,$C$4,$C$7,Q437),"")</f>
        <v>8.3397239624899543E-3</v>
      </c>
      <c r="X437" s="61">
        <f>IFERROR(_xll.qlBachelierBlackFormulaImpliedVol(IF(O437&lt;$C$4,"Put","Call"),O437,$C$4,$C$7,R437),"")</f>
        <v>7.2020000000277374E-3</v>
      </c>
      <c r="Y437" s="96">
        <f>_xll.qlSmileSectionVolatility($C$40,O437+$C$31)</f>
        <v>9.1320822458606649E-3</v>
      </c>
    </row>
    <row r="438" spans="15:25">
      <c r="O438" s="37">
        <f t="shared" si="7"/>
        <v>3.329999999999992E-2</v>
      </c>
      <c r="P438" s="38" t="str">
        <f>IFERROR(_xll.qlBlackFormula(IF(O438&lt;$C$4,"Put","Call"),O438,$C$4,$C$9*SQRT($C$7)),"")</f>
        <v/>
      </c>
      <c r="Q438" s="39">
        <f>IFERROR(_xll.qlBlackFormula(IF(O438&lt;$C$4,"Put","Call"),O438,$C$4,$C$10*SQRT($C$7),,$C$11),"")</f>
        <v>5.2608346899300166E-4</v>
      </c>
      <c r="R438" s="40">
        <f>IFERROR(_xll.qlBachelierBlackFormula(IF(O438&lt;$C$4,"Put","Call"),O438,$C$4,$C$12*SQRT($C$7)),"")</f>
        <v>2.5578670542733008E-4</v>
      </c>
      <c r="S438" s="41" t="str">
        <f>IFERROR((_xll.qlBlackFormula(IF(O438&lt;$C$4,"Put","Call"),O438+$C$14,$C$4,$C$9*SQRT($C$7))-
2*_xll.qlBlackFormula(IF(O438&lt;$C$4,"Put","Call"),O438,$C$4,$C$9*SQRT($C$7))+
_xll.qlBlackFormula(IF(O438&lt;$C$4,"Put","Call"),O438-$C$14,$C$4,$C$9*SQRT($C$7)))/$C$14^2,"")</f>
        <v/>
      </c>
      <c r="T438" s="42">
        <f>IFERROR((_xll.qlBlackFormula(IF(O438&lt;$C$4,"Put","Call"),O438+$C$14,$C$4,$C$10*SQRT($C$7),,$C$11)-
2*_xll.qlBlackFormula(IF(O438&lt;$C$4,"Put","Call"),O438,$C$4,$C$10*SQRT($C$7),,$C$11)+
_xll.qlBlackFormula(IF(O438&lt;$C$4,"Put","Call"),O438-$C$14,$C$4,$C$10*SQRT($C$7),,$C$11))/$C$14^2,"")</f>
        <v>5.0817319102725023</v>
      </c>
      <c r="U438" s="43">
        <f>IFERROR((_xll.qlBachelierBlackFormula(IF(O438&lt;$C$4,"Put","Call"),O438+$C$14,$C$4,$C$12*SQRT($C$7))-
2*_xll.qlBachelierBlackFormula(IF(O438&lt;$C$4,"Put","Call"),O438,$C$4,$C$12*SQRT($C$7))+
_xll.qlBachelierBlackFormula(IF(O438&lt;$C$4,"Put","Call"),O438-$C$14,$C$4,$C$12*SQRT($C$7)))/$C$14^2,"")</f>
        <v>5.2892152463401843</v>
      </c>
      <c r="V438" s="61" t="str">
        <f>IFERROR(_xll.qlBachelierBlackFormulaImpliedVol(IF(O438&lt;$C$4,"Put","Call"),O438,$C$4,$C$7,P438),"")</f>
        <v/>
      </c>
      <c r="W438" s="61">
        <f>IFERROR(_xll.qlBachelierBlackFormulaImpliedVol(IF(O438&lt;$C$4,"Put","Call"),O438,$C$4,$C$7,Q438),"")</f>
        <v>8.3435827533004554E-3</v>
      </c>
      <c r="X438" s="61">
        <f>IFERROR(_xll.qlBachelierBlackFormulaImpliedVol(IF(O438&lt;$C$4,"Put","Call"),O438,$C$4,$C$7,R438),"")</f>
        <v>7.2020000000305043E-3</v>
      </c>
      <c r="Y438" s="96">
        <f>_xll.qlSmileSectionVolatility($C$40,O438+$C$31)</f>
        <v>9.1404884994971229E-3</v>
      </c>
    </row>
    <row r="439" spans="15:25">
      <c r="O439" s="37">
        <f t="shared" si="7"/>
        <v>3.3399999999999923E-2</v>
      </c>
      <c r="P439" s="38" t="str">
        <f>IFERROR(_xll.qlBlackFormula(IF(O439&lt;$C$4,"Put","Call"),O439,$C$4,$C$9*SQRT($C$7)),"")</f>
        <v/>
      </c>
      <c r="Q439" s="39">
        <f>IFERROR(_xll.qlBlackFormula(IF(O439&lt;$C$4,"Put","Call"),O439,$C$4,$C$10*SQRT($C$7),,$C$11),"")</f>
        <v>5.2073316279046059E-4</v>
      </c>
      <c r="R439" s="40">
        <f>IFERROR(_xll.qlBachelierBlackFormula(IF(O439&lt;$C$4,"Put","Call"),O439,$C$4,$C$12*SQRT($C$7)),"")</f>
        <v>2.5186980407656753E-4</v>
      </c>
      <c r="S439" s="41" t="str">
        <f>IFERROR((_xll.qlBlackFormula(IF(O439&lt;$C$4,"Put","Call"),O439+$C$14,$C$4,$C$9*SQRT($C$7))-
2*_xll.qlBlackFormula(IF(O439&lt;$C$4,"Put","Call"),O439,$C$4,$C$9*SQRT($C$7))+
_xll.qlBlackFormula(IF(O439&lt;$C$4,"Put","Call"),O439-$C$14,$C$4,$C$9*SQRT($C$7)))/$C$14^2,"")</f>
        <v/>
      </c>
      <c r="T439" s="42">
        <f>IFERROR((_xll.qlBlackFormula(IF(O439&lt;$C$4,"Put","Call"),O439+$C$14,$C$4,$C$10*SQRT($C$7),,$C$11)-
2*_xll.qlBlackFormula(IF(O439&lt;$C$4,"Put","Call"),O439,$C$4,$C$10*SQRT($C$7),,$C$11)+
_xll.qlBlackFormula(IF(O439&lt;$C$4,"Put","Call"),O439-$C$14,$C$4,$C$10*SQRT($C$7),,$C$11))/$C$14^2,"")</f>
        <v>5.039343942137009</v>
      </c>
      <c r="U439" s="43">
        <f>IFERROR((_xll.qlBachelierBlackFormula(IF(O439&lt;$C$4,"Put","Call"),O439+$C$14,$C$4,$C$12*SQRT($C$7))-
2*_xll.qlBachelierBlackFormula(IF(O439&lt;$C$4,"Put","Call"),O439,$C$4,$C$12*SQRT($C$7))+
_xll.qlBachelierBlackFormula(IF(O439&lt;$C$4,"Put","Call"),O439-$C$14,$C$4,$C$12*SQRT($C$7)))/$C$14^2,"")</f>
        <v>5.231714367281981</v>
      </c>
      <c r="V439" s="61" t="str">
        <f>IFERROR(_xll.qlBachelierBlackFormulaImpliedVol(IF(O439&lt;$C$4,"Put","Call"),O439,$C$4,$C$7,P439),"")</f>
        <v/>
      </c>
      <c r="W439" s="61">
        <f>IFERROR(_xll.qlBachelierBlackFormulaImpliedVol(IF(O439&lt;$C$4,"Put","Call"),O439,$C$4,$C$7,Q439),"")</f>
        <v>8.3474404624802913E-3</v>
      </c>
      <c r="X439" s="61">
        <f>IFERROR(_xll.qlBachelierBlackFormulaImpliedVol(IF(O439&lt;$C$4,"Put","Call"),O439,$C$4,$C$7,R439),"")</f>
        <v>7.2020000000332695E-3</v>
      </c>
      <c r="Y439" s="96">
        <f>_xll.qlSmileSectionVolatility($C$40,O439+$C$31)</f>
        <v>9.1489004496987051E-3</v>
      </c>
    </row>
    <row r="440" spans="15:25">
      <c r="O440" s="37">
        <f t="shared" si="7"/>
        <v>3.3499999999999926E-2</v>
      </c>
      <c r="P440" s="38" t="str">
        <f>IFERROR(_xll.qlBlackFormula(IF(O440&lt;$C$4,"Put","Call"),O440,$C$4,$C$9*SQRT($C$7)),"")</f>
        <v/>
      </c>
      <c r="Q440" s="39">
        <f>IFERROR(_xll.qlBlackFormula(IF(O440&lt;$C$4,"Put","Call"),O440,$C$4,$C$10*SQRT($C$7),,$C$11),"")</f>
        <v>5.1543325013457802E-4</v>
      </c>
      <c r="R440" s="40">
        <f>IFERROR(_xll.qlBachelierBlackFormula(IF(O440&lt;$C$4,"Put","Call"),O440,$C$4,$C$12*SQRT($C$7)),"")</f>
        <v>2.4800522021458738E-4</v>
      </c>
      <c r="S440" s="41" t="str">
        <f>IFERROR((_xll.qlBlackFormula(IF(O440&lt;$C$4,"Put","Call"),O440+$C$14,$C$4,$C$9*SQRT($C$7))-
2*_xll.qlBlackFormula(IF(O440&lt;$C$4,"Put","Call"),O440,$C$4,$C$9*SQRT($C$7))+
_xll.qlBlackFormula(IF(O440&lt;$C$4,"Put","Call"),O440-$C$14,$C$4,$C$9*SQRT($C$7)))/$C$14^2,"")</f>
        <v/>
      </c>
      <c r="T440" s="42">
        <f>IFERROR((_xll.qlBlackFormula(IF(O440&lt;$C$4,"Put","Call"),O440+$C$14,$C$4,$C$10*SQRT($C$7),,$C$11)-
2*_xll.qlBlackFormula(IF(O440&lt;$C$4,"Put","Call"),O440,$C$4,$C$10*SQRT($C$7),,$C$11)+
_xll.qlBlackFormula(IF(O440&lt;$C$4,"Put","Call"),O440-$C$14,$C$4,$C$10*SQRT($C$7),,$C$11))/$C$14^2,"")</f>
        <v>4.9972144477994362</v>
      </c>
      <c r="U440" s="43">
        <f>IFERROR((_xll.qlBachelierBlackFormula(IF(O440&lt;$C$4,"Put","Call"),O440+$C$14,$C$4,$C$12*SQRT($C$7))-
2*_xll.qlBachelierBlackFormula(IF(O440&lt;$C$4,"Put","Call"),O440,$C$4,$C$12*SQRT($C$7))+
_xll.qlBachelierBlackFormula(IF(O440&lt;$C$4,"Put","Call"),O440-$C$14,$C$4,$C$12*SQRT($C$7)))/$C$14^2,"")</f>
        <v>5.1746339418262677</v>
      </c>
      <c r="V440" s="61" t="str">
        <f>IFERROR(_xll.qlBachelierBlackFormulaImpliedVol(IF(O440&lt;$C$4,"Put","Call"),O440,$C$4,$C$7,P440),"")</f>
        <v/>
      </c>
      <c r="W440" s="61">
        <f>IFERROR(_xll.qlBachelierBlackFormulaImpliedVol(IF(O440&lt;$C$4,"Put","Call"),O440,$C$4,$C$7,Q440),"")</f>
        <v>8.3512970914461811E-3</v>
      </c>
      <c r="X440" s="61">
        <f>IFERROR(_xll.qlBachelierBlackFormulaImpliedVol(IF(O440&lt;$C$4,"Put","Call"),O440,$C$4,$C$7,R440),"")</f>
        <v>7.2020000000360372E-3</v>
      </c>
      <c r="Y440" s="96">
        <f>_xll.qlSmileSectionVolatility($C$40,O440+$C$31)</f>
        <v>9.1573180570262164E-3</v>
      </c>
    </row>
    <row r="441" spans="15:25">
      <c r="O441" s="37">
        <f t="shared" si="7"/>
        <v>3.3599999999999929E-2</v>
      </c>
      <c r="P441" s="38" t="str">
        <f>IFERROR(_xll.qlBlackFormula(IF(O441&lt;$C$4,"Put","Call"),O441,$C$4,$C$9*SQRT($C$7)),"")</f>
        <v/>
      </c>
      <c r="Q441" s="39">
        <f>IFERROR(_xll.qlBlackFormula(IF(O441&lt;$C$4,"Put","Call"),O441,$C$4,$C$10*SQRT($C$7),,$C$11),"")</f>
        <v>5.1018330996745621E-4</v>
      </c>
      <c r="R441" s="40">
        <f>IFERROR(_xll.qlBachelierBlackFormula(IF(O441&lt;$C$4,"Put","Call"),O441,$C$4,$C$12*SQRT($C$7)),"")</f>
        <v>2.4419238305944512E-4</v>
      </c>
      <c r="S441" s="41" t="str">
        <f>IFERROR((_xll.qlBlackFormula(IF(O441&lt;$C$4,"Put","Call"),O441+$C$14,$C$4,$C$9*SQRT($C$7))-
2*_xll.qlBlackFormula(IF(O441&lt;$C$4,"Put","Call"),O441,$C$4,$C$9*SQRT($C$7))+
_xll.qlBlackFormula(IF(O441&lt;$C$4,"Put","Call"),O441-$C$14,$C$4,$C$9*SQRT($C$7)))/$C$14^2,"")</f>
        <v/>
      </c>
      <c r="T441" s="42">
        <f>IFERROR((_xll.qlBlackFormula(IF(O441&lt;$C$4,"Put","Call"),O441+$C$14,$C$4,$C$10*SQRT($C$7),,$C$11)-
2*_xll.qlBlackFormula(IF(O441&lt;$C$4,"Put","Call"),O441,$C$4,$C$10*SQRT($C$7),,$C$11)+
_xll.qlBlackFormula(IF(O441&lt;$C$4,"Put","Call"),O441-$C$14,$C$4,$C$10*SQRT($C$7),,$C$11))/$C$14^2,"")</f>
        <v>4.9553980710492773</v>
      </c>
      <c r="U441" s="43">
        <f>IFERROR((_xll.qlBachelierBlackFormula(IF(O441&lt;$C$4,"Put","Call"),O441+$C$14,$C$4,$C$12*SQRT($C$7))-
2*_xll.qlBachelierBlackFormula(IF(O441&lt;$C$4,"Put","Call"),O441,$C$4,$C$12*SQRT($C$7))+
_xll.qlBachelierBlackFormula(IF(O441&lt;$C$4,"Put","Call"),O441-$C$14,$C$4,$C$12*SQRT($C$7)))/$C$14^2,"")</f>
        <v>5.1179817762286861</v>
      </c>
      <c r="V441" s="61" t="str">
        <f>IFERROR(_xll.qlBachelierBlackFormulaImpliedVol(IF(O441&lt;$C$4,"Put","Call"),O441,$C$4,$C$7,P441),"")</f>
        <v/>
      </c>
      <c r="W441" s="61">
        <f>IFERROR(_xll.qlBachelierBlackFormulaImpliedVol(IF(O441&lt;$C$4,"Put","Call"),O441,$C$4,$C$7,Q441),"")</f>
        <v>8.3551526416116607E-3</v>
      </c>
      <c r="X441" s="61">
        <f>IFERROR(_xll.qlBachelierBlackFormulaImpliedVol(IF(O441&lt;$C$4,"Put","Call"),O441,$C$4,$C$7,R441),"")</f>
        <v>7.2020000000387833E-3</v>
      </c>
      <c r="Y441" s="96">
        <f>_xll.qlSmileSectionVolatility($C$40,O441+$C$31)</f>
        <v>9.1657412822739818E-3</v>
      </c>
    </row>
    <row r="442" spans="15:25">
      <c r="O442" s="37">
        <f t="shared" si="7"/>
        <v>3.3699999999999931E-2</v>
      </c>
      <c r="P442" s="38" t="str">
        <f>IFERROR(_xll.qlBlackFormula(IF(O442&lt;$C$4,"Put","Call"),O442,$C$4,$C$9*SQRT($C$7)),"")</f>
        <v/>
      </c>
      <c r="Q442" s="39">
        <f>IFERROR(_xll.qlBlackFormula(IF(O442&lt;$C$4,"Put","Call"),O442,$C$4,$C$10*SQRT($C$7),,$C$11),"")</f>
        <v>5.0498292404752357E-4</v>
      </c>
      <c r="R442" s="40">
        <f>IFERROR(_xll.qlBachelierBlackFormula(IF(O442&lt;$C$4,"Put","Call"),O442,$C$4,$C$12*SQRT($C$7)),"")</f>
        <v>2.4043072608294293E-4</v>
      </c>
      <c r="S442" s="41" t="str">
        <f>IFERROR((_xll.qlBlackFormula(IF(O442&lt;$C$4,"Put","Call"),O442+$C$14,$C$4,$C$9*SQRT($C$7))-
2*_xll.qlBlackFormula(IF(O442&lt;$C$4,"Put","Call"),O442,$C$4,$C$9*SQRT($C$7))+
_xll.qlBlackFormula(IF(O442&lt;$C$4,"Put","Call"),O442-$C$14,$C$4,$C$9*SQRT($C$7)))/$C$14^2,"")</f>
        <v/>
      </c>
      <c r="T442" s="42">
        <f>IFERROR((_xll.qlBlackFormula(IF(O442&lt;$C$4,"Put","Call"),O442+$C$14,$C$4,$C$10*SQRT($C$7),,$C$11)-
2*_xll.qlBlackFormula(IF(O442&lt;$C$4,"Put","Call"),O442,$C$4,$C$10*SQRT($C$7),,$C$11)+
_xll.qlBlackFormula(IF(O442&lt;$C$4,"Put","Call"),O442-$C$14,$C$4,$C$10*SQRT($C$7),,$C$11))/$C$14^2,"")</f>
        <v>4.9138531785231088</v>
      </c>
      <c r="U442" s="43">
        <f>IFERROR((_xll.qlBachelierBlackFormula(IF(O442&lt;$C$4,"Put","Call"),O442+$C$14,$C$4,$C$12*SQRT($C$7))-
2*_xll.qlBachelierBlackFormula(IF(O442&lt;$C$4,"Put","Call"),O442,$C$4,$C$12*SQRT($C$7))+
_xll.qlBachelierBlackFormula(IF(O442&lt;$C$4,"Put","Call"),O442-$C$14,$C$4,$C$12*SQRT($C$7)))/$C$14^2,"")</f>
        <v>5.0617567862870638</v>
      </c>
      <c r="V442" s="61" t="str">
        <f>IFERROR(_xll.qlBachelierBlackFormulaImpliedVol(IF(O442&lt;$C$4,"Put","Call"),O442,$C$4,$C$7,P442),"")</f>
        <v/>
      </c>
      <c r="W442" s="61">
        <f>IFERROR(_xll.qlBachelierBlackFormulaImpliedVol(IF(O442&lt;$C$4,"Put","Call"),O442,$C$4,$C$7,Q442),"")</f>
        <v>8.3590071143871542E-3</v>
      </c>
      <c r="X442" s="61">
        <f>IFERROR(_xll.qlBachelierBlackFormulaImpliedVol(IF(O442&lt;$C$4,"Put","Call"),O442,$C$4,$C$7,R442),"")</f>
        <v>7.2020000000415077E-3</v>
      </c>
      <c r="Y442" s="96">
        <f>_xll.qlSmileSectionVolatility($C$40,O442+$C$31)</f>
        <v>9.1741700864688049E-3</v>
      </c>
    </row>
    <row r="443" spans="15:25">
      <c r="O443" s="37">
        <f t="shared" si="7"/>
        <v>3.3799999999999934E-2</v>
      </c>
      <c r="P443" s="38" t="str">
        <f>IFERROR(_xll.qlBlackFormula(IF(O443&lt;$C$4,"Put","Call"),O443,$C$4,$C$9*SQRT($C$7)),"")</f>
        <v/>
      </c>
      <c r="Q443" s="39">
        <f>IFERROR(_xll.qlBlackFormula(IF(O443&lt;$C$4,"Put","Call"),O443,$C$4,$C$10*SQRT($C$7),,$C$11),"")</f>
        <v>4.9983167693987834E-4</v>
      </c>
      <c r="R443" s="40">
        <f>IFERROR(_xll.qlBachelierBlackFormula(IF(O443&lt;$C$4,"Put","Call"),O443,$C$4,$C$12*SQRT($C$7)),"")</f>
        <v>2.3671968700749715E-4</v>
      </c>
      <c r="S443" s="41" t="str">
        <f>IFERROR((_xll.qlBlackFormula(IF(O443&lt;$C$4,"Put","Call"),O443+$C$14,$C$4,$C$9*SQRT($C$7))-
2*_xll.qlBlackFormula(IF(O443&lt;$C$4,"Put","Call"),O443,$C$4,$C$9*SQRT($C$7))+
_xll.qlBlackFormula(IF(O443&lt;$C$4,"Put","Call"),O443-$C$14,$C$4,$C$9*SQRT($C$7)))/$C$14^2,"")</f>
        <v/>
      </c>
      <c r="T443" s="42">
        <f>IFERROR((_xll.qlBlackFormula(IF(O443&lt;$C$4,"Put","Call"),O443+$C$14,$C$4,$C$10*SQRT($C$7),,$C$11)-
2*_xll.qlBlackFormula(IF(O443&lt;$C$4,"Put","Call"),O443,$C$4,$C$10*SQRT($C$7),,$C$11)+
_xll.qlBlackFormula(IF(O443&lt;$C$4,"Put","Call"),O443-$C$14,$C$4,$C$10*SQRT($C$7),,$C$11))/$C$14^2,"")</f>
        <v>4.8725875764765725</v>
      </c>
      <c r="U443" s="43">
        <f>IFERROR((_xll.qlBachelierBlackFormula(IF(O443&lt;$C$4,"Put","Call"),O443+$C$14,$C$4,$C$12*SQRT($C$7))-
2*_xll.qlBachelierBlackFormula(IF(O443&lt;$C$4,"Put","Call"),O443,$C$4,$C$12*SQRT($C$7))+
_xll.qlBachelierBlackFormula(IF(O443&lt;$C$4,"Put","Call"),O443-$C$14,$C$4,$C$12*SQRT($C$7)))/$C$14^2,"")</f>
        <v>5.0059533341501039</v>
      </c>
      <c r="V443" s="61" t="str">
        <f>IFERROR(_xll.qlBachelierBlackFormulaImpliedVol(IF(O443&lt;$C$4,"Put","Call"),O443,$C$4,$C$7,P443),"")</f>
        <v/>
      </c>
      <c r="W443" s="61">
        <f>IFERROR(_xll.qlBachelierBlackFormulaImpliedVol(IF(O443&lt;$C$4,"Put","Call"),O443,$C$4,$C$7,Q443),"")</f>
        <v>8.3628605111799904E-3</v>
      </c>
      <c r="X443" s="61">
        <f>IFERROR(_xll.qlBachelierBlackFormulaImpliedVol(IF(O443&lt;$C$4,"Put","Call"),O443,$C$4,$C$7,R443),"")</f>
        <v>7.2020000000441965E-3</v>
      </c>
      <c r="Y443" s="96">
        <f>_xll.qlSmileSectionVolatility($C$40,O443+$C$31)</f>
        <v>9.1826044308688844E-3</v>
      </c>
    </row>
    <row r="444" spans="15:25">
      <c r="O444" s="37">
        <f t="shared" si="7"/>
        <v>3.3899999999999937E-2</v>
      </c>
      <c r="P444" s="38" t="str">
        <f>IFERROR(_xll.qlBlackFormula(IF(O444&lt;$C$4,"Put","Call"),O444,$C$4,$C$9*SQRT($C$7)),"")</f>
        <v/>
      </c>
      <c r="Q444" s="39">
        <f>IFERROR(_xll.qlBlackFormula(IF(O444&lt;$C$4,"Put","Call"),O444,$C$4,$C$10*SQRT($C$7),,$C$11),"")</f>
        <v>4.9472915600659324E-4</v>
      </c>
      <c r="R444" s="40">
        <f>IFERROR(_xll.qlBachelierBlackFormula(IF(O444&lt;$C$4,"Put","Call"),O444,$C$4,$C$12*SQRT($C$7)),"")</f>
        <v>2.3305870780256348E-4</v>
      </c>
      <c r="S444" s="41" t="str">
        <f>IFERROR((_xll.qlBlackFormula(IF(O444&lt;$C$4,"Put","Call"),O444+$C$14,$C$4,$C$9*SQRT($C$7))-
2*_xll.qlBlackFormula(IF(O444&lt;$C$4,"Put","Call"),O444,$C$4,$C$9*SQRT($C$7))+
_xll.qlBlackFormula(IF(O444&lt;$C$4,"Put","Call"),O444-$C$14,$C$4,$C$9*SQRT($C$7)))/$C$14^2,"")</f>
        <v/>
      </c>
      <c r="T444" s="42">
        <f>IFERROR((_xll.qlBlackFormula(IF(O444&lt;$C$4,"Put","Call"),O444+$C$14,$C$4,$C$10*SQRT($C$7),,$C$11)-
2*_xll.qlBlackFormula(IF(O444&lt;$C$4,"Put","Call"),O444,$C$4,$C$10*SQRT($C$7),,$C$11)+
_xll.qlBlackFormula(IF(O444&lt;$C$4,"Put","Call"),O444-$C$14,$C$4,$C$10*SQRT($C$7),,$C$11))/$C$14^2,"")</f>
        <v>4.8315995301861925</v>
      </c>
      <c r="U444" s="43">
        <f>IFERROR((_xll.qlBachelierBlackFormula(IF(O444&lt;$C$4,"Put","Call"),O444+$C$14,$C$4,$C$12*SQRT($C$7))-
2*_xll.qlBachelierBlackFormula(IF(O444&lt;$C$4,"Put","Call"),O444,$C$4,$C$12*SQRT($C$7))+
_xll.qlBachelierBlackFormula(IF(O444&lt;$C$4,"Put","Call"),O444-$C$14,$C$4,$C$12*SQRT($C$7)))/$C$14^2,"")</f>
        <v>4.9505738050625858</v>
      </c>
      <c r="V444" s="61" t="str">
        <f>IFERROR(_xll.qlBachelierBlackFormulaImpliedVol(IF(O444&lt;$C$4,"Put","Call"),O444,$C$4,$C$7,P444),"")</f>
        <v/>
      </c>
      <c r="W444" s="61">
        <f>IFERROR(_xll.qlBachelierBlackFormulaImpliedVol(IF(O444&lt;$C$4,"Put","Call"),O444,$C$4,$C$7,Q444),"")</f>
        <v>8.3667128333943727E-3</v>
      </c>
      <c r="X444" s="61">
        <f>IFERROR(_xll.qlBachelierBlackFormulaImpliedVol(IF(O444&lt;$C$4,"Put","Call"),O444,$C$4,$C$7,R444),"")</f>
        <v>7.2020000000468289E-3</v>
      </c>
      <c r="Y444" s="96">
        <f>_xll.qlSmileSectionVolatility($C$40,O444+$C$31)</f>
        <v>9.191044276962745E-3</v>
      </c>
    </row>
    <row r="445" spans="15:25">
      <c r="O445" s="37">
        <f t="shared" si="7"/>
        <v>3.399999999999994E-2</v>
      </c>
      <c r="P445" s="38" t="str">
        <f>IFERROR(_xll.qlBlackFormula(IF(O445&lt;$C$4,"Put","Call"),O445,$C$4,$C$9*SQRT($C$7)),"")</f>
        <v/>
      </c>
      <c r="Q445" s="39">
        <f>IFERROR(_xll.qlBlackFormula(IF(O445&lt;$C$4,"Put","Call"),O445,$C$4,$C$10*SQRT($C$7),,$C$11),"")</f>
        <v>4.8967495139687865E-4</v>
      </c>
      <c r="R445" s="40">
        <f>IFERROR(_xll.qlBachelierBlackFormula(IF(O445&lt;$C$4,"Put","Call"),O445,$C$4,$C$12*SQRT($C$7)),"")</f>
        <v>2.2944723468061416E-4</v>
      </c>
      <c r="S445" s="41" t="str">
        <f>IFERROR((_xll.qlBlackFormula(IF(O445&lt;$C$4,"Put","Call"),O445+$C$14,$C$4,$C$9*SQRT($C$7))-
2*_xll.qlBlackFormula(IF(O445&lt;$C$4,"Put","Call"),O445,$C$4,$C$9*SQRT($C$7))+
_xll.qlBlackFormula(IF(O445&lt;$C$4,"Put","Call"),O445-$C$14,$C$4,$C$9*SQRT($C$7)))/$C$14^2,"")</f>
        <v/>
      </c>
      <c r="T445" s="42">
        <f>IFERROR((_xll.qlBlackFormula(IF(O445&lt;$C$4,"Put","Call"),O445+$C$14,$C$4,$C$10*SQRT($C$7),,$C$11)-
2*_xll.qlBlackFormula(IF(O445&lt;$C$4,"Put","Call"),O445,$C$4,$C$10*SQRT($C$7),,$C$11)+
_xll.qlBlackFormula(IF(O445&lt;$C$4,"Put","Call"),O445-$C$14,$C$4,$C$10*SQRT($C$7),,$C$11))/$C$14^2,"")</f>
        <v>4.7908994479928246</v>
      </c>
      <c r="U445" s="43">
        <f>IFERROR((_xll.qlBachelierBlackFormula(IF(O445&lt;$C$4,"Put","Call"),O445+$C$14,$C$4,$C$12*SQRT($C$7))-
2*_xll.qlBachelierBlackFormula(IF(O445&lt;$C$4,"Put","Call"),O445,$C$4,$C$12*SQRT($C$7))+
_xll.qlBachelierBlackFormula(IF(O445&lt;$C$4,"Put","Call"),O445-$C$14,$C$4,$C$12*SQRT($C$7)))/$C$14^2,"")</f>
        <v>4.8956164643010336</v>
      </c>
      <c r="V445" s="61" t="str">
        <f>IFERROR(_xll.qlBachelierBlackFormulaImpliedVol(IF(O445&lt;$C$4,"Put","Call"),O445,$C$4,$C$7,P445),"")</f>
        <v/>
      </c>
      <c r="W445" s="61">
        <f>IFERROR(_xll.qlBachelierBlackFormulaImpliedVol(IF(O445&lt;$C$4,"Put","Call"),O445,$C$4,$C$7,Q445),"")</f>
        <v>8.3705640824313591E-3</v>
      </c>
      <c r="X445" s="61">
        <f>IFERROR(_xll.qlBachelierBlackFormulaImpliedVol(IF(O445&lt;$C$4,"Put","Call"),O445,$C$4,$C$7,R445),"")</f>
        <v>7.2020000000494327E-3</v>
      </c>
      <c r="Y445" s="96">
        <f>_xll.qlSmileSectionVolatility($C$40,O445+$C$31)</f>
        <v>9.1994895864681916E-3</v>
      </c>
    </row>
    <row r="446" spans="15:25">
      <c r="O446" s="37">
        <f t="shared" si="7"/>
        <v>3.4099999999999943E-2</v>
      </c>
      <c r="P446" s="38" t="str">
        <f>IFERROR(_xll.qlBlackFormula(IF(O446&lt;$C$4,"Put","Call"),O446,$C$4,$C$9*SQRT($C$7)),"")</f>
        <v/>
      </c>
      <c r="Q446" s="39">
        <f>IFERROR(_xll.qlBlackFormula(IF(O446&lt;$C$4,"Put","Call"),O446,$C$4,$C$10*SQRT($C$7),,$C$11),"")</f>
        <v>4.8466865603719132E-4</v>
      </c>
      <c r="R446" s="40">
        <f>IFERROR(_xll.qlBachelierBlackFormula(IF(O446&lt;$C$4,"Put","Call"),O446,$C$4,$C$12*SQRT($C$7)),"")</f>
        <v>2.2588471809266257E-4</v>
      </c>
      <c r="S446" s="41" t="str">
        <f>IFERROR((_xll.qlBlackFormula(IF(O446&lt;$C$4,"Put","Call"),O446+$C$14,$C$4,$C$9*SQRT($C$7))-
2*_xll.qlBlackFormula(IF(O446&lt;$C$4,"Put","Call"),O446,$C$4,$C$9*SQRT($C$7))+
_xll.qlBlackFormula(IF(O446&lt;$C$4,"Put","Call"),O446-$C$14,$C$4,$C$9*SQRT($C$7)))/$C$14^2,"")</f>
        <v/>
      </c>
      <c r="T446" s="42">
        <f>IFERROR((_xll.qlBlackFormula(IF(O446&lt;$C$4,"Put","Call"),O446+$C$14,$C$4,$C$10*SQRT($C$7),,$C$11)-
2*_xll.qlBlackFormula(IF(O446&lt;$C$4,"Put","Call"),O446,$C$4,$C$10*SQRT($C$7),,$C$11)+
_xll.qlBlackFormula(IF(O446&lt;$C$4,"Put","Call"),O446-$C$14,$C$4,$C$10*SQRT($C$7),,$C$11))/$C$14^2,"")</f>
        <v>4.7504751868321371</v>
      </c>
      <c r="U446" s="43">
        <f>IFERROR((_xll.qlBachelierBlackFormula(IF(O446&lt;$C$4,"Put","Call"),O446+$C$14,$C$4,$C$12*SQRT($C$7))-
2*_xll.qlBachelierBlackFormula(IF(O446&lt;$C$4,"Put","Call"),O446,$C$4,$C$12*SQRT($C$7))+
_xll.qlBachelierBlackFormula(IF(O446&lt;$C$4,"Put","Call"),O446-$C$14,$C$4,$C$12*SQRT($C$7)))/$C$14^2,"")</f>
        <v>4.8410878170784821</v>
      </c>
      <c r="V446" s="61" t="str">
        <f>IFERROR(_xll.qlBachelierBlackFormulaImpliedVol(IF(O446&lt;$C$4,"Put","Call"),O446,$C$4,$C$7,P446),"")</f>
        <v/>
      </c>
      <c r="W446" s="61">
        <f>IFERROR(_xll.qlBachelierBlackFormulaImpliedVol(IF(O446&lt;$C$4,"Put","Call"),O446,$C$4,$C$7,Q446),"")</f>
        <v>8.3744142596889459E-3</v>
      </c>
      <c r="X446" s="61">
        <f>IFERROR(_xll.qlBachelierBlackFormulaImpliedVol(IF(O446&lt;$C$4,"Put","Call"),O446,$C$4,$C$7,R446),"")</f>
        <v>7.2020000000519446E-3</v>
      </c>
      <c r="Y446" s="96">
        <f>_xll.qlSmileSectionVolatility($C$40,O446+$C$31)</f>
        <v>9.2079403213312198E-3</v>
      </c>
    </row>
    <row r="447" spans="15:25">
      <c r="O447" s="37">
        <f t="shared" si="7"/>
        <v>3.4199999999999946E-2</v>
      </c>
      <c r="P447" s="38" t="str">
        <f>IFERROR(_xll.qlBlackFormula(IF(O447&lt;$C$4,"Put","Call"),O447,$C$4,$C$9*SQRT($C$7)),"")</f>
        <v/>
      </c>
      <c r="Q447" s="39">
        <f>IFERROR(_xll.qlBlackFormula(IF(O447&lt;$C$4,"Put","Call"),O447,$C$4,$C$10*SQRT($C$7),,$C$11),"")</f>
        <v>4.7970986562124313E-4</v>
      </c>
      <c r="R447" s="40">
        <f>IFERROR(_xll.qlBachelierBlackFormula(IF(O447&lt;$C$4,"Put","Call"),O447,$C$4,$C$12*SQRT($C$7)),"")</f>
        <v>2.223706127233722E-4</v>
      </c>
      <c r="S447" s="41" t="str">
        <f>IFERROR((_xll.qlBlackFormula(IF(O447&lt;$C$4,"Put","Call"),O447+$C$14,$C$4,$C$9*SQRT($C$7))-
2*_xll.qlBlackFormula(IF(O447&lt;$C$4,"Put","Call"),O447,$C$4,$C$9*SQRT($C$7))+
_xll.qlBlackFormula(IF(O447&lt;$C$4,"Put","Call"),O447-$C$14,$C$4,$C$9*SQRT($C$7)))/$C$14^2,"")</f>
        <v/>
      </c>
      <c r="T447" s="42">
        <f>IFERROR((_xll.qlBlackFormula(IF(O447&lt;$C$4,"Put","Call"),O447+$C$14,$C$4,$C$10*SQRT($C$7),,$C$11)-
2*_xll.qlBlackFormula(IF(O447&lt;$C$4,"Put","Call"),O447,$C$4,$C$10*SQRT($C$7),,$C$11)+
_xll.qlBlackFormula(IF(O447&lt;$C$4,"Put","Call"),O447-$C$14,$C$4,$C$10*SQRT($C$7),,$C$11))/$C$14^2,"")</f>
        <v>4.7103093994693701</v>
      </c>
      <c r="U447" s="43">
        <f>IFERROR((_xll.qlBachelierBlackFormula(IF(O447&lt;$C$4,"Put","Call"),O447+$C$14,$C$4,$C$12*SQRT($C$7))-
2*_xll.qlBachelierBlackFormula(IF(O447&lt;$C$4,"Put","Call"),O447,$C$4,$C$12*SQRT($C$7))+
_xll.qlBachelierBlackFormula(IF(O447&lt;$C$4,"Put","Call"),O447-$C$14,$C$4,$C$12*SQRT($C$7)))/$C$14^2,"")</f>
        <v>4.7869776718945101</v>
      </c>
      <c r="V447" s="61" t="str">
        <f>IFERROR(_xll.qlBachelierBlackFormulaImpliedVol(IF(O447&lt;$C$4,"Put","Call"),O447,$C$4,$C$7,P447),"")</f>
        <v/>
      </c>
      <c r="W447" s="61">
        <f>IFERROR(_xll.qlBachelierBlackFormulaImpliedVol(IF(O447&lt;$C$4,"Put","Call"),O447,$C$4,$C$7,Q447),"")</f>
        <v>8.378263366562097E-3</v>
      </c>
      <c r="X447" s="61">
        <f>IFERROR(_xll.qlBachelierBlackFormulaImpliedVol(IF(O447&lt;$C$4,"Put","Call"),O447,$C$4,$C$7,R447),"")</f>
        <v>7.2020000000543897E-3</v>
      </c>
      <c r="Y447" s="96">
        <f>_xll.qlSmileSectionVolatility($C$40,O447+$C$31)</f>
        <v>9.2163964437249699E-3</v>
      </c>
    </row>
    <row r="448" spans="15:25">
      <c r="O448" s="37">
        <f t="shared" si="7"/>
        <v>3.4299999999999949E-2</v>
      </c>
      <c r="P448" s="38" t="str">
        <f>IFERROR(_xll.qlBlackFormula(IF(O448&lt;$C$4,"Put","Call"),O448,$C$4,$C$9*SQRT($C$7)),"")</f>
        <v/>
      </c>
      <c r="Q448" s="39">
        <f>IFERROR(_xll.qlBlackFormula(IF(O448&lt;$C$4,"Put","Call"),O448,$C$4,$C$10*SQRT($C$7),,$C$11),"")</f>
        <v>4.7479817859985302E-4</v>
      </c>
      <c r="R448" s="40">
        <f>IFERROR(_xll.qlBachelierBlackFormula(IF(O448&lt;$C$4,"Put","Call"),O448,$C$4,$C$12*SQRT($C$7)),"")</f>
        <v>2.1890437748569571E-4</v>
      </c>
      <c r="S448" s="41" t="str">
        <f>IFERROR((_xll.qlBlackFormula(IF(O448&lt;$C$4,"Put","Call"),O448+$C$14,$C$4,$C$9*SQRT($C$7))-
2*_xll.qlBlackFormula(IF(O448&lt;$C$4,"Put","Call"),O448,$C$4,$C$9*SQRT($C$7))+
_xll.qlBlackFormula(IF(O448&lt;$C$4,"Put","Call"),O448-$C$14,$C$4,$C$9*SQRT($C$7)))/$C$14^2,"")</f>
        <v/>
      </c>
      <c r="T448" s="42">
        <f>IFERROR((_xll.qlBlackFormula(IF(O448&lt;$C$4,"Put","Call"),O448+$C$14,$C$4,$C$10*SQRT($C$7),,$C$11)-
2*_xll.qlBlackFormula(IF(O448&lt;$C$4,"Put","Call"),O448,$C$4,$C$10*SQRT($C$7),,$C$11)+
_xll.qlBlackFormula(IF(O448&lt;$C$4,"Put","Call"),O448-$C$14,$C$4,$C$10*SQRT($C$7),,$C$11))/$C$14^2,"")</f>
        <v>4.6704315762036153</v>
      </c>
      <c r="U448" s="43">
        <f>IFERROR((_xll.qlBachelierBlackFormula(IF(O448&lt;$C$4,"Put","Call"),O448+$C$14,$C$4,$C$12*SQRT($C$7))-
2*_xll.qlBachelierBlackFormula(IF(O448&lt;$C$4,"Put","Call"),O448,$C$4,$C$12*SQRT($C$7))+
_xll.qlBachelierBlackFormula(IF(O448&lt;$C$4,"Put","Call"),O448-$C$14,$C$4,$C$12*SQRT($C$7)))/$C$14^2,"")</f>
        <v>4.7332912329195453</v>
      </c>
      <c r="V448" s="61" t="str">
        <f>IFERROR(_xll.qlBachelierBlackFormulaImpliedVol(IF(O448&lt;$C$4,"Put","Call"),O448,$C$4,$C$7,P448),"")</f>
        <v/>
      </c>
      <c r="W448" s="61">
        <f>IFERROR(_xll.qlBachelierBlackFormulaImpliedVol(IF(O448&lt;$C$4,"Put","Call"),O448,$C$4,$C$7,Q448),"")</f>
        <v>8.3821114044425691E-3</v>
      </c>
      <c r="X448" s="61">
        <f>IFERROR(_xll.qlBachelierBlackFormulaImpliedVol(IF(O448&lt;$C$4,"Put","Call"),O448,$C$4,$C$7,R448),"")</f>
        <v>7.2020000000567524E-3</v>
      </c>
      <c r="Y448" s="96">
        <f>_xll.qlSmileSectionVolatility($C$40,O448+$C$31)</f>
        <v>9.2248579160486358E-3</v>
      </c>
    </row>
    <row r="449" spans="15:25">
      <c r="O449" s="37">
        <f t="shared" si="7"/>
        <v>3.4399999999999951E-2</v>
      </c>
      <c r="P449" s="38" t="str">
        <f>IFERROR(_xll.qlBlackFormula(IF(O449&lt;$C$4,"Put","Call"),O449,$C$4,$C$9*SQRT($C$7)),"")</f>
        <v/>
      </c>
      <c r="Q449" s="39">
        <f>IFERROR(_xll.qlBlackFormula(IF(O449&lt;$C$4,"Put","Call"),O449,$C$4,$C$10*SQRT($C$7),,$C$11),"")</f>
        <v>4.6993319617083876E-4</v>
      </c>
      <c r="R449" s="40">
        <f>IFERROR(_xll.qlBachelierBlackFormula(IF(O449&lt;$C$4,"Put","Call"),O449,$C$4,$C$12*SQRT($C$7)),"")</f>
        <v>2.1548547551512517E-4</v>
      </c>
      <c r="S449" s="41" t="str">
        <f>IFERROR((_xll.qlBlackFormula(IF(O449&lt;$C$4,"Put","Call"),O449+$C$14,$C$4,$C$9*SQRT($C$7))-
2*_xll.qlBlackFormula(IF(O449&lt;$C$4,"Put","Call"),O449,$C$4,$C$9*SQRT($C$7))+
_xll.qlBlackFormula(IF(O449&lt;$C$4,"Put","Call"),O449-$C$14,$C$4,$C$9*SQRT($C$7)))/$C$14^2,"")</f>
        <v/>
      </c>
      <c r="T449" s="42">
        <f>IFERROR((_xll.qlBlackFormula(IF(O449&lt;$C$4,"Put","Call"),O449+$C$14,$C$4,$C$10*SQRT($C$7),,$C$11)-
2*_xll.qlBlackFormula(IF(O449&lt;$C$4,"Put","Call"),O449,$C$4,$C$10*SQRT($C$7),,$C$11)+
_xll.qlBlackFormula(IF(O449&lt;$C$4,"Put","Call"),O449-$C$14,$C$4,$C$10*SQRT($C$7),,$C$11))/$C$14^2,"")</f>
        <v>4.6308235024383748</v>
      </c>
      <c r="U449" s="43">
        <f>IFERROR((_xll.qlBachelierBlackFormula(IF(O449&lt;$C$4,"Put","Call"),O449+$C$14,$C$4,$C$12*SQRT($C$7))-
2*_xll.qlBachelierBlackFormula(IF(O449&lt;$C$4,"Put","Call"),O449,$C$4,$C$12*SQRT($C$7))+
_xll.qlBachelierBlackFormula(IF(O449&lt;$C$4,"Put","Call"),O449-$C$14,$C$4,$C$12*SQRT($C$7)))/$C$14^2,"")</f>
        <v>4.6800282833131535</v>
      </c>
      <c r="V449" s="61" t="str">
        <f>IFERROR(_xll.qlBachelierBlackFormulaImpliedVol(IF(O449&lt;$C$4,"Put","Call"),O449,$C$4,$C$7,P449),"")</f>
        <v/>
      </c>
      <c r="W449" s="61">
        <f>IFERROR(_xll.qlBachelierBlackFormulaImpliedVol(IF(O449&lt;$C$4,"Put","Call"),O449,$C$4,$C$7,Q449),"")</f>
        <v>8.3859583747191713E-3</v>
      </c>
      <c r="X449" s="61">
        <f>IFERROR(_xll.qlBachelierBlackFormulaImpliedVol(IF(O449&lt;$C$4,"Put","Call"),O449,$C$4,$C$7,R449),"")</f>
        <v>7.2020000000590032E-3</v>
      </c>
      <c r="Y449" s="96">
        <f>_xll.qlSmileSectionVolatility($C$40,O449+$C$31)</f>
        <v>9.2333247009263701E-3</v>
      </c>
    </row>
    <row r="450" spans="15:25">
      <c r="O450" s="37">
        <f t="shared" si="7"/>
        <v>3.4499999999999954E-2</v>
      </c>
      <c r="P450" s="38" t="str">
        <f>IFERROR(_xll.qlBlackFormula(IF(O450&lt;$C$4,"Put","Call"),O450,$C$4,$C$9*SQRT($C$7)),"")</f>
        <v/>
      </c>
      <c r="Q450" s="39">
        <f>IFERROR(_xll.qlBlackFormula(IF(O450&lt;$C$4,"Put","Call"),O450,$C$4,$C$10*SQRT($C$7),,$C$11),"")</f>
        <v>4.6511452226868401E-4</v>
      </c>
      <c r="R450" s="40">
        <f>IFERROR(_xll.qlBachelierBlackFormula(IF(O450&lt;$C$4,"Put","Call"),O450,$C$4,$C$12*SQRT($C$7)),"")</f>
        <v>2.1211337416349998E-4</v>
      </c>
      <c r="S450" s="41" t="str">
        <f>IFERROR((_xll.qlBlackFormula(IF(O450&lt;$C$4,"Put","Call"),O450+$C$14,$C$4,$C$9*SQRT($C$7))-
2*_xll.qlBlackFormula(IF(O450&lt;$C$4,"Put","Call"),O450,$C$4,$C$9*SQRT($C$7))+
_xll.qlBlackFormula(IF(O450&lt;$C$4,"Put","Call"),O450-$C$14,$C$4,$C$9*SQRT($C$7)))/$C$14^2,"")</f>
        <v/>
      </c>
      <c r="T450" s="42">
        <f>IFERROR((_xll.qlBlackFormula(IF(O450&lt;$C$4,"Put","Call"),O450+$C$14,$C$4,$C$10*SQRT($C$7),,$C$11)-
2*_xll.qlBlackFormula(IF(O450&lt;$C$4,"Put","Call"),O450,$C$4,$C$10*SQRT($C$7),,$C$11)+
_xll.qlBlackFormula(IF(O450&lt;$C$4,"Put","Call"),O450-$C$14,$C$4,$C$10*SQRT($C$7),,$C$11))/$C$14^2,"")</f>
        <v>4.5915042601318845</v>
      </c>
      <c r="U450" s="43">
        <f>IFERROR((_xll.qlBachelierBlackFormula(IF(O450&lt;$C$4,"Put","Call"),O450+$C$14,$C$4,$C$12*SQRT($C$7))-
2*_xll.qlBachelierBlackFormula(IF(O450&lt;$C$4,"Put","Call"),O450,$C$4,$C$12*SQRT($C$7))+
_xll.qlBachelierBlackFormula(IF(O450&lt;$C$4,"Put","Call"),O450-$C$14,$C$4,$C$12*SQRT($C$7)))/$C$14^2,"")</f>
        <v>4.6271860041496859</v>
      </c>
      <c r="V450" s="61" t="str">
        <f>IFERROR(_xll.qlBachelierBlackFormulaImpliedVol(IF(O450&lt;$C$4,"Put","Call"),O450,$C$4,$C$7,P450),"")</f>
        <v/>
      </c>
      <c r="W450" s="61">
        <f>IFERROR(_xll.qlBachelierBlackFormulaImpliedVol(IF(O450&lt;$C$4,"Put","Call"),O450,$C$4,$C$7,Q450),"")</f>
        <v>8.3898042787775608E-3</v>
      </c>
      <c r="X450" s="61">
        <f>IFERROR(_xll.qlBachelierBlackFormulaImpliedVol(IF(O450&lt;$C$4,"Put","Call"),O450,$C$4,$C$7,R450),"")</f>
        <v>7.2020000000611551E-3</v>
      </c>
      <c r="Y450" s="96">
        <f>_xll.qlSmileSectionVolatility($C$40,O450+$C$31)</f>
        <v>9.241796761206263E-3</v>
      </c>
    </row>
    <row r="451" spans="15:25">
      <c r="O451" s="37">
        <f t="shared" si="7"/>
        <v>3.4599999999999957E-2</v>
      </c>
      <c r="P451" s="38" t="str">
        <f>IFERROR(_xll.qlBlackFormula(IF(O451&lt;$C$4,"Put","Call"),O451,$C$4,$C$9*SQRT($C$7)),"")</f>
        <v/>
      </c>
      <c r="Q451" s="39">
        <f>IFERROR(_xll.qlBlackFormula(IF(O451&lt;$C$4,"Put","Call"),O451,$C$4,$C$10*SQRT($C$7),,$C$11),"")</f>
        <v>4.6034176355425234E-4</v>
      </c>
      <c r="R451" s="40">
        <f>IFERROR(_xll.qlBachelierBlackFormula(IF(O451&lt;$C$4,"Put","Call"),O451,$C$4,$C$12*SQRT($C$7)),"")</f>
        <v>2.0878754499239886E-4</v>
      </c>
      <c r="S451" s="41" t="str">
        <f>IFERROR((_xll.qlBlackFormula(IF(O451&lt;$C$4,"Put","Call"),O451+$C$14,$C$4,$C$9*SQRT($C$7))-
2*_xll.qlBlackFormula(IF(O451&lt;$C$4,"Put","Call"),O451,$C$4,$C$9*SQRT($C$7))+
_xll.qlBlackFormula(IF(O451&lt;$C$4,"Put","Call"),O451-$C$14,$C$4,$C$9*SQRT($C$7)))/$C$14^2,"")</f>
        <v/>
      </c>
      <c r="T451" s="42">
        <f>IFERROR((_xll.qlBlackFormula(IF(O451&lt;$C$4,"Put","Call"),O451+$C$14,$C$4,$C$10*SQRT($C$7),,$C$11)-
2*_xll.qlBlackFormula(IF(O451&lt;$C$4,"Put","Call"),O451,$C$4,$C$10*SQRT($C$7),,$C$11)+
_xll.qlBlackFormula(IF(O451&lt;$C$4,"Put","Call"),O451-$C$14,$C$4,$C$10*SQRT($C$7),,$C$11))/$C$14^2,"")</f>
        <v>4.5524460937085287</v>
      </c>
      <c r="U451" s="43">
        <f>IFERROR((_xll.qlBachelierBlackFormula(IF(O451&lt;$C$4,"Put","Call"),O451+$C$14,$C$4,$C$12*SQRT($C$7))-
2*_xll.qlBachelierBlackFormula(IF(O451&lt;$C$4,"Put","Call"),O451,$C$4,$C$12*SQRT($C$7))+
_xll.qlBachelierBlackFormula(IF(O451&lt;$C$4,"Put","Call"),O451-$C$14,$C$4,$C$12*SQRT($C$7)))/$C$14^2,"")</f>
        <v>4.5747615765034944</v>
      </c>
      <c r="V451" s="61" t="str">
        <f>IFERROR(_xll.qlBachelierBlackFormulaImpliedVol(IF(O451&lt;$C$4,"Put","Call"),O451,$C$4,$C$7,P451),"")</f>
        <v/>
      </c>
      <c r="W451" s="61">
        <f>IFERROR(_xll.qlBachelierBlackFormulaImpliedVol(IF(O451&lt;$C$4,"Put","Call"),O451,$C$4,$C$7,Q451),"")</f>
        <v>8.3936491180004388E-3</v>
      </c>
      <c r="X451" s="61">
        <f>IFERROR(_xll.qlBachelierBlackFormulaImpliedVol(IF(O451&lt;$C$4,"Put","Call"),O451,$C$4,$C$7,R451),"")</f>
        <v>7.2020000000631761E-3</v>
      </c>
      <c r="Y451" s="96">
        <f>_xll.qlSmileSectionVolatility($C$40,O451+$C$31)</f>
        <v>9.2502740599592279E-3</v>
      </c>
    </row>
    <row r="452" spans="15:25">
      <c r="O452" s="37">
        <f t="shared" si="7"/>
        <v>3.469999999999996E-2</v>
      </c>
      <c r="P452" s="38" t="str">
        <f>IFERROR(_xll.qlBlackFormula(IF(O452&lt;$C$4,"Put","Call"),O452,$C$4,$C$9*SQRT($C$7)),"")</f>
        <v/>
      </c>
      <c r="Q452" s="39">
        <f>IFERROR(_xll.qlBlackFormula(IF(O452&lt;$C$4,"Put","Call"),O452,$C$4,$C$10*SQRT($C$7),,$C$11),"")</f>
        <v>4.5561452940431468E-4</v>
      </c>
      <c r="R452" s="40">
        <f>IFERROR(_xll.qlBachelierBlackFormula(IF(O452&lt;$C$4,"Put","Call"),O452,$C$4,$C$12*SQRT($C$7)),"")</f>
        <v>2.0550746376613656E-4</v>
      </c>
      <c r="S452" s="41" t="str">
        <f>IFERROR((_xll.qlBlackFormula(IF(O452&lt;$C$4,"Put","Call"),O452+$C$14,$C$4,$C$9*SQRT($C$7))-
2*_xll.qlBlackFormula(IF(O452&lt;$C$4,"Put","Call"),O452,$C$4,$C$9*SQRT($C$7))+
_xll.qlBlackFormula(IF(O452&lt;$C$4,"Put","Call"),O452-$C$14,$C$4,$C$9*SQRT($C$7)))/$C$14^2,"")</f>
        <v/>
      </c>
      <c r="T452" s="42">
        <f>IFERROR((_xll.qlBlackFormula(IF(O452&lt;$C$4,"Put","Call"),O452+$C$14,$C$4,$C$10*SQRT($C$7),,$C$11)-
2*_xll.qlBlackFormula(IF(O452&lt;$C$4,"Put","Call"),O452,$C$4,$C$10*SQRT($C$7),,$C$11)+
_xll.qlBlackFormula(IF(O452&lt;$C$4,"Put","Call"),O452-$C$14,$C$4,$C$10*SQRT($C$7),,$C$11))/$C$14^2,"")</f>
        <v>4.5136342580187616</v>
      </c>
      <c r="U452" s="43">
        <f>IFERROR((_xll.qlBachelierBlackFormula(IF(O452&lt;$C$4,"Put","Call"),O452+$C$14,$C$4,$C$12*SQRT($C$7))-
2*_xll.qlBachelierBlackFormula(IF(O452&lt;$C$4,"Put","Call"),O452,$C$4,$C$12*SQRT($C$7))+
_xll.qlBachelierBlackFormula(IF(O452&lt;$C$4,"Put","Call"),O452-$C$14,$C$4,$C$12*SQRT($C$7)))/$C$14^2,"")</f>
        <v>4.5227552172150132</v>
      </c>
      <c r="V452" s="61" t="str">
        <f>IFERROR(_xll.qlBachelierBlackFormulaImpliedVol(IF(O452&lt;$C$4,"Put","Call"),O452,$C$4,$C$7,P452),"")</f>
        <v/>
      </c>
      <c r="W452" s="61">
        <f>IFERROR(_xll.qlBachelierBlackFormulaImpliedVol(IF(O452&lt;$C$4,"Put","Call"),O452,$C$4,$C$7,Q452),"")</f>
        <v>8.3974928937674501E-3</v>
      </c>
      <c r="X452" s="61">
        <f>IFERROR(_xll.qlBachelierBlackFormulaImpliedVol(IF(O452&lt;$C$4,"Put","Call"),O452,$C$4,$C$7,R452),"")</f>
        <v>7.2020000000650904E-3</v>
      </c>
      <c r="Y452" s="96">
        <f>_xll.qlSmileSectionVolatility($C$40,O452+$C$31)</f>
        <v>9.2587565604779522E-3</v>
      </c>
    </row>
    <row r="453" spans="15:25">
      <c r="O453" s="37">
        <f t="shared" si="7"/>
        <v>3.4799999999999963E-2</v>
      </c>
      <c r="P453" s="38" t="str">
        <f>IFERROR(_xll.qlBlackFormula(IF(O453&lt;$C$4,"Put","Call"),O453,$C$4,$C$9*SQRT($C$7)),"")</f>
        <v/>
      </c>
      <c r="Q453" s="39">
        <f>IFERROR(_xll.qlBlackFormula(IF(O453&lt;$C$4,"Put","Call"),O453,$C$4,$C$10*SQRT($C$7),,$C$11),"")</f>
        <v>4.5093243190101693E-4</v>
      </c>
      <c r="R453" s="40">
        <f>IFERROR(_xll.qlBachelierBlackFormula(IF(O453&lt;$C$4,"Put","Call"),O453,$C$4,$C$12*SQRT($C$7)),"")</f>
        <v>2.0227261044433828E-4</v>
      </c>
      <c r="S453" s="41" t="str">
        <f>IFERROR((_xll.qlBlackFormula(IF(O453&lt;$C$4,"Put","Call"),O453+$C$14,$C$4,$C$9*SQRT($C$7))-
2*_xll.qlBlackFormula(IF(O453&lt;$C$4,"Put","Call"),O453,$C$4,$C$9*SQRT($C$7))+
_xll.qlBlackFormula(IF(O453&lt;$C$4,"Put","Call"),O453-$C$14,$C$4,$C$9*SQRT($C$7)))/$C$14^2,"")</f>
        <v/>
      </c>
      <c r="T453" s="42">
        <f>IFERROR((_xll.qlBlackFormula(IF(O453&lt;$C$4,"Put","Call"),O453+$C$14,$C$4,$C$10*SQRT($C$7),,$C$11)-
2*_xll.qlBlackFormula(IF(O453&lt;$C$4,"Put","Call"),O453,$C$4,$C$10*SQRT($C$7),,$C$11)+
_xll.qlBlackFormula(IF(O453&lt;$C$4,"Put","Call"),O453-$C$14,$C$4,$C$10*SQRT($C$7),,$C$11))/$C$14^2,"")</f>
        <v>4.4751242642138145</v>
      </c>
      <c r="U453" s="43">
        <f>IFERROR((_xll.qlBachelierBlackFormula(IF(O453&lt;$C$4,"Put","Call"),O453+$C$14,$C$4,$C$12*SQRT($C$7))-
2*_xll.qlBachelierBlackFormula(IF(O453&lt;$C$4,"Put","Call"),O453,$C$4,$C$12*SQRT($C$7))+
_xll.qlBachelierBlackFormula(IF(O453&lt;$C$4,"Put","Call"),O453-$C$14,$C$4,$C$12*SQRT($C$7)))/$C$14^2,"")</f>
        <v>4.4711732146568428</v>
      </c>
      <c r="V453" s="61" t="str">
        <f>IFERROR(_xll.qlBachelierBlackFormulaImpliedVol(IF(O453&lt;$C$4,"Put","Call"),O453,$C$4,$C$7,P453),"")</f>
        <v/>
      </c>
      <c r="W453" s="61">
        <f>IFERROR(_xll.qlBachelierBlackFormulaImpliedVol(IF(O453&lt;$C$4,"Put","Call"),O453,$C$4,$C$7,Q453),"")</f>
        <v>8.4013356074551255E-3</v>
      </c>
      <c r="X453" s="61">
        <f>IFERROR(_xll.qlBachelierBlackFormulaImpliedVol(IF(O453&lt;$C$4,"Put","Call"),O453,$C$4,$C$7,R453),"")</f>
        <v>7.2020000000668442E-3</v>
      </c>
      <c r="Y453" s="96">
        <f>_xll.qlSmileSectionVolatility($C$40,O453+$C$31)</f>
        <v>9.2672442262757716E-3</v>
      </c>
    </row>
    <row r="454" spans="15:25">
      <c r="O454" s="37">
        <f t="shared" si="7"/>
        <v>3.4899999999999966E-2</v>
      </c>
      <c r="P454" s="38" t="str">
        <f>IFERROR(_xll.qlBlackFormula(IF(O454&lt;$C$4,"Put","Call"),O454,$C$4,$C$9*SQRT($C$7)),"")</f>
        <v/>
      </c>
      <c r="Q454" s="39">
        <f>IFERROR(_xll.qlBlackFormula(IF(O454&lt;$C$4,"Put","Call"),O454,$C$4,$C$10*SQRT($C$7),,$C$11),"")</f>
        <v>4.4629508582137451E-4</v>
      </c>
      <c r="R454" s="40">
        <f>IFERROR(_xll.qlBachelierBlackFormula(IF(O454&lt;$C$4,"Put","Call"),O454,$C$4,$C$12*SQRT($C$7)),"")</f>
        <v>1.9908246917413352E-4</v>
      </c>
      <c r="S454" s="41" t="str">
        <f>IFERROR((_xll.qlBlackFormula(IF(O454&lt;$C$4,"Put","Call"),O454+$C$14,$C$4,$C$9*SQRT($C$7))-
2*_xll.qlBlackFormula(IF(O454&lt;$C$4,"Put","Call"),O454,$C$4,$C$9*SQRT($C$7))+
_xll.qlBlackFormula(IF(O454&lt;$C$4,"Put","Call"),O454-$C$14,$C$4,$C$9*SQRT($C$7)))/$C$14^2,"")</f>
        <v/>
      </c>
      <c r="T454" s="42">
        <f>IFERROR((_xll.qlBlackFormula(IF(O454&lt;$C$4,"Put","Call"),O454+$C$14,$C$4,$C$10*SQRT($C$7),,$C$11)-
2*_xll.qlBlackFormula(IF(O454&lt;$C$4,"Put","Call"),O454,$C$4,$C$10*SQRT($C$7),,$C$11)+
_xll.qlBlackFormula(IF(O454&lt;$C$4,"Put","Call"),O454-$C$14,$C$4,$C$10*SQRT($C$7),,$C$11))/$C$14^2,"")</f>
        <v>4.4368545296102901</v>
      </c>
      <c r="U454" s="43">
        <f>IFERROR((_xll.qlBachelierBlackFormula(IF(O454&lt;$C$4,"Put","Call"),O454+$C$14,$C$4,$C$12*SQRT($C$7))-
2*_xll.qlBachelierBlackFormula(IF(O454&lt;$C$4,"Put","Call"),O454,$C$4,$C$12*SQRT($C$7))+
_xll.qlBachelierBlackFormula(IF(O454&lt;$C$4,"Put","Call"),O454-$C$14,$C$4,$C$12*SQRT($C$7)))/$C$14^2,"")</f>
        <v>4.4200033173444346</v>
      </c>
      <c r="V454" s="61" t="str">
        <f>IFERROR(_xll.qlBachelierBlackFormulaImpliedVol(IF(O454&lt;$C$4,"Put","Call"),O454,$C$4,$C$7,P454),"")</f>
        <v/>
      </c>
      <c r="W454" s="61">
        <f>IFERROR(_xll.qlBachelierBlackFormulaImpliedVol(IF(O454&lt;$C$4,"Put","Call"),O454,$C$4,$C$7,Q454),"")</f>
        <v>8.4051772604371092E-3</v>
      </c>
      <c r="X454" s="61">
        <f>IFERROR(_xll.qlBachelierBlackFormulaImpliedVol(IF(O454&lt;$C$4,"Put","Call"),O454,$C$4,$C$7,R454),"")</f>
        <v>7.2020000000684618E-3</v>
      </c>
      <c r="Y454" s="96">
        <f>_xll.qlSmileSectionVolatility($C$40,O454+$C$31)</f>
        <v>9.2757370210856289E-3</v>
      </c>
    </row>
    <row r="455" spans="15:25">
      <c r="O455" s="37">
        <f t="shared" si="7"/>
        <v>3.4999999999999969E-2</v>
      </c>
      <c r="P455" s="38" t="str">
        <f>IFERROR(_xll.qlBlackFormula(IF(O455&lt;$C$4,"Put","Call"),O455,$C$4,$C$9*SQRT($C$7)),"")</f>
        <v/>
      </c>
      <c r="Q455" s="39">
        <f>IFERROR(_xll.qlBlackFormula(IF(O455&lt;$C$4,"Put","Call"),O455,$C$4,$C$10*SQRT($C$7),,$C$11),"")</f>
        <v>4.4170210862650924E-4</v>
      </c>
      <c r="R455" s="40">
        <f>IFERROR(_xll.qlBachelierBlackFormula(IF(O455&lt;$C$4,"Put","Call"),O455,$C$4,$C$12*SQRT($C$7)),"")</f>
        <v>1.9593652828193888E-4</v>
      </c>
      <c r="S455" s="41" t="str">
        <f>IFERROR((_xll.qlBlackFormula(IF(O455&lt;$C$4,"Put","Call"),O455+$C$14,$C$4,$C$9*SQRT($C$7))-
2*_xll.qlBlackFormula(IF(O455&lt;$C$4,"Put","Call"),O455,$C$4,$C$9*SQRT($C$7))+
_xll.qlBlackFormula(IF(O455&lt;$C$4,"Put","Call"),O455-$C$14,$C$4,$C$9*SQRT($C$7)))/$C$14^2,"")</f>
        <v/>
      </c>
      <c r="T455" s="42">
        <f>IFERROR((_xll.qlBlackFormula(IF(O455&lt;$C$4,"Put","Call"),O455+$C$14,$C$4,$C$10*SQRT($C$7),,$C$11)-
2*_xll.qlBlackFormula(IF(O455&lt;$C$4,"Put","Call"),O455,$C$4,$C$10*SQRT($C$7),,$C$11)+
_xll.qlBlackFormula(IF(O455&lt;$C$4,"Put","Call"),O455-$C$14,$C$4,$C$10*SQRT($C$7),,$C$11))/$C$14^2,"")</f>
        <v>4.3988779632742059</v>
      </c>
      <c r="U455" s="43">
        <f>IFERROR((_xll.qlBachelierBlackFormula(IF(O455&lt;$C$4,"Put","Call"),O455+$C$14,$C$4,$C$12*SQRT($C$7))-
2*_xll.qlBachelierBlackFormula(IF(O455&lt;$C$4,"Put","Call"),O455,$C$4,$C$12*SQRT($C$7))+
_xll.qlBachelierBlackFormula(IF(O455&lt;$C$4,"Put","Call"),O455-$C$14,$C$4,$C$12*SQRT($C$7)))/$C$14^2,"")</f>
        <v>4.369252789432343</v>
      </c>
      <c r="V455" s="61" t="str">
        <f>IFERROR(_xll.qlBachelierBlackFormulaImpliedVol(IF(O455&lt;$C$4,"Put","Call"),O455,$C$4,$C$7,P455),"")</f>
        <v/>
      </c>
      <c r="W455" s="61">
        <f>IFERROR(_xll.qlBachelierBlackFormulaImpliedVol(IF(O455&lt;$C$4,"Put","Call"),O455,$C$4,$C$7,Q455),"")</f>
        <v>8.4090178540838743E-3</v>
      </c>
      <c r="X455" s="61">
        <f>IFERROR(_xll.qlBachelierBlackFormulaImpliedVol(IF(O455&lt;$C$4,"Put","Call"),O455,$C$4,$C$7,R455),"")</f>
        <v>7.2020000000699086E-3</v>
      </c>
      <c r="Y455" s="96">
        <f>_xll.qlSmileSectionVolatility($C$40,O455+$C$31)</f>
        <v>9.2842349088590424E-3</v>
      </c>
    </row>
    <row r="456" spans="15:25">
      <c r="O456" s="37">
        <f t="shared" si="7"/>
        <v>3.5099999999999972E-2</v>
      </c>
      <c r="P456" s="38" t="str">
        <f>IFERROR(_xll.qlBlackFormula(IF(O456&lt;$C$4,"Put","Call"),O456,$C$4,$C$9*SQRT($C$7)),"")</f>
        <v/>
      </c>
      <c r="Q456" s="39">
        <f>IFERROR(_xll.qlBlackFormula(IF(O456&lt;$C$4,"Put","Call"),O456,$C$4,$C$10*SQRT($C$7),,$C$11),"")</f>
        <v>4.3715312045100249E-4</v>
      </c>
      <c r="R456" s="40">
        <f>IFERROR(_xll.qlBachelierBlackFormula(IF(O456&lt;$C$4,"Put","Call"),O456,$C$4,$C$12*SQRT($C$7)),"")</f>
        <v>1.9283428026487025E-4</v>
      </c>
      <c r="S456" s="41" t="str">
        <f>IFERROR((_xll.qlBlackFormula(IF(O456&lt;$C$4,"Put","Call"),O456+$C$14,$C$4,$C$9*SQRT($C$7))-
2*_xll.qlBlackFormula(IF(O456&lt;$C$4,"Put","Call"),O456,$C$4,$C$9*SQRT($C$7))+
_xll.qlBlackFormula(IF(O456&lt;$C$4,"Put","Call"),O456-$C$14,$C$4,$C$9*SQRT($C$7)))/$C$14^2,"")</f>
        <v/>
      </c>
      <c r="T456" s="42">
        <f>IFERROR((_xll.qlBlackFormula(IF(O456&lt;$C$4,"Put","Call"),O456+$C$14,$C$4,$C$10*SQRT($C$7),,$C$11)-
2*_xll.qlBlackFormula(IF(O456&lt;$C$4,"Put","Call"),O456,$C$4,$C$10*SQRT($C$7),,$C$11)+
_xll.qlBlackFormula(IF(O456&lt;$C$4,"Put","Call"),O456-$C$14,$C$4,$C$10*SQRT($C$7),,$C$11))/$C$14^2,"")</f>
        <v>4.3611607380977802</v>
      </c>
      <c r="U456" s="43">
        <f>IFERROR((_xll.qlBachelierBlackFormula(IF(O456&lt;$C$4,"Put","Call"),O456+$C$14,$C$4,$C$12*SQRT($C$7))-
2*_xll.qlBachelierBlackFormula(IF(O456&lt;$C$4,"Put","Call"),O456,$C$4,$C$12*SQRT($C$7))+
_xll.qlBachelierBlackFormula(IF(O456&lt;$C$4,"Put","Call"),O456-$C$14,$C$4,$C$12*SQRT($C$7)))/$C$14^2,"")</f>
        <v>4.3189203298779626</v>
      </c>
      <c r="V456" s="61" t="str">
        <f>IFERROR(_xll.qlBachelierBlackFormulaImpliedVol(IF(O456&lt;$C$4,"Put","Call"),O456,$C$4,$C$7,P456),"")</f>
        <v/>
      </c>
      <c r="W456" s="61">
        <f>IFERROR(_xll.qlBachelierBlackFormulaImpliedVol(IF(O456&lt;$C$4,"Put","Call"),O456,$C$4,$C$7,Q456),"")</f>
        <v>8.4128573897630649E-3</v>
      </c>
      <c r="X456" s="61">
        <f>IFERROR(_xll.qlBachelierBlackFormulaImpliedVol(IF(O456&lt;$C$4,"Put","Call"),O456,$C$4,$C$7,R456),"")</f>
        <v>7.2020000000711862E-3</v>
      </c>
      <c r="Y456" s="96">
        <f>_xll.qlSmileSectionVolatility($C$40,O456+$C$31)</f>
        <v>9.2927378537649187E-3</v>
      </c>
    </row>
    <row r="457" spans="15:25">
      <c r="O457" s="37">
        <f t="shared" si="7"/>
        <v>3.5199999999999974E-2</v>
      </c>
      <c r="P457" s="38" t="str">
        <f>IFERROR(_xll.qlBlackFormula(IF(O457&lt;$C$4,"Put","Call"),O457,$C$4,$C$9*SQRT($C$7)),"")</f>
        <v/>
      </c>
      <c r="Q457" s="39">
        <f>IFERROR(_xll.qlBlackFormula(IF(O457&lt;$C$4,"Put","Call"),O457,$C$4,$C$10*SQRT($C$7),,$C$11),"")</f>
        <v>4.3264774409203146E-4</v>
      </c>
      <c r="R457" s="40">
        <f>IFERROR(_xll.qlBachelierBlackFormula(IF(O457&lt;$C$4,"Put","Call"),O457,$C$4,$C$12*SQRT($C$7)),"")</f>
        <v>1.8977522178176948E-4</v>
      </c>
      <c r="S457" s="41" t="str">
        <f>IFERROR((_xll.qlBlackFormula(IF(O457&lt;$C$4,"Put","Call"),O457+$C$14,$C$4,$C$9*SQRT($C$7))-
2*_xll.qlBlackFormula(IF(O457&lt;$C$4,"Put","Call"),O457,$C$4,$C$9*SQRT($C$7))+
_xll.qlBlackFormula(IF(O457&lt;$C$4,"Put","Call"),O457-$C$14,$C$4,$C$9*SQRT($C$7)))/$C$14^2,"")</f>
        <v/>
      </c>
      <c r="T457" s="42">
        <f>IFERROR((_xll.qlBlackFormula(IF(O457&lt;$C$4,"Put","Call"),O457+$C$14,$C$4,$C$10*SQRT($C$7),,$C$11)-
2*_xll.qlBlackFormula(IF(O457&lt;$C$4,"Put","Call"),O457,$C$4,$C$10*SQRT($C$7),,$C$11)+
_xll.qlBlackFormula(IF(O457&lt;$C$4,"Put","Call"),O457-$C$14,$C$4,$C$10*SQRT($C$7),,$C$11))/$C$14^2,"")</f>
        <v>4.323699384634061</v>
      </c>
      <c r="U457" s="43">
        <f>IFERROR((_xll.qlBachelierBlackFormula(IF(O457&lt;$C$4,"Put","Call"),O457+$C$14,$C$4,$C$12*SQRT($C$7))-
2*_xll.qlBachelierBlackFormula(IF(O457&lt;$C$4,"Put","Call"),O457,$C$4,$C$12*SQRT($C$7))+
_xll.qlBachelierBlackFormula(IF(O457&lt;$C$4,"Put","Call"),O457-$C$14,$C$4,$C$12*SQRT($C$7)))/$C$14^2,"")</f>
        <v>4.2689986745267365</v>
      </c>
      <c r="V457" s="61" t="str">
        <f>IFERROR(_xll.qlBachelierBlackFormulaImpliedVol(IF(O457&lt;$C$4,"Put","Call"),O457,$C$4,$C$7,P457),"")</f>
        <v/>
      </c>
      <c r="W457" s="61">
        <f>IFERROR(_xll.qlBachelierBlackFormulaImpliedVol(IF(O457&lt;$C$4,"Put","Call"),O457,$C$4,$C$7,Q457),"")</f>
        <v>8.4166958688392003E-3</v>
      </c>
      <c r="X457" s="61">
        <f>IFERROR(_xll.qlBachelierBlackFormulaImpliedVol(IF(O457&lt;$C$4,"Put","Call"),O457,$C$4,$C$7,R457),"")</f>
        <v>7.2020000000723042E-3</v>
      </c>
      <c r="Y457" s="96">
        <f>_xll.qlSmileSectionVolatility($C$40,O457+$C$31)</f>
        <v>9.3012458201885591E-3</v>
      </c>
    </row>
    <row r="458" spans="15:25">
      <c r="O458" s="37">
        <f t="shared" si="7"/>
        <v>3.5299999999999977E-2</v>
      </c>
      <c r="P458" s="38" t="str">
        <f>IFERROR(_xll.qlBlackFormula(IF(O458&lt;$C$4,"Put","Call"),O458,$C$4,$C$9*SQRT($C$7)),"")</f>
        <v/>
      </c>
      <c r="Q458" s="39">
        <f>IFERROR(_xll.qlBlackFormula(IF(O458&lt;$C$4,"Put","Call"),O458,$C$4,$C$10*SQRT($C$7),,$C$11),"")</f>
        <v>4.2818560499852543E-4</v>
      </c>
      <c r="R458" s="40">
        <f>IFERROR(_xll.qlBachelierBlackFormula(IF(O458&lt;$C$4,"Put","Call"),O458,$C$4,$C$12*SQRT($C$7)),"")</f>
        <v>1.8675885364384016E-4</v>
      </c>
      <c r="S458" s="41" t="str">
        <f>IFERROR((_xll.qlBlackFormula(IF(O458&lt;$C$4,"Put","Call"),O458+$C$14,$C$4,$C$9*SQRT($C$7))-
2*_xll.qlBlackFormula(IF(O458&lt;$C$4,"Put","Call"),O458,$C$4,$C$9*SQRT($C$7))+
_xll.qlBlackFormula(IF(O458&lt;$C$4,"Put","Call"),O458-$C$14,$C$4,$C$9*SQRT($C$7)))/$C$14^2,"")</f>
        <v/>
      </c>
      <c r="T458" s="42">
        <f>IFERROR((_xll.qlBlackFormula(IF(O458&lt;$C$4,"Put","Call"),O458+$C$14,$C$4,$C$10*SQRT($C$7),,$C$11)-
2*_xll.qlBlackFormula(IF(O458&lt;$C$4,"Put","Call"),O458,$C$4,$C$10*SQRT($C$7),,$C$11)+
_xll.qlBlackFormula(IF(O458&lt;$C$4,"Put","Call"),O458-$C$14,$C$4,$C$10*SQRT($C$7),,$C$11))/$C$14^2,"")</f>
        <v>4.2865051785856423</v>
      </c>
      <c r="U458" s="43">
        <f>IFERROR((_xll.qlBachelierBlackFormula(IF(O458&lt;$C$4,"Put","Call"),O458+$C$14,$C$4,$C$12*SQRT($C$7))-
2*_xll.qlBachelierBlackFormula(IF(O458&lt;$C$4,"Put","Call"),O458,$C$4,$C$12*SQRT($C$7))+
_xll.qlBachelierBlackFormula(IF(O458&lt;$C$4,"Put","Call"),O458-$C$14,$C$4,$C$12*SQRT($C$7)))/$C$14^2,"")</f>
        <v>4.2194956296343067</v>
      </c>
      <c r="V458" s="61" t="str">
        <f>IFERROR(_xll.qlBachelierBlackFormulaImpliedVol(IF(O458&lt;$C$4,"Put","Call"),O458,$C$4,$C$7,P458),"")</f>
        <v/>
      </c>
      <c r="W458" s="61">
        <f>IFERROR(_xll.qlBachelierBlackFormulaImpliedVol(IF(O458&lt;$C$4,"Put","Call"),O458,$C$4,$C$7,Q458),"")</f>
        <v>8.4205332926738912E-3</v>
      </c>
      <c r="X458" s="61">
        <f>IFERROR(_xll.qlBachelierBlackFormulaImpliedVol(IF(O458&lt;$C$4,"Put","Call"),O458,$C$4,$C$7,R458),"")</f>
        <v>7.2020000000732037E-3</v>
      </c>
      <c r="Y458" s="96">
        <f>_xll.qlSmileSectionVolatility($C$40,O458+$C$31)</f>
        <v>9.3097587727305562E-3</v>
      </c>
    </row>
    <row r="459" spans="15:25">
      <c r="O459" s="37">
        <f t="shared" si="7"/>
        <v>3.539999999999998E-2</v>
      </c>
      <c r="P459" s="38" t="str">
        <f>IFERROR(_xll.qlBlackFormula(IF(O459&lt;$C$4,"Put","Call"),O459,$C$4,$C$9*SQRT($C$7)),"")</f>
        <v/>
      </c>
      <c r="Q459" s="39">
        <f>IFERROR(_xll.qlBlackFormula(IF(O459&lt;$C$4,"Put","Call"),O459,$C$4,$C$10*SQRT($C$7),,$C$11),"")</f>
        <v>4.2376633126021013E-4</v>
      </c>
      <c r="R459" s="40">
        <f>IFERROR(_xll.qlBachelierBlackFormula(IF(O459&lt;$C$4,"Put","Call"),O459,$C$4,$C$12*SQRT($C$7)),"")</f>
        <v>1.8378468080494734E-4</v>
      </c>
      <c r="S459" s="41" t="str">
        <f>IFERROR((_xll.qlBlackFormula(IF(O459&lt;$C$4,"Put","Call"),O459+$C$14,$C$4,$C$9*SQRT($C$7))-
2*_xll.qlBlackFormula(IF(O459&lt;$C$4,"Put","Call"),O459,$C$4,$C$9*SQRT($C$7))+
_xll.qlBlackFormula(IF(O459&lt;$C$4,"Put","Call"),O459-$C$14,$C$4,$C$9*SQRT($C$7)))/$C$14^2,"")</f>
        <v/>
      </c>
      <c r="T459" s="42">
        <f>IFERROR((_xll.qlBlackFormula(IF(O459&lt;$C$4,"Put","Call"),O459+$C$14,$C$4,$C$10*SQRT($C$7),,$C$11)-
2*_xll.qlBlackFormula(IF(O459&lt;$C$4,"Put","Call"),O459,$C$4,$C$10*SQRT($C$7),,$C$11)+
_xll.qlBlackFormula(IF(O459&lt;$C$4,"Put","Call"),O459-$C$14,$C$4,$C$10*SQRT($C$7),,$C$11))/$C$14^2,"")</f>
        <v>4.2495963345490217</v>
      </c>
      <c r="U459" s="43">
        <f>IFERROR((_xll.qlBachelierBlackFormula(IF(O459&lt;$C$4,"Put","Call"),O459+$C$14,$C$4,$C$12*SQRT($C$7))-
2*_xll.qlBachelierBlackFormula(IF(O459&lt;$C$4,"Put","Call"),O459,$C$4,$C$12*SQRT($C$7))+
_xll.qlBachelierBlackFormula(IF(O459&lt;$C$4,"Put","Call"),O459-$C$14,$C$4,$C$12*SQRT($C$7)))/$C$14^2,"")</f>
        <v>4.170402955264163</v>
      </c>
      <c r="V459" s="61" t="str">
        <f>IFERROR(_xll.qlBachelierBlackFormulaImpliedVol(IF(O459&lt;$C$4,"Put","Call"),O459,$C$4,$C$7,P459),"")</f>
        <v/>
      </c>
      <c r="W459" s="61">
        <f>IFERROR(_xll.qlBachelierBlackFormulaImpliedVol(IF(O459&lt;$C$4,"Put","Call"),O459,$C$4,$C$7,Q459),"")</f>
        <v>8.424369662625707E-3</v>
      </c>
      <c r="X459" s="61">
        <f>IFERROR(_xll.qlBachelierBlackFormulaImpliedVol(IF(O459&lt;$C$4,"Put","Call"),O459,$C$4,$C$7,R459),"")</f>
        <v>7.2020000000739392E-3</v>
      </c>
      <c r="Y459" s="96">
        <f>_xll.qlSmileSectionVolatility($C$40,O459+$C$31)</f>
        <v>9.3182766762057202E-3</v>
      </c>
    </row>
    <row r="460" spans="15:25">
      <c r="O460" s="37">
        <f t="shared" si="7"/>
        <v>3.5499999999999983E-2</v>
      </c>
      <c r="P460" s="38" t="str">
        <f>IFERROR(_xll.qlBlackFormula(IF(O460&lt;$C$4,"Put","Call"),O460,$C$4,$C$9*SQRT($C$7)),"")</f>
        <v/>
      </c>
      <c r="Q460" s="39">
        <f>IFERROR(_xll.qlBlackFormula(IF(O460&lt;$C$4,"Put","Call"),O460,$C$4,$C$10*SQRT($C$7),,$C$11),"")</f>
        <v>4.1938955359663473E-4</v>
      </c>
      <c r="R460" s="40">
        <f>IFERROR(_xll.qlBachelierBlackFormula(IF(O460&lt;$C$4,"Put","Call"),O460,$C$4,$C$12*SQRT($C$7)),"")</f>
        <v>1.8085221235151138E-4</v>
      </c>
      <c r="S460" s="41" t="str">
        <f>IFERROR((_xll.qlBlackFormula(IF(O460&lt;$C$4,"Put","Call"),O460+$C$14,$C$4,$C$9*SQRT($C$7))-
2*_xll.qlBlackFormula(IF(O460&lt;$C$4,"Put","Call"),O460,$C$4,$C$9*SQRT($C$7))+
_xll.qlBlackFormula(IF(O460&lt;$C$4,"Put","Call"),O460-$C$14,$C$4,$C$9*SQRT($C$7)))/$C$14^2,"")</f>
        <v/>
      </c>
      <c r="T460" s="42">
        <f>IFERROR((_xll.qlBlackFormula(IF(O460&lt;$C$4,"Put","Call"),O460+$C$14,$C$4,$C$10*SQRT($C$7),,$C$11)-
2*_xll.qlBlackFormula(IF(O460&lt;$C$4,"Put","Call"),O460,$C$4,$C$10*SQRT($C$7),,$C$11)+
_xll.qlBlackFormula(IF(O460&lt;$C$4,"Put","Call"),O460-$C$14,$C$4,$C$10*SQRT($C$7),,$C$11))/$C$14^2,"")</f>
        <v>4.2129199434581821</v>
      </c>
      <c r="U460" s="43">
        <f>IFERROR((_xll.qlBachelierBlackFormula(IF(O460&lt;$C$4,"Put","Call"),O460+$C$14,$C$4,$C$12*SQRT($C$7))-
2*_xll.qlBachelierBlackFormula(IF(O460&lt;$C$4,"Put","Call"),O460,$C$4,$C$12*SQRT($C$7))+
_xll.qlBachelierBlackFormula(IF(O460&lt;$C$4,"Put","Call"),O460-$C$14,$C$4,$C$12*SQRT($C$7)))/$C$14^2,"")</f>
        <v>4.1217271566293405</v>
      </c>
      <c r="V460" s="61" t="str">
        <f>IFERROR(_xll.qlBachelierBlackFormulaImpliedVol(IF(O460&lt;$C$4,"Put","Call"),O460,$C$4,$C$7,P460),"")</f>
        <v/>
      </c>
      <c r="W460" s="61">
        <f>IFERROR(_xll.qlBachelierBlackFormulaImpliedVol(IF(O460&lt;$C$4,"Put","Call"),O460,$C$4,$C$7,Q460),"")</f>
        <v>8.4282049800503741E-3</v>
      </c>
      <c r="X460" s="61">
        <f>IFERROR(_xll.qlBachelierBlackFormulaImpliedVol(IF(O460&lt;$C$4,"Put","Call"),O460,$C$4,$C$7,R460),"")</f>
        <v>7.2020000000744362E-3</v>
      </c>
      <c r="Y460" s="96">
        <f>_xll.qlSmileSectionVolatility($C$40,O460+$C$31)</f>
        <v>9.3267994956419929E-3</v>
      </c>
    </row>
    <row r="461" spans="15:25">
      <c r="O461" s="37">
        <f t="shared" si="7"/>
        <v>3.5599999999999986E-2</v>
      </c>
      <c r="P461" s="38" t="str">
        <f>IFERROR(_xll.qlBlackFormula(IF(O461&lt;$C$4,"Put","Call"),O461,$C$4,$C$9*SQRT($C$7)),"")</f>
        <v/>
      </c>
      <c r="Q461" s="39">
        <f>IFERROR(_xll.qlBlackFormula(IF(O461&lt;$C$4,"Put","Call"),O461,$C$4,$C$10*SQRT($C$7),,$C$11),"")</f>
        <v>4.1505490534605484E-4</v>
      </c>
      <c r="R461" s="40">
        <f>IFERROR(_xll.qlBachelierBlackFormula(IF(O461&lt;$C$4,"Put","Call"),O461,$C$4,$C$12*SQRT($C$7)),"")</f>
        <v>1.7796096149208344E-4</v>
      </c>
      <c r="S461" s="41" t="str">
        <f>IFERROR((_xll.qlBlackFormula(IF(O461&lt;$C$4,"Put","Call"),O461+$C$14,$C$4,$C$9*SQRT($C$7))-
2*_xll.qlBlackFormula(IF(O461&lt;$C$4,"Put","Call"),O461,$C$4,$C$9*SQRT($C$7))+
_xll.qlBlackFormula(IF(O461&lt;$C$4,"Put","Call"),O461-$C$14,$C$4,$C$9*SQRT($C$7)))/$C$14^2,"")</f>
        <v/>
      </c>
      <c r="T461" s="42">
        <f>IFERROR((_xll.qlBlackFormula(IF(O461&lt;$C$4,"Put","Call"),O461+$C$14,$C$4,$C$10*SQRT($C$7),,$C$11)-
2*_xll.qlBlackFormula(IF(O461&lt;$C$4,"Put","Call"),O461,$C$4,$C$10*SQRT($C$7),,$C$11)+
_xll.qlBlackFormula(IF(O461&lt;$C$4,"Put","Call"),O461-$C$14,$C$4,$C$10*SQRT($C$7),,$C$11))/$C$14^2,"")</f>
        <v>4.1765193734000228</v>
      </c>
      <c r="U461" s="43">
        <f>IFERROR((_xll.qlBachelierBlackFormula(IF(O461&lt;$C$4,"Put","Call"),O461+$C$14,$C$4,$C$12*SQRT($C$7))-
2*_xll.qlBachelierBlackFormula(IF(O461&lt;$C$4,"Put","Call"),O461,$C$4,$C$12*SQRT($C$7))+
_xll.qlBachelierBlackFormula(IF(O461&lt;$C$4,"Put","Call"),O461-$C$14,$C$4,$C$12*SQRT($C$7)))/$C$14^2,"")</f>
        <v>4.0734590180113717</v>
      </c>
      <c r="V461" s="61" t="str">
        <f>IFERROR(_xll.qlBachelierBlackFormulaImpliedVol(IF(O461&lt;$C$4,"Put","Call"),O461,$C$4,$C$7,P461),"")</f>
        <v/>
      </c>
      <c r="W461" s="61">
        <f>IFERROR(_xll.qlBachelierBlackFormulaImpliedVol(IF(O461&lt;$C$4,"Put","Call"),O461,$C$4,$C$7,Q461),"")</f>
        <v>8.4320392463005343E-3</v>
      </c>
      <c r="X461" s="61">
        <f>IFERROR(_xll.qlBachelierBlackFormulaImpliedVol(IF(O461&lt;$C$4,"Put","Call"),O461,$C$4,$C$7,R461),"")</f>
        <v>7.2020000000747268E-3</v>
      </c>
      <c r="Y461" s="96">
        <f>_xll.qlSmileSectionVolatility($C$40,O461+$C$31)</f>
        <v>9.3353271962793669E-3</v>
      </c>
    </row>
    <row r="462" spans="15:25">
      <c r="O462" s="37">
        <f t="shared" si="7"/>
        <v>3.5699999999999989E-2</v>
      </c>
      <c r="P462" s="38" t="str">
        <f>IFERROR(_xll.qlBlackFormula(IF(O462&lt;$C$4,"Put","Call"),O462,$C$4,$C$9*SQRT($C$7)),"")</f>
        <v/>
      </c>
      <c r="Q462" s="39">
        <f>IFERROR(_xll.qlBlackFormula(IF(O462&lt;$C$4,"Put","Call"),O462,$C$4,$C$10*SQRT($C$7),,$C$11),"")</f>
        <v>4.1076202245434422E-4</v>
      </c>
      <c r="R462" s="40">
        <f>IFERROR(_xll.qlBachelierBlackFormula(IF(O462&lt;$C$4,"Put","Call"),O462,$C$4,$C$12*SQRT($C$7)),"")</f>
        <v>1.7511044554653719E-4</v>
      </c>
      <c r="S462" s="41" t="str">
        <f>IFERROR((_xll.qlBlackFormula(IF(O462&lt;$C$4,"Put","Call"),O462+$C$14,$C$4,$C$9*SQRT($C$7))-
2*_xll.qlBlackFormula(IF(O462&lt;$C$4,"Put","Call"),O462,$C$4,$C$9*SQRT($C$7))+
_xll.qlBlackFormula(IF(O462&lt;$C$4,"Put","Call"),O462-$C$14,$C$4,$C$9*SQRT($C$7)))/$C$14^2,"")</f>
        <v/>
      </c>
      <c r="T462" s="42">
        <f>IFERROR((_xll.qlBlackFormula(IF(O462&lt;$C$4,"Put","Call"),O462+$C$14,$C$4,$C$10*SQRT($C$7),,$C$11)-
2*_xll.qlBlackFormula(IF(O462&lt;$C$4,"Put","Call"),O462,$C$4,$C$10*SQRT($C$7),,$C$11)+
_xll.qlBlackFormula(IF(O462&lt;$C$4,"Put","Call"),O462-$C$14,$C$4,$C$10*SQRT($C$7),,$C$11))/$C$14^2,"")</f>
        <v>4.1403798792249979</v>
      </c>
      <c r="U462" s="43">
        <f>IFERROR((_xll.qlBachelierBlackFormula(IF(O462&lt;$C$4,"Put","Call"),O462+$C$14,$C$4,$C$12*SQRT($C$7))-
2*_xll.qlBachelierBlackFormula(IF(O462&lt;$C$4,"Put","Call"),O462,$C$4,$C$12*SQRT($C$7))+
_xll.qlBachelierBlackFormula(IF(O462&lt;$C$4,"Put","Call"),O462-$C$14,$C$4,$C$12*SQRT($C$7)))/$C$14^2,"")</f>
        <v>4.0256007078146032</v>
      </c>
      <c r="V462" s="61" t="str">
        <f>IFERROR(_xll.qlBachelierBlackFormulaImpliedVol(IF(O462&lt;$C$4,"Put","Call"),O462,$C$4,$C$7,P462),"")</f>
        <v/>
      </c>
      <c r="W462" s="61">
        <f>IFERROR(_xll.qlBachelierBlackFormulaImpliedVol(IF(O462&lt;$C$4,"Put","Call"),O462,$C$4,$C$7,Q462),"")</f>
        <v>8.4358724627259206E-3</v>
      </c>
      <c r="X462" s="61">
        <f>IFERROR(_xll.qlBachelierBlackFormulaImpliedVol(IF(O462&lt;$C$4,"Put","Call"),O462,$C$4,$C$7,R462),"")</f>
        <v>7.2020000000748083E-3</v>
      </c>
      <c r="Y462" s="96">
        <f>_xll.qlSmileSectionVolatility($C$40,O462+$C$31)</f>
        <v>9.3438597435688223E-3</v>
      </c>
    </row>
    <row r="463" spans="15:25">
      <c r="O463" s="37">
        <f t="shared" si="7"/>
        <v>3.5799999999999992E-2</v>
      </c>
      <c r="P463" s="38" t="str">
        <f>IFERROR(_xll.qlBlackFormula(IF(O463&lt;$C$4,"Put","Call"),O463,$C$4,$C$9*SQRT($C$7)),"")</f>
        <v/>
      </c>
      <c r="Q463" s="39">
        <f>IFERROR(_xll.qlBlackFormula(IF(O463&lt;$C$4,"Put","Call"),O463,$C$4,$C$10*SQRT($C$7),,$C$11),"")</f>
        <v>4.0651054346382658E-4</v>
      </c>
      <c r="R463" s="40">
        <f>IFERROR(_xll.qlBachelierBlackFormula(IF(O463&lt;$C$4,"Put","Call"),O463,$C$4,$C$12*SQRT($C$7)),"")</f>
        <v>1.7230018593493652E-4</v>
      </c>
      <c r="S463" s="41" t="str">
        <f>IFERROR((_xll.qlBlackFormula(IF(O463&lt;$C$4,"Put","Call"),O463+$C$14,$C$4,$C$9*SQRT($C$7))-
2*_xll.qlBlackFormula(IF(O463&lt;$C$4,"Put","Call"),O463,$C$4,$C$9*SQRT($C$7))+
_xll.qlBlackFormula(IF(O463&lt;$C$4,"Put","Call"),O463-$C$14,$C$4,$C$9*SQRT($C$7)))/$C$14^2,"")</f>
        <v/>
      </c>
      <c r="T463" s="42">
        <f>IFERROR((_xll.qlBlackFormula(IF(O463&lt;$C$4,"Put","Call"),O463+$C$14,$C$4,$C$10*SQRT($C$7),,$C$11)-
2*_xll.qlBlackFormula(IF(O463&lt;$C$4,"Put","Call"),O463,$C$4,$C$10*SQRT($C$7),,$C$11)+
_xll.qlBlackFormula(IF(O463&lt;$C$4,"Put","Call"),O463-$C$14,$C$4,$C$10*SQRT($C$7),,$C$11))/$C$14^2,"")</f>
        <v>4.1044667664635881</v>
      </c>
      <c r="U463" s="43">
        <f>IFERROR((_xll.qlBachelierBlackFormula(IF(O463&lt;$C$4,"Put","Call"),O463+$C$14,$C$4,$C$12*SQRT($C$7))-
2*_xll.qlBachelierBlackFormula(IF(O463&lt;$C$4,"Put","Call"),O463,$C$4,$C$12*SQRT($C$7))+
_xll.qlBachelierBlackFormula(IF(O463&lt;$C$4,"Put","Call"),O463-$C$14,$C$4,$C$12*SQRT($C$7)))/$C$14^2,"")</f>
        <v>3.9781499492144712</v>
      </c>
      <c r="V463" s="61" t="str">
        <f>IFERROR(_xll.qlBachelierBlackFormulaImpliedVol(IF(O463&lt;$C$4,"Put","Call"),O463,$C$4,$C$7,P463),"")</f>
        <v/>
      </c>
      <c r="W463" s="61">
        <f>IFERROR(_xll.qlBachelierBlackFormulaImpliedVol(IF(O463&lt;$C$4,"Put","Call"),O463,$C$4,$C$7,Q463),"")</f>
        <v>8.4397046306734468E-3</v>
      </c>
      <c r="X463" s="61">
        <f>IFERROR(_xll.qlBachelierBlackFormulaImpliedVol(IF(O463&lt;$C$4,"Put","Call"),O463,$C$4,$C$7,R463),"")</f>
        <v>7.2020000000746617E-3</v>
      </c>
      <c r="Y463" s="96">
        <f>_xll.qlSmileSectionVolatility($C$40,O463+$C$31)</f>
        <v>9.3523971031712495E-3</v>
      </c>
    </row>
    <row r="464" spans="15:25">
      <c r="O464" s="37">
        <f t="shared" si="7"/>
        <v>3.5899999999999994E-2</v>
      </c>
      <c r="P464" s="38" t="str">
        <f>IFERROR(_xll.qlBlackFormula(IF(O464&lt;$C$4,"Put","Call"),O464,$C$4,$C$9*SQRT($C$7)),"")</f>
        <v/>
      </c>
      <c r="Q464" s="39">
        <f>IFERROR(_xll.qlBlackFormula(IF(O464&lt;$C$4,"Put","Call"),O464,$C$4,$C$10*SQRT($C$7),,$C$11),"")</f>
        <v>4.0230010950194871E-4</v>
      </c>
      <c r="R464" s="40">
        <f>IFERROR(_xll.qlBachelierBlackFormula(IF(O464&lt;$C$4,"Put","Call"),O464,$C$4,$C$12*SQRT($C$7)),"")</f>
        <v>1.69529708166044E-4</v>
      </c>
      <c r="S464" s="41" t="str">
        <f>IFERROR((_xll.qlBlackFormula(IF(O464&lt;$C$4,"Put","Call"),O464+$C$14,$C$4,$C$9*SQRT($C$7))-
2*_xll.qlBlackFormula(IF(O464&lt;$C$4,"Put","Call"),O464,$C$4,$C$9*SQRT($C$7))+
_xll.qlBlackFormula(IF(O464&lt;$C$4,"Put","Call"),O464-$C$14,$C$4,$C$9*SQRT($C$7)))/$C$14^2,"")</f>
        <v/>
      </c>
      <c r="T464" s="42">
        <f>IFERROR((_xll.qlBlackFormula(IF(O464&lt;$C$4,"Put","Call"),O464+$C$14,$C$4,$C$10*SQRT($C$7),,$C$11)-
2*_xll.qlBlackFormula(IF(O464&lt;$C$4,"Put","Call"),O464,$C$4,$C$10*SQRT($C$7),,$C$11)+
_xll.qlBlackFormula(IF(O464&lt;$C$4,"Put","Call"),O464-$C$14,$C$4,$C$10*SQRT($C$7),,$C$11))/$C$14^2,"")</f>
        <v>4.0688485566930943</v>
      </c>
      <c r="U464" s="43">
        <f>IFERROR((_xll.qlBachelierBlackFormula(IF(O464&lt;$C$4,"Put","Call"),O464+$C$14,$C$4,$C$12*SQRT($C$7))-
2*_xll.qlBachelierBlackFormula(IF(O464&lt;$C$4,"Put","Call"),O464,$C$4,$C$12*SQRT($C$7))+
_xll.qlBachelierBlackFormula(IF(O464&lt;$C$4,"Put","Call"),O464-$C$14,$C$4,$C$12*SQRT($C$7)))/$C$14^2,"")</f>
        <v>3.9311093442961909</v>
      </c>
      <c r="V464" s="61" t="str">
        <f>IFERROR(_xll.qlBachelierBlackFormulaImpliedVol(IF(O464&lt;$C$4,"Put","Call"),O464,$C$4,$C$7,P464),"")</f>
        <v/>
      </c>
      <c r="W464" s="61">
        <f>IFERROR(_xll.qlBachelierBlackFormulaImpliedVol(IF(O464&lt;$C$4,"Put","Call"),O464,$C$4,$C$7,Q464),"")</f>
        <v>8.4435357514868348E-3</v>
      </c>
      <c r="X464" s="61">
        <f>IFERROR(_xll.qlBachelierBlackFormulaImpliedVol(IF(O464&lt;$C$4,"Put","Call"),O464,$C$4,$C$7,R464),"")</f>
        <v>7.2020000000742584E-3</v>
      </c>
      <c r="Y464" s="96">
        <f>_xll.qlSmileSectionVolatility($C$40,O464+$C$31)</f>
        <v>9.3609392409563681E-3</v>
      </c>
    </row>
    <row r="465" spans="15:25">
      <c r="O465" s="37">
        <f t="shared" ref="O465:O528" si="8">O464+0.01%</f>
        <v>3.5999999999999997E-2</v>
      </c>
      <c r="P465" s="38" t="str">
        <f>IFERROR(_xll.qlBlackFormula(IF(O465&lt;$C$4,"Put","Call"),O465,$C$4,$C$9*SQRT($C$7)),"")</f>
        <v/>
      </c>
      <c r="Q465" s="39">
        <f>IFERROR(_xll.qlBlackFormula(IF(O465&lt;$C$4,"Put","Call"),O465,$C$4,$C$10*SQRT($C$7),,$C$11),"")</f>
        <v>3.9813036427011235E-4</v>
      </c>
      <c r="R465" s="40">
        <f>IFERROR(_xll.qlBachelierBlackFormula(IF(O465&lt;$C$4,"Put","Call"),O465,$C$4,$C$12*SQRT($C$7)),"")</f>
        <v>1.6679854182551611E-4</v>
      </c>
      <c r="S465" s="41" t="str">
        <f>IFERROR((_xll.qlBlackFormula(IF(O465&lt;$C$4,"Put","Call"),O465+$C$14,$C$4,$C$9*SQRT($C$7))-
2*_xll.qlBlackFormula(IF(O465&lt;$C$4,"Put","Call"),O465,$C$4,$C$9*SQRT($C$7))+
_xll.qlBlackFormula(IF(O465&lt;$C$4,"Put","Call"),O465-$C$14,$C$4,$C$9*SQRT($C$7)))/$C$14^2,"")</f>
        <v/>
      </c>
      <c r="T465" s="42">
        <f>IFERROR((_xll.qlBlackFormula(IF(O465&lt;$C$4,"Put","Call"),O465+$C$14,$C$4,$C$10*SQRT($C$7),,$C$11)-
2*_xll.qlBlackFormula(IF(O465&lt;$C$4,"Put","Call"),O465,$C$4,$C$10*SQRT($C$7),,$C$11)+
_xll.qlBlackFormula(IF(O465&lt;$C$4,"Put","Call"),O465-$C$14,$C$4,$C$10*SQRT($C$7),,$C$11))/$C$14^2,"")</f>
        <v>4.0334758102944512</v>
      </c>
      <c r="U465" s="43">
        <f>IFERROR((_xll.qlBachelierBlackFormula(IF(O465&lt;$C$4,"Put","Call"),O465+$C$14,$C$4,$C$12*SQRT($C$7))-
2*_xll.qlBachelierBlackFormula(IF(O465&lt;$C$4,"Put","Call"),O465,$C$4,$C$12*SQRT($C$7))+
_xll.qlBachelierBlackFormula(IF(O465&lt;$C$4,"Put","Call"),O465-$C$14,$C$4,$C$12*SQRT($C$7)))/$C$14^2,"")</f>
        <v>3.8844706531232509</v>
      </c>
      <c r="V465" s="61" t="str">
        <f>IFERROR(_xll.qlBachelierBlackFormulaImpliedVol(IF(O465&lt;$C$4,"Put","Call"),O465,$C$4,$C$7,P465),"")</f>
        <v/>
      </c>
      <c r="W465" s="61">
        <f>IFERROR(_xll.qlBachelierBlackFormulaImpliedVol(IF(O465&lt;$C$4,"Put","Call"),O465,$C$4,$C$7,Q465),"")</f>
        <v>8.4473658265071683E-3</v>
      </c>
      <c r="X465" s="61">
        <f>IFERROR(_xll.qlBachelierBlackFormulaImpliedVol(IF(O465&lt;$C$4,"Put","Call"),O465,$C$4,$C$7,R465),"")</f>
        <v>7.2020000000736339E-3</v>
      </c>
      <c r="Y465" s="96">
        <f>_xll.qlSmileSectionVolatility($C$40,O465+$C$31)</f>
        <v>9.3694861230016538E-3</v>
      </c>
    </row>
    <row r="466" spans="15:25">
      <c r="O466" s="37">
        <f t="shared" si="8"/>
        <v>3.61E-2</v>
      </c>
      <c r="P466" s="38" t="str">
        <f>IFERROR(_xll.qlBlackFormula(IF(O466&lt;$C$4,"Put","Call"),O466,$C$4,$C$9*SQRT($C$7)),"")</f>
        <v/>
      </c>
      <c r="Q466" s="39">
        <f>IFERROR(_xll.qlBlackFormula(IF(O466&lt;$C$4,"Put","Call"),O466,$C$4,$C$10*SQRT($C$7),,$C$11),"")</f>
        <v>3.9400095403220852E-4</v>
      </c>
      <c r="R466" s="40">
        <f>IFERROR(_xll.qlBachelierBlackFormula(IF(O466&lt;$C$4,"Put","Call"),O466,$C$4,$C$12*SQRT($C$7)),"")</f>
        <v>1.6410622056373797E-4</v>
      </c>
      <c r="S466" s="41" t="str">
        <f>IFERROR((_xll.qlBlackFormula(IF(O466&lt;$C$4,"Put","Call"),O466+$C$14,$C$4,$C$9*SQRT($C$7))-
2*_xll.qlBlackFormula(IF(O466&lt;$C$4,"Put","Call"),O466,$C$4,$C$9*SQRT($C$7))+
_xll.qlBlackFormula(IF(O466&lt;$C$4,"Put","Call"),O466-$C$14,$C$4,$C$9*SQRT($C$7)))/$C$14^2,"")</f>
        <v/>
      </c>
      <c r="T466" s="42">
        <f>IFERROR((_xll.qlBlackFormula(IF(O466&lt;$C$4,"Put","Call"),O466+$C$14,$C$4,$C$10*SQRT($C$7),,$C$11)-
2*_xll.qlBlackFormula(IF(O466&lt;$C$4,"Put","Call"),O466,$C$4,$C$10*SQRT($C$7),,$C$11)+
_xll.qlBlackFormula(IF(O466&lt;$C$4,"Put","Call"),O466-$C$14,$C$4,$C$10*SQRT($C$7),,$C$11))/$C$14^2,"")</f>
        <v>3.9983615376937287</v>
      </c>
      <c r="U466" s="43">
        <f>IFERROR((_xll.qlBachelierBlackFormula(IF(O466&lt;$C$4,"Put","Call"),O466+$C$14,$C$4,$C$12*SQRT($C$7))-
2*_xll.qlBachelierBlackFormula(IF(O466&lt;$C$4,"Put","Call"),O466,$C$4,$C$12*SQRT($C$7))+
_xll.qlBachelierBlackFormula(IF(O466&lt;$C$4,"Put","Call"),O466-$C$14,$C$4,$C$12*SQRT($C$7)))/$C$14^2,"")</f>
        <v>3.8382461271802004</v>
      </c>
      <c r="V466" s="61" t="str">
        <f>IFERROR(_xll.qlBachelierBlackFormulaImpliedVol(IF(O466&lt;$C$4,"Put","Call"),O466,$C$4,$C$7,P466),"")</f>
        <v/>
      </c>
      <c r="W466" s="61">
        <f>IFERROR(_xll.qlBachelierBlackFormulaImpliedVol(IF(O466&lt;$C$4,"Put","Call"),O466,$C$4,$C$7,Q466),"")</f>
        <v>8.451194857072403E-3</v>
      </c>
      <c r="X466" s="61">
        <f>IFERROR(_xll.qlBachelierBlackFormulaImpliedVol(IF(O466&lt;$C$4,"Put","Call"),O466,$C$4,$C$7,R466),"")</f>
        <v>7.2020000000727275E-3</v>
      </c>
      <c r="Y466" s="96">
        <f>_xll.qlSmileSectionVolatility($C$40,O466+$C$31)</f>
        <v>9.3780377155912604E-3</v>
      </c>
    </row>
    <row r="467" spans="15:25">
      <c r="O467" s="37">
        <f t="shared" si="8"/>
        <v>3.6200000000000003E-2</v>
      </c>
      <c r="P467" s="38" t="str">
        <f>IFERROR(_xll.qlBlackFormula(IF(O467&lt;$C$4,"Put","Call"),O467,$C$4,$C$9*SQRT($C$7)),"")</f>
        <v/>
      </c>
      <c r="Q467" s="39">
        <f>IFERROR(_xll.qlBlackFormula(IF(O467&lt;$C$4,"Put","Call"),O467,$C$4,$C$10*SQRT($C$7),,$C$11),"")</f>
        <v>3.8991152760331927E-4</v>
      </c>
      <c r="R467" s="40">
        <f>IFERROR(_xll.qlBachelierBlackFormula(IF(O467&lt;$C$4,"Put","Call"),O467,$C$4,$C$12*SQRT($C$7)),"")</f>
        <v>1.6145228208337876E-4</v>
      </c>
      <c r="S467" s="41" t="str">
        <f>IFERROR((_xll.qlBlackFormula(IF(O467&lt;$C$4,"Put","Call"),O467+$C$14,$C$4,$C$9*SQRT($C$7))-
2*_xll.qlBlackFormula(IF(O467&lt;$C$4,"Put","Call"),O467,$C$4,$C$9*SQRT($C$7))+
_xll.qlBlackFormula(IF(O467&lt;$C$4,"Put","Call"),O467-$C$14,$C$4,$C$9*SQRT($C$7)))/$C$14^2,"")</f>
        <v/>
      </c>
      <c r="T467" s="42">
        <f>IFERROR((_xll.qlBlackFormula(IF(O467&lt;$C$4,"Put","Call"),O467+$C$14,$C$4,$C$10*SQRT($C$7),,$C$11)-
2*_xll.qlBlackFormula(IF(O467&lt;$C$4,"Put","Call"),O467,$C$4,$C$10*SQRT($C$7),,$C$11)+
_xll.qlBlackFormula(IF(O467&lt;$C$4,"Put","Call"),O467-$C$14,$C$4,$C$10*SQRT($C$7),,$C$11))/$C$14^2,"")</f>
        <v>3.9634918611031189</v>
      </c>
      <c r="U467" s="43">
        <f>IFERROR((_xll.qlBachelierBlackFormula(IF(O467&lt;$C$4,"Put","Call"),O467+$C$14,$C$4,$C$12*SQRT($C$7))-
2*_xll.qlBachelierBlackFormula(IF(O467&lt;$C$4,"Put","Call"),O467,$C$4,$C$12*SQRT($C$7))+
_xll.qlBachelierBlackFormula(IF(O467&lt;$C$4,"Put","Call"),O467-$C$14,$C$4,$C$12*SQRT($C$7)))/$C$14^2,"")</f>
        <v>3.7924183108120624</v>
      </c>
      <c r="V467" s="61" t="str">
        <f>IFERROR(_xll.qlBachelierBlackFormulaImpliedVol(IF(O467&lt;$C$4,"Put","Call"),O467,$C$4,$C$7,P467),"")</f>
        <v/>
      </c>
      <c r="W467" s="61">
        <f>IFERROR(_xll.qlBachelierBlackFormulaImpliedVol(IF(O467&lt;$C$4,"Put","Call"),O467,$C$4,$C$7,Q467),"")</f>
        <v>8.4550228445178163E-3</v>
      </c>
      <c r="X467" s="61">
        <f>IFERROR(_xll.qlBachelierBlackFormulaImpliedVol(IF(O467&lt;$C$4,"Put","Call"),O467,$C$4,$C$7,R467),"")</f>
        <v>7.2020000000716129E-3</v>
      </c>
      <c r="Y467" s="96">
        <f>_xll.qlSmileSectionVolatility($C$40,O467+$C$31)</f>
        <v>9.3865939852149482E-3</v>
      </c>
    </row>
    <row r="468" spans="15:25">
      <c r="O468" s="37">
        <f t="shared" si="8"/>
        <v>3.6300000000000006E-2</v>
      </c>
      <c r="P468" s="38" t="str">
        <f>IFERROR(_xll.qlBlackFormula(IF(O468&lt;$C$4,"Put","Call"),O468,$C$4,$C$9*SQRT($C$7)),"")</f>
        <v/>
      </c>
      <c r="Q468" s="39">
        <f>IFERROR(_xll.qlBlackFormula(IF(O468&lt;$C$4,"Put","Call"),O468,$C$4,$C$10*SQRT($C$7),,$C$11),"")</f>
        <v>3.8586173633817916E-4</v>
      </c>
      <c r="R468" s="40">
        <f>IFERROR(_xll.qlBachelierBlackFormula(IF(O468&lt;$C$4,"Put","Call"),O468,$C$4,$C$12*SQRT($C$7)),"")</f>
        <v>1.5883626812657355E-4</v>
      </c>
      <c r="S468" s="41" t="str">
        <f>IFERROR((_xll.qlBlackFormula(IF(O468&lt;$C$4,"Put","Call"),O468+$C$14,$C$4,$C$9*SQRT($C$7))-
2*_xll.qlBlackFormula(IF(O468&lt;$C$4,"Put","Call"),O468,$C$4,$C$9*SQRT($C$7))+
_xll.qlBlackFormula(IF(O468&lt;$C$4,"Put","Call"),O468-$C$14,$C$4,$C$9*SQRT($C$7)))/$C$14^2,"")</f>
        <v/>
      </c>
      <c r="T468" s="42">
        <f>IFERROR((_xll.qlBlackFormula(IF(O468&lt;$C$4,"Put","Call"),O468+$C$14,$C$4,$C$10*SQRT($C$7),,$C$11)-
2*_xll.qlBlackFormula(IF(O468&lt;$C$4,"Put","Call"),O468,$C$4,$C$10*SQRT($C$7),,$C$11)+
_xll.qlBlackFormula(IF(O468&lt;$C$4,"Put","Call"),O468-$C$14,$C$4,$C$10*SQRT($C$7),,$C$11))/$C$14^2,"")</f>
        <v>3.9288771888634777</v>
      </c>
      <c r="U468" s="43">
        <f>IFERROR((_xll.qlBachelierBlackFormula(IF(O468&lt;$C$4,"Put","Call"),O468+$C$14,$C$4,$C$12*SQRT($C$7))-
2*_xll.qlBachelierBlackFormula(IF(O468&lt;$C$4,"Put","Call"),O468,$C$4,$C$12*SQRT($C$7))+
_xll.qlBachelierBlackFormula(IF(O468&lt;$C$4,"Put","Call"),O468-$C$14,$C$4,$C$12*SQRT($C$7)))/$C$14^2,"")</f>
        <v>3.7469978292001271</v>
      </c>
      <c r="V468" s="61" t="str">
        <f>IFERROR(_xll.qlBachelierBlackFormulaImpliedVol(IF(O468&lt;$C$4,"Put","Call"),O468,$C$4,$C$7,P468),"")</f>
        <v/>
      </c>
      <c r="W468" s="61">
        <f>IFERROR(_xll.qlBachelierBlackFormulaImpliedVol(IF(O468&lt;$C$4,"Put","Call"),O468,$C$4,$C$7,Q468),"")</f>
        <v>8.4588497901755648E-3</v>
      </c>
      <c r="X468" s="61">
        <f>IFERROR(_xll.qlBachelierBlackFormulaImpliedVol(IF(O468&lt;$C$4,"Put","Call"),O468,$C$4,$C$7,R468),"")</f>
        <v>7.2020000000701965E-3</v>
      </c>
      <c r="Y468" s="96">
        <f>_xll.qlSmileSectionVolatility($C$40,O468+$C$31)</f>
        <v>9.3951548985670395E-3</v>
      </c>
    </row>
    <row r="469" spans="15:25">
      <c r="O469" s="37">
        <f t="shared" si="8"/>
        <v>3.6400000000000009E-2</v>
      </c>
      <c r="P469" s="38" t="str">
        <f>IFERROR(_xll.qlBlackFormula(IF(O469&lt;$C$4,"Put","Call"),O469,$C$4,$C$9*SQRT($C$7)),"")</f>
        <v/>
      </c>
      <c r="Q469" s="39">
        <f>IFERROR(_xll.qlBlackFormula(IF(O469&lt;$C$4,"Put","Call"),O469,$C$4,$C$10*SQRT($C$7),,$C$11),"")</f>
        <v>3.8185123411974692E-4</v>
      </c>
      <c r="R469" s="40">
        <f>IFERROR(_xll.qlBachelierBlackFormula(IF(O469&lt;$C$4,"Put","Call"),O469,$C$4,$C$12*SQRT($C$7)),"")</f>
        <v>1.5625772446185176E-4</v>
      </c>
      <c r="S469" s="41" t="str">
        <f>IFERROR((_xll.qlBlackFormula(IF(O469&lt;$C$4,"Put","Call"),O469+$C$14,$C$4,$C$9*SQRT($C$7))-
2*_xll.qlBlackFormula(IF(O469&lt;$C$4,"Put","Call"),O469,$C$4,$C$9*SQRT($C$7))+
_xll.qlBlackFormula(IF(O469&lt;$C$4,"Put","Call"),O469-$C$14,$C$4,$C$9*SQRT($C$7)))/$C$14^2,"")</f>
        <v/>
      </c>
      <c r="T469" s="42">
        <f>IFERROR((_xll.qlBlackFormula(IF(O469&lt;$C$4,"Put","Call"),O469+$C$14,$C$4,$C$10*SQRT($C$7),,$C$11)-
2*_xll.qlBlackFormula(IF(O469&lt;$C$4,"Put","Call"),O469,$C$4,$C$10*SQRT($C$7),,$C$11)+
_xll.qlBlackFormula(IF(O469&lt;$C$4,"Put","Call"),O469-$C$14,$C$4,$C$10*SQRT($C$7),,$C$11))/$C$14^2,"")</f>
        <v>3.8945331334860889</v>
      </c>
      <c r="U469" s="43">
        <f>IFERROR((_xll.qlBachelierBlackFormula(IF(O469&lt;$C$4,"Put","Call"),O469+$C$14,$C$4,$C$12*SQRT($C$7))-
2*_xll.qlBachelierBlackFormula(IF(O469&lt;$C$4,"Put","Call"),O469,$C$4,$C$12*SQRT($C$7))+
_xll.qlBachelierBlackFormula(IF(O469&lt;$C$4,"Put","Call"),O469-$C$14,$C$4,$C$12*SQRT($C$7)))/$C$14^2,"")</f>
        <v>3.7019751413652768</v>
      </c>
      <c r="V469" s="61" t="str">
        <f>IFERROR(_xll.qlBachelierBlackFormulaImpliedVol(IF(O469&lt;$C$4,"Put","Call"),O469,$C$4,$C$7,P469),"")</f>
        <v/>
      </c>
      <c r="W469" s="61">
        <f>IFERROR(_xll.qlBachelierBlackFormulaImpliedVol(IF(O469&lt;$C$4,"Put","Call"),O469,$C$4,$C$7,Q469),"")</f>
        <v>8.4626756953750399E-3</v>
      </c>
      <c r="X469" s="61">
        <f>IFERROR(_xll.qlBachelierBlackFormulaImpliedVol(IF(O469&lt;$C$4,"Put","Call"),O469,$C$4,$C$7,R469),"")</f>
        <v>7.2020000000685485E-3</v>
      </c>
      <c r="Y469" s="96">
        <f>_xll.qlSmileSectionVolatility($C$40,O469+$C$31)</f>
        <v>9.403720422545286E-3</v>
      </c>
    </row>
    <row r="470" spans="15:25">
      <c r="O470" s="37">
        <f t="shared" si="8"/>
        <v>3.6500000000000012E-2</v>
      </c>
      <c r="P470" s="38" t="str">
        <f>IFERROR(_xll.qlBlackFormula(IF(O470&lt;$C$4,"Put","Call"),O470,$C$4,$C$9*SQRT($C$7)),"")</f>
        <v/>
      </c>
      <c r="Q470" s="39">
        <f>IFERROR(_xll.qlBlackFormula(IF(O470&lt;$C$4,"Put","Call"),O470,$C$4,$C$10*SQRT($C$7),,$C$11),"")</f>
        <v>3.7787967734765303E-4</v>
      </c>
      <c r="R470" s="40">
        <f>IFERROR(_xll.qlBachelierBlackFormula(IF(O470&lt;$C$4,"Put","Call"),O470,$C$4,$C$12*SQRT($C$7)),"")</f>
        <v>1.5371620087071083E-4</v>
      </c>
      <c r="S470" s="41" t="str">
        <f>IFERROR((_xll.qlBlackFormula(IF(O470&lt;$C$4,"Put","Call"),O470+$C$14,$C$4,$C$9*SQRT($C$7))-
2*_xll.qlBlackFormula(IF(O470&lt;$C$4,"Put","Call"),O470,$C$4,$C$9*SQRT($C$7))+
_xll.qlBlackFormula(IF(O470&lt;$C$4,"Put","Call"),O470-$C$14,$C$4,$C$9*SQRT($C$7)))/$C$14^2,"")</f>
        <v/>
      </c>
      <c r="T470" s="42">
        <f>IFERROR((_xll.qlBlackFormula(IF(O470&lt;$C$4,"Put","Call"),O470+$C$14,$C$4,$C$10*SQRT($C$7),,$C$11)-
2*_xll.qlBlackFormula(IF(O470&lt;$C$4,"Put","Call"),O470,$C$4,$C$10*SQRT($C$7),,$C$11)+
_xll.qlBlackFormula(IF(O470&lt;$C$4,"Put","Call"),O470-$C$14,$C$4,$C$10*SQRT($C$7),,$C$11))/$C$14^2,"")</f>
        <v>3.8604033164579832</v>
      </c>
      <c r="U470" s="43">
        <f>IFERROR((_xll.qlBachelierBlackFormula(IF(O470&lt;$C$4,"Put","Call"),O470+$C$14,$C$4,$C$12*SQRT($C$7))-
2*_xll.qlBachelierBlackFormula(IF(O470&lt;$C$4,"Put","Call"),O470,$C$4,$C$12*SQRT($C$7))+
_xll.qlBachelierBlackFormula(IF(O470&lt;$C$4,"Put","Call"),O470-$C$14,$C$4,$C$12*SQRT($C$7)))/$C$14^2,"")</f>
        <v>3.6573512230894667</v>
      </c>
      <c r="V470" s="61" t="str">
        <f>IFERROR(_xll.qlBachelierBlackFormulaImpliedVol(IF(O470&lt;$C$4,"Put","Call"),O470,$C$4,$C$7,P470),"")</f>
        <v/>
      </c>
      <c r="W470" s="61">
        <f>IFERROR(_xll.qlBachelierBlackFormulaImpliedVol(IF(O470&lt;$C$4,"Put","Call"),O470,$C$4,$C$7,Q470),"")</f>
        <v>8.4665005614428072E-3</v>
      </c>
      <c r="X470" s="61">
        <f>IFERROR(_xll.qlBachelierBlackFormulaImpliedVol(IF(O470&lt;$C$4,"Put","Call"),O470,$C$4,$C$7,R470),"")</f>
        <v>7.2020000000666447E-3</v>
      </c>
      <c r="Y470" s="96">
        <f>_xll.qlSmileSectionVolatility($C$40,O470+$C$31)</f>
        <v>9.4122905242498781E-3</v>
      </c>
    </row>
    <row r="471" spans="15:25">
      <c r="O471" s="37">
        <f t="shared" si="8"/>
        <v>3.6600000000000014E-2</v>
      </c>
      <c r="P471" s="38" t="str">
        <f>IFERROR(_xll.qlBlackFormula(IF(O471&lt;$C$4,"Put","Call"),O471,$C$4,$C$9*SQRT($C$7)),"")</f>
        <v/>
      </c>
      <c r="Q471" s="39">
        <f>IFERROR(_xll.qlBlackFormula(IF(O471&lt;$C$4,"Put","Call"),O471,$C$4,$C$10*SQRT($C$7),,$C$11),"")</f>
        <v>3.7394672492658057E-4</v>
      </c>
      <c r="R471" s="40">
        <f>IFERROR(_xll.qlBachelierBlackFormula(IF(O471&lt;$C$4,"Put","Call"),O471,$C$4,$C$12*SQRT($C$7)),"")</f>
        <v>1.5121125113391428E-4</v>
      </c>
      <c r="S471" s="41" t="str">
        <f>IFERROR((_xll.qlBlackFormula(IF(O471&lt;$C$4,"Put","Call"),O471+$C$14,$C$4,$C$9*SQRT($C$7))-
2*_xll.qlBlackFormula(IF(O471&lt;$C$4,"Put","Call"),O471,$C$4,$C$9*SQRT($C$7))+
_xll.qlBlackFormula(IF(O471&lt;$C$4,"Put","Call"),O471-$C$14,$C$4,$C$9*SQRT($C$7)))/$C$14^2,"")</f>
        <v/>
      </c>
      <c r="T471" s="42">
        <f>IFERROR((_xll.qlBlackFormula(IF(O471&lt;$C$4,"Put","Call"),O471+$C$14,$C$4,$C$10*SQRT($C$7),,$C$11)-
2*_xll.qlBlackFormula(IF(O471&lt;$C$4,"Put","Call"),O471,$C$4,$C$10*SQRT($C$7),,$C$11)+
_xll.qlBlackFormula(IF(O471&lt;$C$4,"Put","Call"),O471-$C$14,$C$4,$C$10*SQRT($C$7),,$C$11))/$C$14^2,"")</f>
        <v>3.8265614635268896</v>
      </c>
      <c r="U471" s="43">
        <f>IFERROR((_xll.qlBachelierBlackFormula(IF(O471&lt;$C$4,"Put","Call"),O471+$C$14,$C$4,$C$12*SQRT($C$7))-
2*_xll.qlBachelierBlackFormula(IF(O471&lt;$C$4,"Put","Call"),O471,$C$4,$C$12*SQRT($C$7))+
_xll.qlBachelierBlackFormula(IF(O471&lt;$C$4,"Put","Call"),O471-$C$14,$C$4,$C$12*SQRT($C$7)))/$C$14^2,"")</f>
        <v>3.6131313869633419</v>
      </c>
      <c r="V471" s="61" t="str">
        <f>IFERROR(_xll.qlBachelierBlackFormulaImpliedVol(IF(O471&lt;$C$4,"Put","Call"),O471,$C$4,$C$7,P471),"")</f>
        <v/>
      </c>
      <c r="W471" s="61">
        <f>IFERROR(_xll.qlBachelierBlackFormulaImpliedVol(IF(O471&lt;$C$4,"Put","Call"),O471,$C$4,$C$7,Q471),"")</f>
        <v>8.4703243897023706E-3</v>
      </c>
      <c r="X471" s="61">
        <f>IFERROR(_xll.qlBachelierBlackFormulaImpliedVol(IF(O471&lt;$C$4,"Put","Call"),O471,$C$4,$C$7,R471),"")</f>
        <v>7.2020000000644398E-3</v>
      </c>
      <c r="Y471" s="96">
        <f>_xll.qlSmileSectionVolatility($C$40,O471+$C$31)</f>
        <v>9.4208651709823156E-3</v>
      </c>
    </row>
    <row r="472" spans="15:25">
      <c r="O472" s="37">
        <f t="shared" si="8"/>
        <v>3.6700000000000017E-2</v>
      </c>
      <c r="P472" s="38" t="str">
        <f>IFERROR(_xll.qlBlackFormula(IF(O472&lt;$C$4,"Put","Call"),O472,$C$4,$C$9*SQRT($C$7)),"")</f>
        <v/>
      </c>
      <c r="Q472" s="39">
        <f>IFERROR(_xll.qlBlackFormula(IF(O472&lt;$C$4,"Put","Call"),O472,$C$4,$C$10*SQRT($C$7),,$C$11),"")</f>
        <v>3.7005203825470588E-4</v>
      </c>
      <c r="R472" s="40">
        <f>IFERROR(_xll.qlBachelierBlackFormula(IF(O472&lt;$C$4,"Put","Call"),O472,$C$4,$C$12*SQRT($C$7)),"")</f>
        <v>1.4874243301749848E-4</v>
      </c>
      <c r="S472" s="41" t="str">
        <f>IFERROR((_xll.qlBlackFormula(IF(O472&lt;$C$4,"Put","Call"),O472+$C$14,$C$4,$C$9*SQRT($C$7))-
2*_xll.qlBlackFormula(IF(O472&lt;$C$4,"Put","Call"),O472,$C$4,$C$9*SQRT($C$7))+
_xll.qlBlackFormula(IF(O472&lt;$C$4,"Put","Call"),O472-$C$14,$C$4,$C$9*SQRT($C$7)))/$C$14^2,"")</f>
        <v/>
      </c>
      <c r="T472" s="42">
        <f>IFERROR((_xll.qlBlackFormula(IF(O472&lt;$C$4,"Put","Call"),O472+$C$14,$C$4,$C$10*SQRT($C$7),,$C$11)-
2*_xll.qlBlackFormula(IF(O472&lt;$C$4,"Put","Call"),O472,$C$4,$C$10*SQRT($C$7),,$C$11)+
_xll.qlBlackFormula(IF(O472&lt;$C$4,"Put","Call"),O472-$C$14,$C$4,$C$10*SQRT($C$7),,$C$11))/$C$14^2,"")</f>
        <v>3.792948594094625</v>
      </c>
      <c r="U472" s="43">
        <f>IFERROR((_xll.qlBachelierBlackFormula(IF(O472&lt;$C$4,"Put","Call"),O472+$C$14,$C$4,$C$12*SQRT($C$7))-
2*_xll.qlBachelierBlackFormula(IF(O472&lt;$C$4,"Put","Call"),O472,$C$4,$C$12*SQRT($C$7))+
_xll.qlBachelierBlackFormula(IF(O472&lt;$C$4,"Put","Call"),O472-$C$14,$C$4,$C$12*SQRT($C$7)))/$C$14^2,"")</f>
        <v>3.5693041404438741</v>
      </c>
      <c r="V472" s="61" t="str">
        <f>IFERROR(_xll.qlBachelierBlackFormulaImpliedVol(IF(O472&lt;$C$4,"Put","Call"),O472,$C$4,$C$7,P472),"")</f>
        <v/>
      </c>
      <c r="W472" s="61">
        <f>IFERROR(_xll.qlBachelierBlackFormulaImpliedVol(IF(O472&lt;$C$4,"Put","Call"),O472,$C$4,$C$7,Q472),"")</f>
        <v>8.4741471814746214E-3</v>
      </c>
      <c r="X472" s="61">
        <f>IFERROR(_xll.qlBachelierBlackFormulaImpliedVol(IF(O472&lt;$C$4,"Put","Call"),O472,$C$4,$C$7,R472),"")</f>
        <v>7.20200000006198E-3</v>
      </c>
      <c r="Y472" s="96">
        <f>_xll.qlSmileSectionVolatility($C$40,O472+$C$31)</f>
        <v>9.4294443302443617E-3</v>
      </c>
    </row>
    <row r="473" spans="15:25">
      <c r="O473" s="37">
        <f t="shared" si="8"/>
        <v>3.680000000000002E-2</v>
      </c>
      <c r="P473" s="38" t="str">
        <f>IFERROR(_xll.qlBlackFormula(IF(O473&lt;$C$4,"Put","Call"),O473,$C$4,$C$9*SQRT($C$7)),"")</f>
        <v/>
      </c>
      <c r="Q473" s="39">
        <f>IFERROR(_xll.qlBlackFormula(IF(O473&lt;$C$4,"Put","Call"),O473,$C$4,$C$10*SQRT($C$7),,$C$11),"")</f>
        <v>3.6619528121198657E-4</v>
      </c>
      <c r="R473" s="40">
        <f>IFERROR(_xll.qlBachelierBlackFormula(IF(O473&lt;$C$4,"Put","Call"),O473,$C$4,$C$12*SQRT($C$7)),"")</f>
        <v>1.4630930825847057E-4</v>
      </c>
      <c r="S473" s="41" t="str">
        <f>IFERROR((_xll.qlBlackFormula(IF(O473&lt;$C$4,"Put","Call"),O473+$C$14,$C$4,$C$9*SQRT($C$7))-
2*_xll.qlBlackFormula(IF(O473&lt;$C$4,"Put","Call"),O473,$C$4,$C$9*SQRT($C$7))+
_xll.qlBlackFormula(IF(O473&lt;$C$4,"Put","Call"),O473-$C$14,$C$4,$C$9*SQRT($C$7)))/$C$14^2,"")</f>
        <v/>
      </c>
      <c r="T473" s="42">
        <f>IFERROR((_xll.qlBlackFormula(IF(O473&lt;$C$4,"Put","Call"),O473+$C$14,$C$4,$C$10*SQRT($C$7),,$C$11)-
2*_xll.qlBlackFormula(IF(O473&lt;$C$4,"Put","Call"),O473,$C$4,$C$10*SQRT($C$7),,$C$11)+
_xll.qlBlackFormula(IF(O473&lt;$C$4,"Put","Call"),O473-$C$14,$C$4,$C$10*SQRT($C$7),,$C$11))/$C$14^2,"")</f>
        <v>3.7595829227576871</v>
      </c>
      <c r="U473" s="43">
        <f>IFERROR((_xll.qlBachelierBlackFormula(IF(O473&lt;$C$4,"Put","Call"),O473+$C$14,$C$4,$C$12*SQRT($C$7))-
2*_xll.qlBachelierBlackFormula(IF(O473&lt;$C$4,"Put","Call"),O473,$C$4,$C$12*SQRT($C$7))+
_xll.qlBachelierBlackFormula(IF(O473&lt;$C$4,"Put","Call"),O473-$C$14,$C$4,$C$12*SQRT($C$7)))/$C$14^2,"")</f>
        <v>3.5258707845736703</v>
      </c>
      <c r="V473" s="61" t="str">
        <f>IFERROR(_xll.qlBachelierBlackFormulaImpliedVol(IF(O473&lt;$C$4,"Put","Call"),O473,$C$4,$C$7,P473),"")</f>
        <v/>
      </c>
      <c r="W473" s="61">
        <f>IFERROR(_xll.qlBachelierBlackFormulaImpliedVol(IF(O473&lt;$C$4,"Put","Call"),O473,$C$4,$C$7,Q473),"")</f>
        <v>8.4779689380774341E-3</v>
      </c>
      <c r="X473" s="61">
        <f>IFERROR(_xll.qlBachelierBlackFormulaImpliedVol(IF(O473&lt;$C$4,"Put","Call"),O473,$C$4,$C$7,R473),"")</f>
        <v>7.2020000000592738E-3</v>
      </c>
      <c r="Y473" s="96">
        <f>_xll.qlSmileSectionVolatility($C$40,O473+$C$31)</f>
        <v>9.4380279697370111E-3</v>
      </c>
    </row>
    <row r="474" spans="15:25">
      <c r="O474" s="37">
        <f t="shared" si="8"/>
        <v>3.6900000000000023E-2</v>
      </c>
      <c r="P474" s="38" t="str">
        <f>IFERROR(_xll.qlBlackFormula(IF(O474&lt;$C$4,"Put","Call"),O474,$C$4,$C$9*SQRT($C$7)),"")</f>
        <v/>
      </c>
      <c r="Q474" s="39">
        <f>IFERROR(_xll.qlBlackFormula(IF(O474&lt;$C$4,"Put","Call"),O474,$C$4,$C$10*SQRT($C$7),,$C$11),"")</f>
        <v>3.6237612014846775E-4</v>
      </c>
      <c r="R474" s="40">
        <f>IFERROR(_xll.qlBachelierBlackFormula(IF(O474&lt;$C$4,"Put","Call"),O474,$C$4,$C$12*SQRT($C$7)),"")</f>
        <v>1.4391144255023662E-4</v>
      </c>
      <c r="S474" s="41" t="str">
        <f>IFERROR((_xll.qlBlackFormula(IF(O474&lt;$C$4,"Put","Call"),O474+$C$14,$C$4,$C$9*SQRT($C$7))-
2*_xll.qlBlackFormula(IF(O474&lt;$C$4,"Put","Call"),O474,$C$4,$C$9*SQRT($C$7))+
_xll.qlBlackFormula(IF(O474&lt;$C$4,"Put","Call"),O474-$C$14,$C$4,$C$9*SQRT($C$7)))/$C$14^2,"")</f>
        <v/>
      </c>
      <c r="T474" s="42">
        <f>IFERROR((_xll.qlBlackFormula(IF(O474&lt;$C$4,"Put","Call"),O474+$C$14,$C$4,$C$10*SQRT($C$7),,$C$11)-
2*_xll.qlBlackFormula(IF(O474&lt;$C$4,"Put","Call"),O474,$C$4,$C$10*SQRT($C$7),,$C$11)+
_xll.qlBlackFormula(IF(O474&lt;$C$4,"Put","Call"),O474-$C$14,$C$4,$C$10*SQRT($C$7),,$C$11))/$C$14^2,"")</f>
        <v>3.7264661842395519</v>
      </c>
      <c r="U474" s="43">
        <f>IFERROR((_xll.qlBachelierBlackFormula(IF(O474&lt;$C$4,"Put","Call"),O474+$C$14,$C$4,$C$12*SQRT($C$7))-
2*_xll.qlBachelierBlackFormula(IF(O474&lt;$C$4,"Put","Call"),O474,$C$4,$C$12*SQRT($C$7))+
_xll.qlBachelierBlackFormula(IF(O474&lt;$C$4,"Put","Call"),O474-$C$14,$C$4,$C$12*SQRT($C$7)))/$C$14^2,"")</f>
        <v>3.4828339214379445</v>
      </c>
      <c r="V474" s="61" t="str">
        <f>IFERROR(_xll.qlBachelierBlackFormulaImpliedVol(IF(O474&lt;$C$4,"Put","Call"),O474,$C$4,$C$7,P474),"")</f>
        <v/>
      </c>
      <c r="W474" s="61">
        <f>IFERROR(_xll.qlBachelierBlackFormulaImpliedVol(IF(O474&lt;$C$4,"Put","Call"),O474,$C$4,$C$7,Q474),"")</f>
        <v>8.4817896608258749E-3</v>
      </c>
      <c r="X474" s="61">
        <f>IFERROR(_xll.qlBachelierBlackFormulaImpliedVol(IF(O474&lt;$C$4,"Put","Call"),O474,$C$4,$C$7,R474),"")</f>
        <v>7.2020000000562598E-3</v>
      </c>
      <c r="Y474" s="96">
        <f>_xll.qlSmileSectionVolatility($C$40,O474+$C$31)</f>
        <v>9.4466160573593635E-3</v>
      </c>
    </row>
    <row r="475" spans="15:25">
      <c r="O475" s="37">
        <f t="shared" si="8"/>
        <v>3.7000000000000026E-2</v>
      </c>
      <c r="P475" s="38" t="str">
        <f>IFERROR(_xll.qlBlackFormula(IF(O475&lt;$C$4,"Put","Call"),O475,$C$4,$C$9*SQRT($C$7)),"")</f>
        <v/>
      </c>
      <c r="Q475" s="39">
        <f>IFERROR(_xll.qlBlackFormula(IF(O475&lt;$C$4,"Put","Call"),O475,$C$4,$C$10*SQRT($C$7),,$C$11),"")</f>
        <v>3.5859422387258047E-4</v>
      </c>
      <c r="R475" s="40">
        <f>IFERROR(_xll.qlBachelierBlackFormula(IF(O475&lt;$C$4,"Put","Call"),O475,$C$4,$C$12*SQRT($C$7)),"")</f>
        <v>1.4154840552775571E-4</v>
      </c>
      <c r="S475" s="41" t="str">
        <f>IFERROR((_xll.qlBlackFormula(IF(O475&lt;$C$4,"Put","Call"),O475+$C$14,$C$4,$C$9*SQRT($C$7))-
2*_xll.qlBlackFormula(IF(O475&lt;$C$4,"Put","Call"),O475,$C$4,$C$9*SQRT($C$7))+
_xll.qlBlackFormula(IF(O475&lt;$C$4,"Put","Call"),O475-$C$14,$C$4,$C$9*SQRT($C$7)))/$C$14^2,"")</f>
        <v/>
      </c>
      <c r="T475" s="42">
        <f>IFERROR((_xll.qlBlackFormula(IF(O475&lt;$C$4,"Put","Call"),O475+$C$14,$C$4,$C$10*SQRT($C$7),,$C$11)-
2*_xll.qlBlackFormula(IF(O475&lt;$C$4,"Put","Call"),O475,$C$4,$C$10*SQRT($C$7),,$C$11)+
_xll.qlBlackFormula(IF(O475&lt;$C$4,"Put","Call"),O475-$C$14,$C$4,$C$10*SQRT($C$7),,$C$11))/$C$14^2,"")</f>
        <v>3.6935827660289355</v>
      </c>
      <c r="U475" s="43">
        <f>IFERROR((_xll.qlBachelierBlackFormula(IF(O475&lt;$C$4,"Put","Call"),O475+$C$14,$C$4,$C$12*SQRT($C$7))-
2*_xll.qlBachelierBlackFormula(IF(O475&lt;$C$4,"Put","Call"),O475,$C$4,$C$12*SQRT($C$7))+
_xll.qlBachelierBlackFormula(IF(O475&lt;$C$4,"Put","Call"),O475-$C$14,$C$4,$C$12*SQRT($C$7)))/$C$14^2,"")</f>
        <v>3.4401913826323516</v>
      </c>
      <c r="V475" s="61" t="str">
        <f>IFERROR(_xll.qlBachelierBlackFormulaImpliedVol(IF(O475&lt;$C$4,"Put","Call"),O475,$C$4,$C$7,P475),"")</f>
        <v/>
      </c>
      <c r="W475" s="61">
        <f>IFERROR(_xll.qlBachelierBlackFormulaImpliedVol(IF(O475&lt;$C$4,"Put","Call"),O475,$C$4,$C$7,Q475),"")</f>
        <v>8.485609351032276E-3</v>
      </c>
      <c r="X475" s="61">
        <f>IFERROR(_xll.qlBachelierBlackFormulaImpliedVol(IF(O475&lt;$C$4,"Put","Call"),O475,$C$4,$C$7,R475),"")</f>
        <v>7.2020000000529794E-3</v>
      </c>
      <c r="Y475" s="96">
        <f>_xll.qlSmileSectionVolatility($C$40,O475+$C$31)</f>
        <v>9.4552085612076321E-3</v>
      </c>
    </row>
    <row r="476" spans="15:25">
      <c r="O476" s="37">
        <f t="shared" si="8"/>
        <v>3.7100000000000029E-2</v>
      </c>
      <c r="P476" s="38" t="str">
        <f>IFERROR(_xll.qlBlackFormula(IF(O476&lt;$C$4,"Put","Call"),O476,$C$4,$C$9*SQRT($C$7)),"")</f>
        <v/>
      </c>
      <c r="Q476" s="39">
        <f>IFERROR(_xll.qlBlackFormula(IF(O476&lt;$C$4,"Put","Call"),O476,$C$4,$C$10*SQRT($C$7),,$C$11),"")</f>
        <v>3.5484926363929872E-4</v>
      </c>
      <c r="R476" s="40">
        <f>IFERROR(_xll.qlBachelierBlackFormula(IF(O476&lt;$C$4,"Put","Call"),O476,$C$4,$C$12*SQRT($C$7)),"")</f>
        <v>1.3921977075240666E-4</v>
      </c>
      <c r="S476" s="41" t="str">
        <f>IFERROR((_xll.qlBlackFormula(IF(O476&lt;$C$4,"Put","Call"),O476+$C$14,$C$4,$C$9*SQRT($C$7))-
2*_xll.qlBlackFormula(IF(O476&lt;$C$4,"Put","Call"),O476,$C$4,$C$9*SQRT($C$7))+
_xll.qlBlackFormula(IF(O476&lt;$C$4,"Put","Call"),O476-$C$14,$C$4,$C$9*SQRT($C$7)))/$C$14^2,"")</f>
        <v/>
      </c>
      <c r="T476" s="42">
        <f>IFERROR((_xll.qlBlackFormula(IF(O476&lt;$C$4,"Put","Call"),O476+$C$14,$C$4,$C$10*SQRT($C$7),,$C$11)-
2*_xll.qlBlackFormula(IF(O476&lt;$C$4,"Put","Call"),O476,$C$4,$C$10*SQRT($C$7),,$C$11)+
_xll.qlBlackFormula(IF(O476&lt;$C$4,"Put","Call"),O476-$C$14,$C$4,$C$10*SQRT($C$7),,$C$11))/$C$14^2,"")</f>
        <v>3.6609578216162397</v>
      </c>
      <c r="U476" s="43">
        <f>IFERROR((_xll.qlBachelierBlackFormula(IF(O476&lt;$C$4,"Put","Call"),O476+$C$14,$C$4,$C$12*SQRT($C$7))-
2*_xll.qlBachelierBlackFormula(IF(O476&lt;$C$4,"Put","Call"),O476,$C$4,$C$12*SQRT($C$7))+
_xll.qlBachelierBlackFormula(IF(O476&lt;$C$4,"Put","Call"),O476-$C$14,$C$4,$C$12*SQRT($C$7)))/$C$14^2,"")</f>
        <v>3.3979386145077672</v>
      </c>
      <c r="V476" s="61" t="str">
        <f>IFERROR(_xll.qlBachelierBlackFormulaImpliedVol(IF(O476&lt;$C$4,"Put","Call"),O476,$C$4,$C$7,P476),"")</f>
        <v/>
      </c>
      <c r="W476" s="61">
        <f>IFERROR(_xll.qlBachelierBlackFormulaImpliedVol(IF(O476&lt;$C$4,"Put","Call"),O476,$C$4,$C$7,Q476),"")</f>
        <v>8.4894280100059633E-3</v>
      </c>
      <c r="X476" s="61">
        <f>IFERROR(_xll.qlBachelierBlackFormulaImpliedVol(IF(O476&lt;$C$4,"Put","Call"),O476,$C$4,$C$7,R476),"")</f>
        <v>7.2020000000494206E-3</v>
      </c>
      <c r="Y476" s="96">
        <f>_xll.qlSmileSectionVolatility($C$40,O476+$C$31)</f>
        <v>9.4638054495740209E-3</v>
      </c>
    </row>
    <row r="477" spans="15:25">
      <c r="O477" s="37">
        <f t="shared" si="8"/>
        <v>3.7200000000000032E-2</v>
      </c>
      <c r="P477" s="38" t="str">
        <f>IFERROR(_xll.qlBlackFormula(IF(O477&lt;$C$4,"Put","Call"),O477,$C$4,$C$9*SQRT($C$7)),"")</f>
        <v/>
      </c>
      <c r="Q477" s="39">
        <f>IFERROR(_xll.qlBlackFormula(IF(O477&lt;$C$4,"Put","Call"),O477,$C$4,$C$10*SQRT($C$7),,$C$11),"")</f>
        <v>3.5114091313843358E-4</v>
      </c>
      <c r="R477" s="40">
        <f>IFERROR(_xll.qlBachelierBlackFormula(IF(O477&lt;$C$4,"Put","Call"),O477,$C$4,$C$12*SQRT($C$7)),"")</f>
        <v>1.3692511569660495E-4</v>
      </c>
      <c r="S477" s="41" t="str">
        <f>IFERROR((_xll.qlBlackFormula(IF(O477&lt;$C$4,"Put","Call"),O477+$C$14,$C$4,$C$9*SQRT($C$7))-
2*_xll.qlBlackFormula(IF(O477&lt;$C$4,"Put","Call"),O477,$C$4,$C$9*SQRT($C$7))+
_xll.qlBlackFormula(IF(O477&lt;$C$4,"Put","Call"),O477-$C$14,$C$4,$C$9*SQRT($C$7)))/$C$14^2,"")</f>
        <v/>
      </c>
      <c r="T477" s="42">
        <f>IFERROR((_xll.qlBlackFormula(IF(O477&lt;$C$4,"Put","Call"),O477+$C$14,$C$4,$C$10*SQRT($C$7),,$C$11)-
2*_xll.qlBlackFormula(IF(O477&lt;$C$4,"Put","Call"),O477,$C$4,$C$10*SQRT($C$7),,$C$11)+
_xll.qlBlackFormula(IF(O477&lt;$C$4,"Put","Call"),O477-$C$14,$C$4,$C$10*SQRT($C$7),,$C$11))/$C$14^2,"")</f>
        <v>3.6285618607023729</v>
      </c>
      <c r="U477" s="43">
        <f>IFERROR((_xll.qlBachelierBlackFormula(IF(O477&lt;$C$4,"Put","Call"),O477+$C$14,$C$4,$C$12*SQRT($C$7))-
2*_xll.qlBachelierBlackFormula(IF(O477&lt;$C$4,"Put","Call"),O477,$C$4,$C$12*SQRT($C$7))+
_xll.qlBachelierBlackFormula(IF(O477&lt;$C$4,"Put","Call"),O477-$C$14,$C$4,$C$12*SQRT($C$7)))/$C$14^2,"")</f>
        <v>3.3560763760057122</v>
      </c>
      <c r="V477" s="61" t="str">
        <f>IFERROR(_xll.qlBachelierBlackFormulaImpliedVol(IF(O477&lt;$C$4,"Put","Call"),O477,$C$4,$C$7,P477),"")</f>
        <v/>
      </c>
      <c r="W477" s="61">
        <f>IFERROR(_xll.qlBachelierBlackFormulaImpliedVol(IF(O477&lt;$C$4,"Put","Call"),O477,$C$4,$C$7,Q477),"")</f>
        <v>8.4932456390536468E-3</v>
      </c>
      <c r="X477" s="61">
        <f>IFERROR(_xll.qlBachelierBlackFormulaImpliedVol(IF(O477&lt;$C$4,"Put","Call"),O477,$C$4,$C$7,R477),"")</f>
        <v>7.2020000000456129E-3</v>
      </c>
      <c r="Y477" s="96">
        <f>_xll.qlSmileSectionVolatility($C$40,O477+$C$31)</f>
        <v>9.4724066909457373E-3</v>
      </c>
    </row>
    <row r="478" spans="15:25">
      <c r="O478" s="37">
        <f t="shared" si="8"/>
        <v>3.7300000000000035E-2</v>
      </c>
      <c r="P478" s="38" t="str">
        <f>IFERROR(_xll.qlBlackFormula(IF(O478&lt;$C$4,"Put","Call"),O478,$C$4,$C$9*SQRT($C$7)),"")</f>
        <v/>
      </c>
      <c r="Q478" s="39">
        <f>IFERROR(_xll.qlBlackFormula(IF(O478&lt;$C$4,"Put","Call"),O478,$C$4,$C$10*SQRT($C$7),,$C$11),"")</f>
        <v>3.4746884848268957E-4</v>
      </c>
      <c r="R478" s="40">
        <f>IFERROR(_xll.qlBachelierBlackFormula(IF(O478&lt;$C$4,"Put","Call"),O478,$C$4,$C$12*SQRT($C$7)),"")</f>
        <v>1.3466402172814364E-4</v>
      </c>
      <c r="S478" s="41" t="str">
        <f>IFERROR((_xll.qlBlackFormula(IF(O478&lt;$C$4,"Put","Call"),O478+$C$14,$C$4,$C$9*SQRT($C$7))-
2*_xll.qlBlackFormula(IF(O478&lt;$C$4,"Put","Call"),O478,$C$4,$C$9*SQRT($C$7))+
_xll.qlBlackFormula(IF(O478&lt;$C$4,"Put","Call"),O478-$C$14,$C$4,$C$9*SQRT($C$7)))/$C$14^2,"")</f>
        <v/>
      </c>
      <c r="T478" s="42">
        <f>IFERROR((_xll.qlBlackFormula(IF(O478&lt;$C$4,"Put","Call"),O478+$C$14,$C$4,$C$10*SQRT($C$7),,$C$11)-
2*_xll.qlBlackFormula(IF(O478&lt;$C$4,"Put","Call"),O478,$C$4,$C$10*SQRT($C$7),,$C$11)+
_xll.qlBlackFormula(IF(O478&lt;$C$4,"Put","Call"),O478-$C$14,$C$4,$C$10*SQRT($C$7),,$C$11))/$C$14^2,"")</f>
        <v>3.5964261083099025</v>
      </c>
      <c r="U478" s="43">
        <f>IFERROR((_xll.qlBachelierBlackFormula(IF(O478&lt;$C$4,"Put","Call"),O478+$C$14,$C$4,$C$12*SQRT($C$7))-
2*_xll.qlBachelierBlackFormula(IF(O478&lt;$C$4,"Put","Call"),O478,$C$4,$C$12*SQRT($C$7))+
_xll.qlBachelierBlackFormula(IF(O478&lt;$C$4,"Put","Call"),O478-$C$14,$C$4,$C$12*SQRT($C$7)))/$C$14^2,"")</f>
        <v>3.3146017397803207</v>
      </c>
      <c r="V478" s="61" t="str">
        <f>IFERROR(_xll.qlBachelierBlackFormulaImpliedVol(IF(O478&lt;$C$4,"Put","Call"),O478,$C$4,$C$7,P478),"")</f>
        <v/>
      </c>
      <c r="W478" s="61">
        <f>IFERROR(_xll.qlBachelierBlackFormulaImpliedVol(IF(O478&lt;$C$4,"Put","Call"),O478,$C$4,$C$7,Q478),"")</f>
        <v>8.4970622394790543E-3</v>
      </c>
      <c r="X478" s="61">
        <f>IFERROR(_xll.qlBachelierBlackFormulaImpliedVol(IF(O478&lt;$C$4,"Put","Call"),O478,$C$4,$C$7,R478),"")</f>
        <v>7.2020000000415267E-3</v>
      </c>
      <c r="Y478" s="96">
        <f>_xll.qlSmileSectionVolatility($C$40,O478+$C$31)</f>
        <v>9.4810122540038531E-3</v>
      </c>
    </row>
    <row r="479" spans="15:25">
      <c r="O479" s="37">
        <f t="shared" si="8"/>
        <v>3.7400000000000037E-2</v>
      </c>
      <c r="P479" s="38" t="str">
        <f>IFERROR(_xll.qlBlackFormula(IF(O479&lt;$C$4,"Put","Call"),O479,$C$4,$C$9*SQRT($C$7)),"")</f>
        <v/>
      </c>
      <c r="Q479" s="39">
        <f>IFERROR(_xll.qlBlackFormula(IF(O479&lt;$C$4,"Put","Call"),O479,$C$4,$C$10*SQRT($C$7),,$C$11),"")</f>
        <v>3.4383274819589638E-4</v>
      </c>
      <c r="R479" s="40">
        <f>IFERROR(_xll.qlBachelierBlackFormula(IF(O479&lt;$C$4,"Put","Call"),O479,$C$4,$C$12*SQRT($C$7)),"")</f>
        <v>1.3243607409429352E-4</v>
      </c>
      <c r="S479" s="41" t="str">
        <f>IFERROR((_xll.qlBlackFormula(IF(O479&lt;$C$4,"Put","Call"),O479+$C$14,$C$4,$C$9*SQRT($C$7))-
2*_xll.qlBlackFormula(IF(O479&lt;$C$4,"Put","Call"),O479,$C$4,$C$9*SQRT($C$7))+
_xll.qlBlackFormula(IF(O479&lt;$C$4,"Put","Call"),O479-$C$14,$C$4,$C$9*SQRT($C$7)))/$C$14^2,"")</f>
        <v/>
      </c>
      <c r="T479" s="42">
        <f>IFERROR((_xll.qlBlackFormula(IF(O479&lt;$C$4,"Put","Call"),O479+$C$14,$C$4,$C$10*SQRT($C$7),,$C$11)-
2*_xll.qlBlackFormula(IF(O479&lt;$C$4,"Put","Call"),O479,$C$4,$C$10*SQRT($C$7),,$C$11)+
_xll.qlBlackFormula(IF(O479&lt;$C$4,"Put","Call"),O479-$C$14,$C$4,$C$10*SQRT($C$7),,$C$11))/$C$14^2,"")</f>
        <v>3.5645045942667153</v>
      </c>
      <c r="U479" s="43">
        <f>IFERROR((_xll.qlBachelierBlackFormula(IF(O479&lt;$C$4,"Put","Call"),O479+$C$14,$C$4,$C$12*SQRT($C$7))-
2*_xll.qlBachelierBlackFormula(IF(O479&lt;$C$4,"Put","Call"),O479,$C$4,$C$12*SQRT($C$7))+
_xll.qlBachelierBlackFormula(IF(O479&lt;$C$4,"Put","Call"),O479-$C$14,$C$4,$C$12*SQRT($C$7)))/$C$14^2,"")</f>
        <v>3.2735119953261615</v>
      </c>
      <c r="V479" s="61" t="str">
        <f>IFERROR(_xll.qlBachelierBlackFormulaImpliedVol(IF(O479&lt;$C$4,"Put","Call"),O479,$C$4,$C$7,P479),"")</f>
        <v/>
      </c>
      <c r="W479" s="61">
        <f>IFERROR(_xll.qlBachelierBlackFormulaImpliedVol(IF(O479&lt;$C$4,"Put","Call"),O479,$C$4,$C$7,Q479),"")</f>
        <v>8.5008778125832546E-3</v>
      </c>
      <c r="X479" s="61">
        <f>IFERROR(_xll.qlBachelierBlackFormulaImpliedVol(IF(O479&lt;$C$4,"Put","Call"),O479,$C$4,$C$7,R479),"")</f>
        <v>7.2020000000371717E-3</v>
      </c>
      <c r="Y479" s="96">
        <f>_xll.qlSmileSectionVolatility($C$40,O479+$C$31)</f>
        <v>9.4896221076223395E-3</v>
      </c>
    </row>
    <row r="480" spans="15:25">
      <c r="O480" s="37">
        <f t="shared" si="8"/>
        <v>3.750000000000004E-2</v>
      </c>
      <c r="P480" s="38" t="str">
        <f>IFERROR(_xll.qlBlackFormula(IF(O480&lt;$C$4,"Put","Call"),O480,$C$4,$C$9*SQRT($C$7)),"")</f>
        <v/>
      </c>
      <c r="Q480" s="39">
        <f>IFERROR(_xll.qlBlackFormula(IF(O480&lt;$C$4,"Put","Call"),O480,$C$4,$C$10*SQRT($C$7),,$C$11),"")</f>
        <v>3.4023229320104525E-4</v>
      </c>
      <c r="R480" s="40">
        <f>IFERROR(_xll.qlBachelierBlackFormula(IF(O480&lt;$C$4,"Put","Call"),O480,$C$4,$C$12*SQRT($C$7)),"")</f>
        <v>1.3024086190564137E-4</v>
      </c>
      <c r="S480" s="41" t="str">
        <f>IFERROR((_xll.qlBlackFormula(IF(O480&lt;$C$4,"Put","Call"),O480+$C$14,$C$4,$C$9*SQRT($C$7))-
2*_xll.qlBlackFormula(IF(O480&lt;$C$4,"Put","Call"),O480,$C$4,$C$9*SQRT($C$7))+
_xll.qlBlackFormula(IF(O480&lt;$C$4,"Put","Call"),O480-$C$14,$C$4,$C$9*SQRT($C$7)))/$C$14^2,"")</f>
        <v/>
      </c>
      <c r="T480" s="42">
        <f>IFERROR((_xll.qlBlackFormula(IF(O480&lt;$C$4,"Put","Call"),O480+$C$14,$C$4,$C$10*SQRT($C$7),,$C$11)-
2*_xll.qlBlackFormula(IF(O480&lt;$C$4,"Put","Call"),O480,$C$4,$C$10*SQRT($C$7),,$C$11)+
_xll.qlBlackFormula(IF(O480&lt;$C$4,"Put","Call"),O480-$C$14,$C$4,$C$10*SQRT($C$7),,$C$11))/$C$14^2,"")</f>
        <v>3.5328389519362347</v>
      </c>
      <c r="U480" s="43">
        <f>IFERROR((_xll.qlBachelierBlackFormula(IF(O480&lt;$C$4,"Put","Call"),O480+$C$14,$C$4,$C$12*SQRT($C$7))-
2*_xll.qlBachelierBlackFormula(IF(O480&lt;$C$4,"Put","Call"),O480,$C$4,$C$12*SQRT($C$7))+
_xll.qlBachelierBlackFormula(IF(O480&lt;$C$4,"Put","Call"),O480-$C$14,$C$4,$C$12*SQRT($C$7)))/$C$14^2,"")</f>
        <v>3.232806383701714</v>
      </c>
      <c r="V480" s="61" t="str">
        <f>IFERROR(_xll.qlBachelierBlackFormulaImpliedVol(IF(O480&lt;$C$4,"Put","Call"),O480,$C$4,$C$7,P480),"")</f>
        <v/>
      </c>
      <c r="W480" s="61">
        <f>IFERROR(_xll.qlBachelierBlackFormulaImpliedVol(IF(O480&lt;$C$4,"Put","Call"),O480,$C$4,$C$7,Q480),"")</f>
        <v>8.5046923596644383E-3</v>
      </c>
      <c r="X480" s="61">
        <f>IFERROR(_xll.qlBachelierBlackFormulaImpliedVol(IF(O480&lt;$C$4,"Put","Call"),O480,$C$4,$C$7,R480),"")</f>
        <v>7.2020000000325634E-3</v>
      </c>
      <c r="Y480" s="96">
        <f>_xll.qlSmileSectionVolatility($C$40,O480+$C$31)</f>
        <v>9.4982362208669499E-3</v>
      </c>
    </row>
    <row r="481" spans="15:25">
      <c r="O481" s="37">
        <f t="shared" si="8"/>
        <v>3.7600000000000043E-2</v>
      </c>
      <c r="P481" s="38" t="str">
        <f>IFERROR(_xll.qlBlackFormula(IF(O481&lt;$C$4,"Put","Call"),O481,$C$4,$C$9*SQRT($C$7)),"")</f>
        <v/>
      </c>
      <c r="Q481" s="39">
        <f>IFERROR(_xll.qlBlackFormula(IF(O481&lt;$C$4,"Put","Call"),O481,$C$4,$C$10*SQRT($C$7),,$C$11),"")</f>
        <v>3.3666716680840706E-4</v>
      </c>
      <c r="R481" s="40">
        <f>IFERROR(_xll.qlBachelierBlackFormula(IF(O481&lt;$C$4,"Put","Call"),O481,$C$4,$C$12*SQRT($C$7)),"")</f>
        <v>1.2807797811968712E-4</v>
      </c>
      <c r="S481" s="41" t="str">
        <f>IFERROR((_xll.qlBlackFormula(IF(O481&lt;$C$4,"Put","Call"),O481+$C$14,$C$4,$C$9*SQRT($C$7))-
2*_xll.qlBlackFormula(IF(O481&lt;$C$4,"Put","Call"),O481,$C$4,$C$9*SQRT($C$7))+
_xll.qlBlackFormula(IF(O481&lt;$C$4,"Put","Call"),O481-$C$14,$C$4,$C$9*SQRT($C$7)))/$C$14^2,"")</f>
        <v/>
      </c>
      <c r="T481" s="42">
        <f>IFERROR((_xll.qlBlackFormula(IF(O481&lt;$C$4,"Put","Call"),O481+$C$14,$C$4,$C$10*SQRT($C$7),,$C$11)-
2*_xll.qlBlackFormula(IF(O481&lt;$C$4,"Put","Call"),O481,$C$4,$C$10*SQRT($C$7),,$C$11)+
_xll.qlBlackFormula(IF(O481&lt;$C$4,"Put","Call"),O481-$C$14,$C$4,$C$10*SQRT($C$7),,$C$11))/$C$14^2,"")</f>
        <v>3.5014153035306528</v>
      </c>
      <c r="U481" s="43">
        <f>IFERROR((_xll.qlBachelierBlackFormula(IF(O481&lt;$C$4,"Put","Call"),O481+$C$14,$C$4,$C$12*SQRT($C$7))-
2*_xll.qlBachelierBlackFormula(IF(O481&lt;$C$4,"Put","Call"),O481,$C$4,$C$12*SQRT($C$7))+
_xll.qlBachelierBlackFormula(IF(O481&lt;$C$4,"Put","Call"),O481-$C$14,$C$4,$C$12*SQRT($C$7)))/$C$14^2,"")</f>
        <v>3.1924860975293679</v>
      </c>
      <c r="V481" s="61" t="str">
        <f>IFERROR(_xll.qlBachelierBlackFormulaImpliedVol(IF(O481&lt;$C$4,"Put","Call"),O481,$C$4,$C$7,P481),"")</f>
        <v/>
      </c>
      <c r="W481" s="61">
        <f>IFERROR(_xll.qlBachelierBlackFormulaImpliedVol(IF(O481&lt;$C$4,"Put","Call"),O481,$C$4,$C$7,Q481),"")</f>
        <v>8.5085058820180345E-3</v>
      </c>
      <c r="X481" s="61">
        <f>IFERROR(_xll.qlBachelierBlackFormulaImpliedVol(IF(O481&lt;$C$4,"Put","Call"),O481,$C$4,$C$7,R481),"")</f>
        <v>7.2020000000276871E-3</v>
      </c>
      <c r="Y481" s="96">
        <f>_xll.qlSmileSectionVolatility($C$40,O481+$C$31)</f>
        <v>9.5068545629942089E-3</v>
      </c>
    </row>
    <row r="482" spans="15:25">
      <c r="O482" s="37">
        <f t="shared" si="8"/>
        <v>3.7700000000000046E-2</v>
      </c>
      <c r="P482" s="38" t="str">
        <f>IFERROR(_xll.qlBlackFormula(IF(O482&lt;$C$4,"Put","Call"),O482,$C$4,$C$9*SQRT($C$7)),"")</f>
        <v/>
      </c>
      <c r="Q482" s="39">
        <f>IFERROR(_xll.qlBlackFormula(IF(O482&lt;$C$4,"Put","Call"),O482,$C$4,$C$10*SQRT($C$7),,$C$11),"")</f>
        <v>3.3313705470357918E-4</v>
      </c>
      <c r="R482" s="40">
        <f>IFERROR(_xll.qlBachelierBlackFormula(IF(O482&lt;$C$4,"Put","Call"),O482,$C$4,$C$12*SQRT($C$7)),"")</f>
        <v>1.2594701952421228E-4</v>
      </c>
      <c r="S482" s="41" t="str">
        <f>IFERROR((_xll.qlBlackFormula(IF(O482&lt;$C$4,"Put","Call"),O482+$C$14,$C$4,$C$9*SQRT($C$7))-
2*_xll.qlBlackFormula(IF(O482&lt;$C$4,"Put","Call"),O482,$C$4,$C$9*SQRT($C$7))+
_xll.qlBlackFormula(IF(O482&lt;$C$4,"Put","Call"),O482-$C$14,$C$4,$C$9*SQRT($C$7)))/$C$14^2,"")</f>
        <v/>
      </c>
      <c r="T482" s="42">
        <f>IFERROR((_xll.qlBlackFormula(IF(O482&lt;$C$4,"Put","Call"),O482+$C$14,$C$4,$C$10*SQRT($C$7),,$C$11)-
2*_xll.qlBlackFormula(IF(O482&lt;$C$4,"Put","Call"),O482,$C$4,$C$10*SQRT($C$7),,$C$11)+
_xll.qlBlackFormula(IF(O482&lt;$C$4,"Put","Call"),O482-$C$14,$C$4,$C$10*SQRT($C$7),,$C$11))/$C$14^2,"")</f>
        <v>3.4702180365386859</v>
      </c>
      <c r="U482" s="43">
        <f>IFERROR((_xll.qlBachelierBlackFormula(IF(O482&lt;$C$4,"Put","Call"),O482+$C$14,$C$4,$C$12*SQRT($C$7))-
2*_xll.qlBachelierBlackFormula(IF(O482&lt;$C$4,"Put","Call"),O482,$C$4,$C$12*SQRT($C$7))+
_xll.qlBachelierBlackFormula(IF(O482&lt;$C$4,"Put","Call"),O482-$C$14,$C$4,$C$12*SQRT($C$7)))/$C$14^2,"")</f>
        <v>3.1525470168408676</v>
      </c>
      <c r="V482" s="61" t="str">
        <f>IFERROR(_xll.qlBachelierBlackFormulaImpliedVol(IF(O482&lt;$C$4,"Put","Call"),O482,$C$4,$C$7,P482),"")</f>
        <v/>
      </c>
      <c r="W482" s="61">
        <f>IFERROR(_xll.qlBachelierBlackFormulaImpliedVol(IF(O482&lt;$C$4,"Put","Call"),O482,$C$4,$C$7,Q482),"")</f>
        <v>8.5123183809367661E-3</v>
      </c>
      <c r="X482" s="61">
        <f>IFERROR(_xll.qlBachelierBlackFormulaImpliedVol(IF(O482&lt;$C$4,"Put","Call"),O482,$C$4,$C$7,R482),"")</f>
        <v>7.2020000000225896E-3</v>
      </c>
      <c r="Y482" s="96">
        <f>_xll.qlSmileSectionVolatility($C$40,O482+$C$31)</f>
        <v>9.5154771034503729E-3</v>
      </c>
    </row>
    <row r="483" spans="15:25">
      <c r="O483" s="37">
        <f t="shared" si="8"/>
        <v>3.7800000000000049E-2</v>
      </c>
      <c r="P483" s="38" t="str">
        <f>IFERROR(_xll.qlBlackFormula(IF(O483&lt;$C$4,"Put","Call"),O483,$C$4,$C$9*SQRT($C$7)),"")</f>
        <v/>
      </c>
      <c r="Q483" s="39">
        <f>IFERROR(_xll.qlBlackFormula(IF(O483&lt;$C$4,"Put","Call"),O483,$C$4,$C$10*SQRT($C$7),,$C$11),"")</f>
        <v>3.2964164493551242E-4</v>
      </c>
      <c r="R483" s="40">
        <f>IFERROR(_xll.qlBachelierBlackFormula(IF(O483&lt;$C$4,"Put","Call"),O483,$C$4,$C$12*SQRT($C$7)),"")</f>
        <v>1.2384758672040052E-4</v>
      </c>
      <c r="S483" s="41" t="str">
        <f>IFERROR((_xll.qlBlackFormula(IF(O483&lt;$C$4,"Put","Call"),O483+$C$14,$C$4,$C$9*SQRT($C$7))-
2*_xll.qlBlackFormula(IF(O483&lt;$C$4,"Put","Call"),O483,$C$4,$C$9*SQRT($C$7))+
_xll.qlBlackFormula(IF(O483&lt;$C$4,"Put","Call"),O483-$C$14,$C$4,$C$9*SQRT($C$7)))/$C$14^2,"")</f>
        <v/>
      </c>
      <c r="T483" s="42">
        <f>IFERROR((_xll.qlBlackFormula(IF(O483&lt;$C$4,"Put","Call"),O483+$C$14,$C$4,$C$10*SQRT($C$7),,$C$11)-
2*_xll.qlBlackFormula(IF(O483&lt;$C$4,"Put","Call"),O483,$C$4,$C$10*SQRT($C$7),,$C$11)+
_xll.qlBlackFormula(IF(O483&lt;$C$4,"Put","Call"),O483-$C$14,$C$4,$C$10*SQRT($C$7),,$C$11))/$C$14^2,"")</f>
        <v>3.4392549572159758</v>
      </c>
      <c r="U483" s="43">
        <f>IFERROR((_xll.qlBachelierBlackFormula(IF(O483&lt;$C$4,"Put","Call"),O483+$C$14,$C$4,$C$12*SQRT($C$7))-
2*_xll.qlBachelierBlackFormula(IF(O483&lt;$C$4,"Put","Call"),O483,$C$4,$C$12*SQRT($C$7))+
_xll.qlBachelierBlackFormula(IF(O483&lt;$C$4,"Put","Call"),O483-$C$14,$C$4,$C$12*SQRT($C$7)))/$C$14^2,"")</f>
        <v>3.1129861058701302</v>
      </c>
      <c r="V483" s="61" t="str">
        <f>IFERROR(_xll.qlBachelierBlackFormulaImpliedVol(IF(O483&lt;$C$4,"Put","Call"),O483,$C$4,$C$7,P483),"")</f>
        <v/>
      </c>
      <c r="W483" s="61">
        <f>IFERROR(_xll.qlBachelierBlackFormulaImpliedVol(IF(O483&lt;$C$4,"Put","Call"),O483,$C$4,$C$7,Q483),"")</f>
        <v>8.5161298577105006E-3</v>
      </c>
      <c r="X483" s="61">
        <f>IFERROR(_xll.qlBachelierBlackFormulaImpliedVol(IF(O483&lt;$C$4,"Put","Call"),O483,$C$4,$C$7,R483),"")</f>
        <v>7.2020000000172276E-3</v>
      </c>
      <c r="Y483" s="96">
        <f>_xll.qlSmileSectionVolatility($C$40,O483+$C$31)</f>
        <v>9.5241038118703374E-3</v>
      </c>
    </row>
    <row r="484" spans="15:25">
      <c r="O484" s="37">
        <f t="shared" si="8"/>
        <v>3.7900000000000052E-2</v>
      </c>
      <c r="P484" s="38" t="str">
        <f>IFERROR(_xll.qlBlackFormula(IF(O484&lt;$C$4,"Put","Call"),O484,$C$4,$C$9*SQRT($C$7)),"")</f>
        <v/>
      </c>
      <c r="Q484" s="39">
        <f>IFERROR(_xll.qlBlackFormula(IF(O484&lt;$C$4,"Put","Call"),O484,$C$4,$C$10*SQRT($C$7),,$C$11),"")</f>
        <v>3.2618062790451541E-4</v>
      </c>
      <c r="R484" s="40">
        <f>IFERROR(_xll.qlBachelierBlackFormula(IF(O484&lt;$C$4,"Put","Call"),O484,$C$4,$C$12*SQRT($C$7)),"")</f>
        <v>1.217792841057381E-4</v>
      </c>
      <c r="S484" s="41" t="str">
        <f>IFERROR((_xll.qlBlackFormula(IF(O484&lt;$C$4,"Put","Call"),O484+$C$14,$C$4,$C$9*SQRT($C$7))-
2*_xll.qlBlackFormula(IF(O484&lt;$C$4,"Put","Call"),O484,$C$4,$C$9*SQRT($C$7))+
_xll.qlBlackFormula(IF(O484&lt;$C$4,"Put","Call"),O484-$C$14,$C$4,$C$9*SQRT($C$7)))/$C$14^2,"")</f>
        <v/>
      </c>
      <c r="T484" s="42">
        <f>IFERROR((_xll.qlBlackFormula(IF(O484&lt;$C$4,"Put","Call"),O484+$C$14,$C$4,$C$10*SQRT($C$7),,$C$11)-
2*_xll.qlBlackFormula(IF(O484&lt;$C$4,"Put","Call"),O484,$C$4,$C$10*SQRT($C$7),,$C$11)+
_xll.qlBlackFormula(IF(O484&lt;$C$4,"Put","Call"),O484-$C$14,$C$4,$C$10*SQRT($C$7),,$C$11))/$C$14^2,"")</f>
        <v>3.4085260655625227</v>
      </c>
      <c r="U484" s="43">
        <f>IFERROR((_xll.qlBachelierBlackFormula(IF(O484&lt;$C$4,"Put","Call"),O484+$C$14,$C$4,$C$12*SQRT($C$7))-
2*_xll.qlBachelierBlackFormula(IF(O484&lt;$C$4,"Put","Call"),O484,$C$4,$C$12*SQRT($C$7))+
_xll.qlBachelierBlackFormula(IF(O484&lt;$C$4,"Put","Call"),O484-$C$14,$C$4,$C$12*SQRT($C$7)))/$C$14^2,"")</f>
        <v>3.0738044488193283</v>
      </c>
      <c r="V484" s="61" t="str">
        <f>IFERROR(_xll.qlBachelierBlackFormulaImpliedVol(IF(O484&lt;$C$4,"Put","Call"),O484,$C$4,$C$7,P484),"")</f>
        <v/>
      </c>
      <c r="W484" s="61">
        <f>IFERROR(_xll.qlBachelierBlackFormulaImpliedVol(IF(O484&lt;$C$4,"Put","Call"),O484,$C$4,$C$7,Q484),"")</f>
        <v>8.519940313626349E-3</v>
      </c>
      <c r="X484" s="61">
        <f>IFERROR(_xll.qlBachelierBlackFormulaImpliedVol(IF(O484&lt;$C$4,"Put","Call"),O484,$C$4,$C$7,R484),"")</f>
        <v>7.2020000000116201E-3</v>
      </c>
      <c r="Y484" s="96">
        <f>_xll.qlSmileSectionVolatility($C$40,O484+$C$31)</f>
        <v>9.5327346580766619E-3</v>
      </c>
    </row>
    <row r="485" spans="15:25">
      <c r="O485" s="37">
        <f t="shared" si="8"/>
        <v>3.8000000000000055E-2</v>
      </c>
      <c r="P485" s="38" t="str">
        <f>IFERROR(_xll.qlBlackFormula(IF(O485&lt;$C$4,"Put","Call"),O485,$C$4,$C$9*SQRT($C$7)),"")</f>
        <v/>
      </c>
      <c r="Q485" s="39">
        <f>IFERROR(_xll.qlBlackFormula(IF(O485&lt;$C$4,"Put","Call"),O485,$C$4,$C$10*SQRT($C$7),,$C$11),"")</f>
        <v>3.2275369635026939E-4</v>
      </c>
      <c r="R485" s="40">
        <f>IFERROR(_xll.qlBachelierBlackFormula(IF(O485&lt;$C$4,"Put","Call"),O485,$C$4,$C$12*SQRT($C$7)),"")</f>
        <v>1.1974171985669436E-4</v>
      </c>
      <c r="S485" s="41" t="str">
        <f>IFERROR((_xll.qlBlackFormula(IF(O485&lt;$C$4,"Put","Call"),O485+$C$14,$C$4,$C$9*SQRT($C$7))-
2*_xll.qlBlackFormula(IF(O485&lt;$C$4,"Put","Call"),O485,$C$4,$C$9*SQRT($C$7))+
_xll.qlBlackFormula(IF(O485&lt;$C$4,"Put","Call"),O485-$C$14,$C$4,$C$9*SQRT($C$7)))/$C$14^2,"")</f>
        <v/>
      </c>
      <c r="T485" s="42">
        <f>IFERROR((_xll.qlBlackFormula(IF(O485&lt;$C$4,"Put","Call"),O485+$C$14,$C$4,$C$10*SQRT($C$7),,$C$11)-
2*_xll.qlBlackFormula(IF(O485&lt;$C$4,"Put","Call"),O485,$C$4,$C$10*SQRT($C$7),,$C$11)+
_xll.qlBlackFormula(IF(O485&lt;$C$4,"Put","Call"),O485-$C$14,$C$4,$C$10*SQRT($C$7),,$C$11))/$C$14^2,"")</f>
        <v>3.3780356983870163</v>
      </c>
      <c r="U485" s="43">
        <f>IFERROR((_xll.qlBachelierBlackFormula(IF(O485&lt;$C$4,"Put","Call"),O485+$C$14,$C$4,$C$12*SQRT($C$7))-
2*_xll.qlBachelierBlackFormula(IF(O485&lt;$C$4,"Put","Call"),O485,$C$4,$C$12*SQRT($C$7))+
_xll.qlBachelierBlackFormula(IF(O485&lt;$C$4,"Put","Call"),O485-$C$14,$C$4,$C$12*SQRT($C$7)))/$C$14^2,"")</f>
        <v>3.0350005278054204</v>
      </c>
      <c r="V485" s="61" t="str">
        <f>IFERROR(_xll.qlBachelierBlackFormulaImpliedVol(IF(O485&lt;$C$4,"Put","Call"),O485,$C$4,$C$7,P485),"")</f>
        <v/>
      </c>
      <c r="W485" s="61">
        <f>IFERROR(_xll.qlBachelierBlackFormulaImpliedVol(IF(O485&lt;$C$4,"Put","Call"),O485,$C$4,$C$7,Q485),"")</f>
        <v>8.5237497499687578E-3</v>
      </c>
      <c r="X485" s="61">
        <f>IFERROR(_xll.qlBachelierBlackFormulaImpliedVol(IF(O485&lt;$C$4,"Put","Call"),O485,$C$4,$C$7,R485),"")</f>
        <v>7.2020000000057706E-3</v>
      </c>
      <c r="Y485" s="96">
        <f>_xll.qlSmileSectionVolatility($C$40,O485+$C$31)</f>
        <v>9.5413696120784774E-3</v>
      </c>
    </row>
    <row r="486" spans="15:25">
      <c r="O486" s="37">
        <f t="shared" si="8"/>
        <v>3.8100000000000057E-2</v>
      </c>
      <c r="P486" s="38" t="str">
        <f>IFERROR(_xll.qlBlackFormula(IF(O486&lt;$C$4,"Put","Call"),O486,$C$4,$C$9*SQRT($C$7)),"")</f>
        <v/>
      </c>
      <c r="Q486" s="39">
        <f>IFERROR(_xll.qlBlackFormula(IF(O486&lt;$C$4,"Put","Call"),O486,$C$4,$C$10*SQRT($C$7),,$C$11),"")</f>
        <v>3.1936054533978318E-4</v>
      </c>
      <c r="R486" s="40">
        <f>IFERROR(_xll.qlBachelierBlackFormula(IF(O486&lt;$C$4,"Put","Call"),O486,$C$4,$C$12*SQRT($C$7)),"")</f>
        <v>1.1773450591118597E-4</v>
      </c>
      <c r="S486" s="41" t="str">
        <f>IFERROR((_xll.qlBlackFormula(IF(O486&lt;$C$4,"Put","Call"),O486+$C$14,$C$4,$C$9*SQRT($C$7))-
2*_xll.qlBlackFormula(IF(O486&lt;$C$4,"Put","Call"),O486,$C$4,$C$9*SQRT($C$7))+
_xll.qlBlackFormula(IF(O486&lt;$C$4,"Put","Call"),O486-$C$14,$C$4,$C$9*SQRT($C$7)))/$C$14^2,"")</f>
        <v/>
      </c>
      <c r="T486" s="42">
        <f>IFERROR((_xll.qlBlackFormula(IF(O486&lt;$C$4,"Put","Call"),O486+$C$14,$C$4,$C$10*SQRT($C$7),,$C$11)-
2*_xll.qlBlackFormula(IF(O486&lt;$C$4,"Put","Call"),O486,$C$4,$C$10*SQRT($C$7),,$C$11)+
_xll.qlBlackFormula(IF(O486&lt;$C$4,"Put","Call"),O486-$C$14,$C$4,$C$10*SQRT($C$7),,$C$11))/$C$14^2,"")</f>
        <v>3.347769110539911</v>
      </c>
      <c r="U486" s="43">
        <f>IFERROR((_xll.qlBachelierBlackFormula(IF(O486&lt;$C$4,"Put","Call"),O486+$C$14,$C$4,$C$12*SQRT($C$7))-
2*_xll.qlBachelierBlackFormula(IF(O486&lt;$C$4,"Put","Call"),O486,$C$4,$C$12*SQRT($C$7))+
_xll.qlBachelierBlackFormula(IF(O486&lt;$C$4,"Put","Call"),O486-$C$14,$C$4,$C$12*SQRT($C$7)))/$C$14^2,"")</f>
        <v>2.9965662113121128</v>
      </c>
      <c r="V486" s="61" t="str">
        <f>IFERROR(_xll.qlBachelierBlackFormulaImpliedVol(IF(O486&lt;$C$4,"Put","Call"),O486,$C$4,$C$7,P486),"")</f>
        <v/>
      </c>
      <c r="W486" s="61">
        <f>IFERROR(_xll.qlBachelierBlackFormulaImpliedVol(IF(O486&lt;$C$4,"Put","Call"),O486,$C$4,$C$7,Q486),"")</f>
        <v>8.5275581680193911E-3</v>
      </c>
      <c r="X486" s="61">
        <f>IFERROR(_xll.qlBachelierBlackFormulaImpliedVol(IF(O486&lt;$C$4,"Put","Call"),O486,$C$4,$C$7,R486),"")</f>
        <v>7.2019999999997251E-3</v>
      </c>
      <c r="Y486" s="96">
        <f>_xll.qlSmileSectionVolatility($C$40,O486+$C$31)</f>
        <v>9.5500086440704849E-3</v>
      </c>
    </row>
    <row r="487" spans="15:25">
      <c r="O487" s="37">
        <f t="shared" si="8"/>
        <v>3.820000000000006E-2</v>
      </c>
      <c r="P487" s="38" t="str">
        <f>IFERROR(_xll.qlBlackFormula(IF(O487&lt;$C$4,"Put","Call"),O487,$C$4,$C$9*SQRT($C$7)),"")</f>
        <v/>
      </c>
      <c r="Q487" s="39">
        <f>IFERROR(_xll.qlBlackFormula(IF(O487&lt;$C$4,"Put","Call"),O487,$C$4,$C$10*SQRT($C$7),,$C$11),"")</f>
        <v>3.1600087225534031E-4</v>
      </c>
      <c r="R487" s="40">
        <f>IFERROR(_xll.qlBachelierBlackFormula(IF(O487&lt;$C$4,"Put","Call"),O487,$C$4,$C$12*SQRT($C$7)),"")</f>
        <v>1.157572579508115E-4</v>
      </c>
      <c r="S487" s="41" t="str">
        <f>IFERROR((_xll.qlBlackFormula(IF(O487&lt;$C$4,"Put","Call"),O487+$C$14,$C$4,$C$9*SQRT($C$7))-
2*_xll.qlBlackFormula(IF(O487&lt;$C$4,"Put","Call"),O487,$C$4,$C$9*SQRT($C$7))+
_xll.qlBlackFormula(IF(O487&lt;$C$4,"Put","Call"),O487-$C$14,$C$4,$C$9*SQRT($C$7)))/$C$14^2,"")</f>
        <v/>
      </c>
      <c r="T487" s="42">
        <f>IFERROR((_xll.qlBlackFormula(IF(O487&lt;$C$4,"Put","Call"),O487+$C$14,$C$4,$C$10*SQRT($C$7),,$C$11)-
2*_xll.qlBlackFormula(IF(O487&lt;$C$4,"Put","Call"),O487,$C$4,$C$10*SQRT($C$7),,$C$11)+
_xll.qlBlackFormula(IF(O487&lt;$C$4,"Put","Call"),O487-$C$14,$C$4,$C$10*SQRT($C$7),,$C$11))/$C$14^2,"")</f>
        <v>3.3177393124472765</v>
      </c>
      <c r="U487" s="43">
        <f>IFERROR((_xll.qlBachelierBlackFormula(IF(O487&lt;$C$4,"Put","Call"),O487+$C$14,$C$4,$C$12*SQRT($C$7))-
2*_xll.qlBachelierBlackFormula(IF(O487&lt;$C$4,"Put","Call"),O487,$C$4,$C$12*SQRT($C$7))+
_xll.qlBachelierBlackFormula(IF(O487&lt;$C$4,"Put","Call"),O487-$C$14,$C$4,$C$12*SQRT($C$7)))/$C$14^2,"")</f>
        <v>2.9585081129726576</v>
      </c>
      <c r="V487" s="61" t="str">
        <f>IFERROR(_xll.qlBachelierBlackFormulaImpliedVol(IF(O487&lt;$C$4,"Put","Call"),O487,$C$4,$C$7,P487),"")</f>
        <v/>
      </c>
      <c r="W487" s="61">
        <f>IFERROR(_xll.qlBachelierBlackFormulaImpliedVol(IF(O487&lt;$C$4,"Put","Call"),O487,$C$4,$C$7,Q487),"")</f>
        <v>8.5313655690571668E-3</v>
      </c>
      <c r="X487" s="61">
        <f>IFERROR(_xll.qlBachelierBlackFormulaImpliedVol(IF(O487&lt;$C$4,"Put","Call"),O487,$C$4,$C$7,R487),"")</f>
        <v>7.201999999993461E-3</v>
      </c>
      <c r="Y487" s="96">
        <f>_xll.qlSmileSectionVolatility($C$40,O487+$C$31)</f>
        <v>9.5586517244319255E-3</v>
      </c>
    </row>
    <row r="488" spans="15:25">
      <c r="O488" s="37">
        <f t="shared" si="8"/>
        <v>3.8300000000000063E-2</v>
      </c>
      <c r="P488" s="38" t="str">
        <f>IFERROR(_xll.qlBlackFormula(IF(O488&lt;$C$4,"Put","Call"),O488,$C$4,$C$9*SQRT($C$7)),"")</f>
        <v/>
      </c>
      <c r="Q488" s="39">
        <f>IFERROR(_xll.qlBlackFormula(IF(O488&lt;$C$4,"Put","Call"),O488,$C$4,$C$10*SQRT($C$7),,$C$11),"")</f>
        <v>3.1267437678243575E-4</v>
      </c>
      <c r="R488" s="40">
        <f>IFERROR(_xll.qlBachelierBlackFormula(IF(O488&lt;$C$4,"Put","Call"),O488,$C$4,$C$12*SQRT($C$7)),"")</f>
        <v>1.1380959538291515E-4</v>
      </c>
      <c r="S488" s="41" t="str">
        <f>IFERROR((_xll.qlBlackFormula(IF(O488&lt;$C$4,"Put","Call"),O488+$C$14,$C$4,$C$9*SQRT($C$7))-
2*_xll.qlBlackFormula(IF(O488&lt;$C$4,"Put","Call"),O488,$C$4,$C$9*SQRT($C$7))+
_xll.qlBlackFormula(IF(O488&lt;$C$4,"Put","Call"),O488-$C$14,$C$4,$C$9*SQRT($C$7)))/$C$14^2,"")</f>
        <v/>
      </c>
      <c r="T488" s="42">
        <f>IFERROR((_xll.qlBlackFormula(IF(O488&lt;$C$4,"Put","Call"),O488+$C$14,$C$4,$C$10*SQRT($C$7),,$C$11)-
2*_xll.qlBlackFormula(IF(O488&lt;$C$4,"Put","Call"),O488,$C$4,$C$10*SQRT($C$7),,$C$11)+
_xll.qlBlackFormula(IF(O488&lt;$C$4,"Put","Call"),O488-$C$14,$C$4,$C$10*SQRT($C$7),,$C$11))/$C$14^2,"")</f>
        <v>3.2879489061943268</v>
      </c>
      <c r="U488" s="43">
        <f>IFERROR((_xll.qlBachelierBlackFormula(IF(O488&lt;$C$4,"Put","Call"),O488+$C$14,$C$4,$C$12*SQRT($C$7))-
2*_xll.qlBachelierBlackFormula(IF(O488&lt;$C$4,"Put","Call"),O488,$C$4,$C$12*SQRT($C$7))+
_xll.qlBachelierBlackFormula(IF(O488&lt;$C$4,"Put","Call"),O488-$C$14,$C$4,$C$12*SQRT($C$7)))/$C$14^2,"")</f>
        <v>2.9208194023133682</v>
      </c>
      <c r="V488" s="61" t="str">
        <f>IFERROR(_xll.qlBachelierBlackFormulaImpliedVol(IF(O488&lt;$C$4,"Put","Call"),O488,$C$4,$C$7,P488),"")</f>
        <v/>
      </c>
      <c r="W488" s="61">
        <f>IFERROR(_xll.qlBachelierBlackFormulaImpliedVol(IF(O488&lt;$C$4,"Put","Call"),O488,$C$4,$C$7,Q488),"")</f>
        <v>8.5351719543582359E-3</v>
      </c>
      <c r="X488" s="61">
        <f>IFERROR(_xll.qlBachelierBlackFormulaImpliedVol(IF(O488&lt;$C$4,"Put","Call"),O488,$C$4,$C$7,R488),"")</f>
        <v>7.2019999999870018E-3</v>
      </c>
      <c r="Y488" s="96">
        <f>_xll.qlSmileSectionVolatility($C$40,O488+$C$31)</f>
        <v>9.5672988237255011E-3</v>
      </c>
    </row>
    <row r="489" spans="15:25">
      <c r="O489" s="37">
        <f t="shared" si="8"/>
        <v>3.8400000000000066E-2</v>
      </c>
      <c r="P489" s="38" t="str">
        <f>IFERROR(_xll.qlBlackFormula(IF(O489&lt;$C$4,"Put","Call"),O489,$C$4,$C$9*SQRT($C$7)),"")</f>
        <v/>
      </c>
      <c r="Q489" s="39">
        <f>IFERROR(_xll.qlBlackFormula(IF(O489&lt;$C$4,"Put","Call"),O489,$C$4,$C$10*SQRT($C$7),,$C$11),"")</f>
        <v>3.0938076089774514E-4</v>
      </c>
      <c r="R489" s="40">
        <f>IFERROR(_xll.qlBachelierBlackFormula(IF(O489&lt;$C$4,"Put","Call"),O489,$C$4,$C$12*SQRT($C$7)),"")</f>
        <v>1.1189114132241702E-4</v>
      </c>
      <c r="S489" s="41" t="str">
        <f>IFERROR((_xll.qlBlackFormula(IF(O489&lt;$C$4,"Put","Call"),O489+$C$14,$C$4,$C$9*SQRT($C$7))-
2*_xll.qlBlackFormula(IF(O489&lt;$C$4,"Put","Call"),O489,$C$4,$C$9*SQRT($C$7))+
_xll.qlBlackFormula(IF(O489&lt;$C$4,"Put","Call"),O489-$C$14,$C$4,$C$9*SQRT($C$7)))/$C$14^2,"")</f>
        <v/>
      </c>
      <c r="T489" s="42">
        <f>IFERROR((_xll.qlBlackFormula(IF(O489&lt;$C$4,"Put","Call"),O489+$C$14,$C$4,$C$10*SQRT($C$7),,$C$11)-
2*_xll.qlBlackFormula(IF(O489&lt;$C$4,"Put","Call"),O489,$C$4,$C$10*SQRT($C$7),,$C$11)+
_xll.qlBlackFormula(IF(O489&lt;$C$4,"Put","Call"),O489-$C$14,$C$4,$C$10*SQRT($C$7),,$C$11))/$C$14^2,"")</f>
        <v>3.2583649320350183</v>
      </c>
      <c r="U489" s="43">
        <f>IFERROR((_xll.qlBachelierBlackFormula(IF(O489&lt;$C$4,"Put","Call"),O489+$C$14,$C$4,$C$12*SQRT($C$7))-
2*_xll.qlBachelierBlackFormula(IF(O489&lt;$C$4,"Put","Call"),O489,$C$4,$C$12*SQRT($C$7))+
_xll.qlBachelierBlackFormula(IF(O489&lt;$C$4,"Put","Call"),O489-$C$14,$C$4,$C$12*SQRT($C$7)))/$C$14^2,"")</f>
        <v>2.8835015972172862</v>
      </c>
      <c r="V489" s="61" t="str">
        <f>IFERROR(_xll.qlBachelierBlackFormulaImpliedVol(IF(O489&lt;$C$4,"Put","Call"),O489,$C$4,$C$7,P489),"")</f>
        <v/>
      </c>
      <c r="W489" s="61">
        <f>IFERROR(_xll.qlBachelierBlackFormulaImpliedVol(IF(O489&lt;$C$4,"Put","Call"),O489,$C$4,$C$7,Q489),"")</f>
        <v>8.5389773251961804E-3</v>
      </c>
      <c r="X489" s="61">
        <f>IFERROR(_xll.qlBachelierBlackFormulaImpliedVol(IF(O489&lt;$C$4,"Put","Call"),O489,$C$4,$C$7,R489),"")</f>
        <v>7.2019999999803457E-3</v>
      </c>
      <c r="Y489" s="96">
        <f>_xll.qlSmileSectionVolatility($C$40,O489+$C$31)</f>
        <v>9.5759499126964291E-3</v>
      </c>
    </row>
    <row r="490" spans="15:25">
      <c r="O490" s="37">
        <f t="shared" si="8"/>
        <v>3.8500000000000069E-2</v>
      </c>
      <c r="P490" s="38" t="str">
        <f>IFERROR(_xll.qlBlackFormula(IF(O490&lt;$C$4,"Put","Call"),O490,$C$4,$C$9*SQRT($C$7)),"")</f>
        <v/>
      </c>
      <c r="Q490" s="39">
        <f>IFERROR(_xll.qlBlackFormula(IF(O490&lt;$C$4,"Put","Call"),O490,$C$4,$C$10*SQRT($C$7),,$C$11),"")</f>
        <v>3.0611972885696316E-4</v>
      </c>
      <c r="R490" s="40">
        <f>IFERROR(_xll.qlBachelierBlackFormula(IF(O490&lt;$C$4,"Put","Call"),O490,$C$4,$C$12*SQRT($C$7)),"")</f>
        <v>1.1000152257346603E-4</v>
      </c>
      <c r="S490" s="41" t="str">
        <f>IFERROR((_xll.qlBlackFormula(IF(O490&lt;$C$4,"Put","Call"),O490+$C$14,$C$4,$C$9*SQRT($C$7))-
2*_xll.qlBlackFormula(IF(O490&lt;$C$4,"Put","Call"),O490,$C$4,$C$9*SQRT($C$7))+
_xll.qlBlackFormula(IF(O490&lt;$C$4,"Put","Call"),O490-$C$14,$C$4,$C$9*SQRT($C$7)))/$C$14^2,"")</f>
        <v/>
      </c>
      <c r="T490" s="42">
        <f>IFERROR((_xll.qlBlackFormula(IF(O490&lt;$C$4,"Put","Call"),O490+$C$14,$C$4,$C$10*SQRT($C$7),,$C$11)-
2*_xll.qlBlackFormula(IF(O490&lt;$C$4,"Put","Call"),O490,$C$4,$C$10*SQRT($C$7),,$C$11)+
_xll.qlBlackFormula(IF(O490&lt;$C$4,"Put","Call"),O490-$C$14,$C$4,$C$10*SQRT($C$7),,$C$11))/$C$14^2,"")</f>
        <v>3.2290181813110497</v>
      </c>
      <c r="U490" s="43">
        <f>IFERROR((_xll.qlBachelierBlackFormula(IF(O490&lt;$C$4,"Put","Call"),O490+$C$14,$C$4,$C$12*SQRT($C$7))-
2*_xll.qlBachelierBlackFormula(IF(O490&lt;$C$4,"Put","Call"),O490,$C$4,$C$12*SQRT($C$7))+
_xll.qlBachelierBlackFormula(IF(O490&lt;$C$4,"Put","Call"),O490-$C$14,$C$4,$C$12*SQRT($C$7)))/$C$14^2,"")</f>
        <v>2.8465469998489867</v>
      </c>
      <c r="V490" s="61" t="str">
        <f>IFERROR(_xll.qlBachelierBlackFormulaImpliedVol(IF(O490&lt;$C$4,"Put","Call"),O490,$C$4,$C$7,P490),"")</f>
        <v/>
      </c>
      <c r="W490" s="61">
        <f>IFERROR(_xll.qlBachelierBlackFormulaImpliedVol(IF(O490&lt;$C$4,"Put","Call"),O490,$C$4,$C$7,Q490),"")</f>
        <v>8.5427816828417356E-3</v>
      </c>
      <c r="X490" s="61">
        <f>IFERROR(_xll.qlBachelierBlackFormulaImpliedVol(IF(O490&lt;$C$4,"Put","Call"),O490,$C$4,$C$7,R490),"")</f>
        <v>7.2019999999734935E-3</v>
      </c>
      <c r="Y490" s="96">
        <f>_xll.qlSmileSectionVolatility($C$40,O490+$C$31)</f>
        <v>9.5846049622713616E-3</v>
      </c>
    </row>
    <row r="491" spans="15:25">
      <c r="O491" s="37">
        <f t="shared" si="8"/>
        <v>3.8600000000000072E-2</v>
      </c>
      <c r="P491" s="38" t="str">
        <f>IFERROR(_xll.qlBlackFormula(IF(O491&lt;$C$4,"Put","Call"),O491,$C$4,$C$9*SQRT($C$7)),"")</f>
        <v/>
      </c>
      <c r="Q491" s="39">
        <f>IFERROR(_xll.qlBlackFormula(IF(O491&lt;$C$4,"Put","Call"),O491,$C$4,$C$10*SQRT($C$7),,$C$11),"")</f>
        <v>3.0289098718275058E-4</v>
      </c>
      <c r="R491" s="40">
        <f>IFERROR(_xll.qlBachelierBlackFormula(IF(O491&lt;$C$4,"Put","Call"),O491,$C$4,$C$12*SQRT($C$7)),"")</f>
        <v>1.081403696108949E-4</v>
      </c>
      <c r="S491" s="41" t="str">
        <f>IFERROR((_xll.qlBlackFormula(IF(O491&lt;$C$4,"Put","Call"),O491+$C$14,$C$4,$C$9*SQRT($C$7))-
2*_xll.qlBlackFormula(IF(O491&lt;$C$4,"Put","Call"),O491,$C$4,$C$9*SQRT($C$7))+
_xll.qlBlackFormula(IF(O491&lt;$C$4,"Put","Call"),O491-$C$14,$C$4,$C$9*SQRT($C$7)))/$C$14^2,"")</f>
        <v/>
      </c>
      <c r="T491" s="42">
        <f>IFERROR((_xll.qlBlackFormula(IF(O491&lt;$C$4,"Put","Call"),O491+$C$14,$C$4,$C$10*SQRT($C$7),,$C$11)-
2*_xll.qlBlackFormula(IF(O491&lt;$C$4,"Put","Call"),O491,$C$4,$C$10*SQRT($C$7),,$C$11)+
_xll.qlBlackFormula(IF(O491&lt;$C$4,"Put","Call"),O491-$C$14,$C$4,$C$10*SQRT($C$7),,$C$11))/$C$14^2,"")</f>
        <v>3.199897378319827</v>
      </c>
      <c r="U491" s="43">
        <f>IFERROR((_xll.qlBachelierBlackFormula(IF(O491&lt;$C$4,"Put","Call"),O491+$C$14,$C$4,$C$12*SQRT($C$7))-
2*_xll.qlBachelierBlackFormula(IF(O491&lt;$C$4,"Put","Call"),O491,$C$4,$C$12*SQRT($C$7))+
_xll.qlBachelierBlackFormula(IF(O491&lt;$C$4,"Put","Call"),O491-$C$14,$C$4,$C$12*SQRT($C$7)))/$C$14^2,"")</f>
        <v>2.8099634164641119</v>
      </c>
      <c r="V491" s="61" t="str">
        <f>IFERROR(_xll.qlBachelierBlackFormulaImpliedVol(IF(O491&lt;$C$4,"Put","Call"),O491,$C$4,$C$7,P491),"")</f>
        <v/>
      </c>
      <c r="W491" s="61">
        <f>IFERROR(_xll.qlBachelierBlackFormulaImpliedVol(IF(O491&lt;$C$4,"Put","Call"),O491,$C$4,$C$7,Q491),"")</f>
        <v>8.5465850285629998E-3</v>
      </c>
      <c r="X491" s="61">
        <f>IFERROR(_xll.qlBachelierBlackFormulaImpliedVol(IF(O491&lt;$C$4,"Put","Call"),O491,$C$4,$C$7,R491),"")</f>
        <v>7.2019999999664661E-3</v>
      </c>
      <c r="Y491" s="96">
        <f>_xll.qlSmileSectionVolatility($C$40,O491+$C$31)</f>
        <v>9.5932639435573428E-3</v>
      </c>
    </row>
    <row r="492" spans="15:25">
      <c r="O492" s="37">
        <f t="shared" si="8"/>
        <v>3.8700000000000075E-2</v>
      </c>
      <c r="P492" s="38" t="str">
        <f>IFERROR(_xll.qlBlackFormula(IF(O492&lt;$C$4,"Put","Call"),O492,$C$4,$C$9*SQRT($C$7)),"")</f>
        <v/>
      </c>
      <c r="Q492" s="39">
        <f>IFERROR(_xll.qlBlackFormula(IF(O492&lt;$C$4,"Put","Call"),O492,$C$4,$C$10*SQRT($C$7),,$C$11),"")</f>
        <v>2.9969424465261466E-4</v>
      </c>
      <c r="R492" s="40">
        <f>IFERROR(_xll.qlBachelierBlackFormula(IF(O492&lt;$C$4,"Put","Call"),O492,$C$4,$C$12*SQRT($C$7)),"")</f>
        <v>1.0630731656150101E-4</v>
      </c>
      <c r="S492" s="41" t="str">
        <f>IFERROR((_xll.qlBlackFormula(IF(O492&lt;$C$4,"Put","Call"),O492+$C$14,$C$4,$C$9*SQRT($C$7))-
2*_xll.qlBlackFormula(IF(O492&lt;$C$4,"Put","Call"),O492,$C$4,$C$9*SQRT($C$7))+
_xll.qlBlackFormula(IF(O492&lt;$C$4,"Put","Call"),O492-$C$14,$C$4,$C$9*SQRT($C$7)))/$C$14^2,"")</f>
        <v/>
      </c>
      <c r="T492" s="42">
        <f>IFERROR((_xll.qlBlackFormula(IF(O492&lt;$C$4,"Put","Call"),O492+$C$14,$C$4,$C$10*SQRT($C$7),,$C$11)-
2*_xll.qlBlackFormula(IF(O492&lt;$C$4,"Put","Call"),O492,$C$4,$C$10*SQRT($C$7),,$C$11)+
_xll.qlBlackFormula(IF(O492&lt;$C$4,"Put","Call"),O492-$C$14,$C$4,$C$10*SQRT($C$7),,$C$11))/$C$14^2,"")</f>
        <v>3.1710029567422193</v>
      </c>
      <c r="U492" s="43">
        <f>IFERROR((_xll.qlBachelierBlackFormula(IF(O492&lt;$C$4,"Put","Call"),O492+$C$14,$C$4,$C$12*SQRT($C$7))-
2*_xll.qlBachelierBlackFormula(IF(O492&lt;$C$4,"Put","Call"),O492,$C$4,$C$12*SQRT($C$7))+
_xll.qlBachelierBlackFormula(IF(O492&lt;$C$4,"Put","Call"),O492-$C$14,$C$4,$C$12*SQRT($C$7)))/$C$14^2,"")</f>
        <v>2.7737375113759399</v>
      </c>
      <c r="V492" s="61" t="str">
        <f>IFERROR(_xll.qlBachelierBlackFormulaImpliedVol(IF(O492&lt;$C$4,"Put","Call"),O492,$C$4,$C$7,P492),"")</f>
        <v/>
      </c>
      <c r="W492" s="61">
        <f>IFERROR(_xll.qlBachelierBlackFormulaImpliedVol(IF(O492&lt;$C$4,"Put","Call"),O492,$C$4,$C$7,Q492),"")</f>
        <v>8.5503873636253187E-3</v>
      </c>
      <c r="X492" s="61">
        <f>IFERROR(_xll.qlBachelierBlackFormulaImpliedVol(IF(O492&lt;$C$4,"Put","Call"),O492,$C$4,$C$7,R492),"")</f>
        <v>7.2019999999593408E-3</v>
      </c>
      <c r="Y492" s="96">
        <f>_xll.qlSmileSectionVolatility($C$40,O492+$C$31)</f>
        <v>9.6019268278408672E-3</v>
      </c>
    </row>
    <row r="493" spans="15:25">
      <c r="O493" s="37">
        <f t="shared" si="8"/>
        <v>3.8800000000000077E-2</v>
      </c>
      <c r="P493" s="38" t="str">
        <f>IFERROR(_xll.qlBlackFormula(IF(O493&lt;$C$4,"Put","Call"),O493,$C$4,$C$9*SQRT($C$7)),"")</f>
        <v/>
      </c>
      <c r="Q493" s="39">
        <f>IFERROR(_xll.qlBlackFormula(IF(O493&lt;$C$4,"Put","Call"),O493,$C$4,$C$10*SQRT($C$7),,$C$11),"")</f>
        <v>2.9652921228679255E-4</v>
      </c>
      <c r="R493" s="40">
        <f>IFERROR(_xll.qlBachelierBlackFormula(IF(O493&lt;$C$4,"Put","Call"),O493,$C$4,$C$12*SQRT($C$7)),"")</f>
        <v>1.0450200118513123E-4</v>
      </c>
      <c r="S493" s="41" t="str">
        <f>IFERROR((_xll.qlBlackFormula(IF(O493&lt;$C$4,"Put","Call"),O493+$C$14,$C$4,$C$9*SQRT($C$7))-
2*_xll.qlBlackFormula(IF(O493&lt;$C$4,"Put","Call"),O493,$C$4,$C$9*SQRT($C$7))+
_xll.qlBlackFormula(IF(O493&lt;$C$4,"Put","Call"),O493-$C$14,$C$4,$C$9*SQRT($C$7)))/$C$14^2,"")</f>
        <v/>
      </c>
      <c r="T493" s="42">
        <f>IFERROR((_xll.qlBlackFormula(IF(O493&lt;$C$4,"Put","Call"),O493+$C$14,$C$4,$C$10*SQRT($C$7),,$C$11)-
2*_xll.qlBlackFormula(IF(O493&lt;$C$4,"Put","Call"),O493,$C$4,$C$10*SQRT($C$7),,$C$11)+
_xll.qlBlackFormula(IF(O493&lt;$C$4,"Put","Call"),O493-$C$14,$C$4,$C$10*SQRT($C$7),,$C$11))/$C$14^2,"")</f>
        <v>3.1423275440034537</v>
      </c>
      <c r="U493" s="43">
        <f>IFERROR((_xll.qlBachelierBlackFormula(IF(O493&lt;$C$4,"Put","Call"),O493+$C$14,$C$4,$C$12*SQRT($C$7))-
2*_xll.qlBachelierBlackFormula(IF(O493&lt;$C$4,"Put","Call"),O493,$C$4,$C$12*SQRT($C$7))+
_xll.qlBachelierBlackFormula(IF(O493&lt;$C$4,"Put","Call"),O493-$C$14,$C$4,$C$12*SQRT($C$7)))/$C$14^2,"")</f>
        <v>2.7378766571592439</v>
      </c>
      <c r="V493" s="61" t="str">
        <f>IFERROR(_xll.qlBachelierBlackFormulaImpliedVol(IF(O493&lt;$C$4,"Put","Call"),O493,$C$4,$C$7,P493),"")</f>
        <v/>
      </c>
      <c r="W493" s="61">
        <f>IFERROR(_xll.qlBachelierBlackFormulaImpliedVol(IF(O493&lt;$C$4,"Put","Call"),O493,$C$4,$C$7,Q493),"")</f>
        <v>8.5541886892915031E-3</v>
      </c>
      <c r="X493" s="61">
        <f>IFERROR(_xll.qlBachelierBlackFormulaImpliedVol(IF(O493&lt;$C$4,"Put","Call"),O493,$C$4,$C$7,R493),"")</f>
        <v>7.2019999999520133E-3</v>
      </c>
      <c r="Y493" s="96">
        <f>_xll.qlSmileSectionVolatility($C$40,O493+$C$31)</f>
        <v>9.6105935865868058E-3</v>
      </c>
    </row>
    <row r="494" spans="15:25">
      <c r="O494" s="37">
        <f t="shared" si="8"/>
        <v>3.890000000000008E-2</v>
      </c>
      <c r="P494" s="38" t="str">
        <f>IFERROR(_xll.qlBlackFormula(IF(O494&lt;$C$4,"Put","Call"),O494,$C$4,$C$9*SQRT($C$7)),"")</f>
        <v/>
      </c>
      <c r="Q494" s="39">
        <f>IFERROR(_xll.qlBlackFormula(IF(O494&lt;$C$4,"Put","Call"),O494,$C$4,$C$10*SQRT($C$7),,$C$11),"")</f>
        <v>2.9339560333609257E-4</v>
      </c>
      <c r="R494" s="40">
        <f>IFERROR(_xll.qlBachelierBlackFormula(IF(O494&lt;$C$4,"Put","Call"),O494,$C$4,$C$12*SQRT($C$7)),"")</f>
        <v>1.0272406485560873E-4</v>
      </c>
      <c r="S494" s="41" t="str">
        <f>IFERROR((_xll.qlBlackFormula(IF(O494&lt;$C$4,"Put","Call"),O494+$C$14,$C$4,$C$9*SQRT($C$7))-
2*_xll.qlBlackFormula(IF(O494&lt;$C$4,"Put","Call"),O494,$C$4,$C$9*SQRT($C$7))+
_xll.qlBlackFormula(IF(O494&lt;$C$4,"Put","Call"),O494-$C$14,$C$4,$C$9*SQRT($C$7)))/$C$14^2,"")</f>
        <v/>
      </c>
      <c r="T494" s="42">
        <f>IFERROR((_xll.qlBlackFormula(IF(O494&lt;$C$4,"Put","Call"),O494+$C$14,$C$4,$C$10*SQRT($C$7),,$C$11)-
2*_xll.qlBlackFormula(IF(O494&lt;$C$4,"Put","Call"),O494,$C$4,$C$10*SQRT($C$7),,$C$11)+
_xll.qlBlackFormula(IF(O494&lt;$C$4,"Put","Call"),O494-$C$14,$C$4,$C$10*SQRT($C$7),,$C$11))/$C$14^2,"")</f>
        <v>3.1138707064226612</v>
      </c>
      <c r="U494" s="43">
        <f>IFERROR((_xll.qlBachelierBlackFormula(IF(O494&lt;$C$4,"Put","Call"),O494+$C$14,$C$4,$C$12*SQRT($C$7))-
2*_xll.qlBachelierBlackFormula(IF(O494&lt;$C$4,"Put","Call"),O494,$C$4,$C$12*SQRT($C$7))+
_xll.qlBachelierBlackFormula(IF(O494&lt;$C$4,"Put","Call"),O494-$C$14,$C$4,$C$12*SQRT($C$7)))/$C$14^2,"")</f>
        <v>2.7023726138775128</v>
      </c>
      <c r="V494" s="61" t="str">
        <f>IFERROR(_xll.qlBachelierBlackFormulaImpliedVol(IF(O494&lt;$C$4,"Put","Call"),O494,$C$4,$C$7,P494),"")</f>
        <v/>
      </c>
      <c r="W494" s="61">
        <f>IFERROR(_xll.qlBachelierBlackFormulaImpliedVol(IF(O494&lt;$C$4,"Put","Call"),O494,$C$4,$C$7,Q494),"")</f>
        <v>8.5579890068214811E-3</v>
      </c>
      <c r="X494" s="61">
        <f>IFERROR(_xll.qlBachelierBlackFormulaImpliedVol(IF(O494&lt;$C$4,"Put","Call"),O494,$C$4,$C$7,R494),"")</f>
        <v>7.2019999999445947E-3</v>
      </c>
      <c r="Y494" s="96">
        <f>_xll.qlSmileSectionVolatility($C$40,O494+$C$31)</f>
        <v>9.6192641914374152E-3</v>
      </c>
    </row>
    <row r="495" spans="15:25">
      <c r="O495" s="37">
        <f t="shared" si="8"/>
        <v>3.9000000000000083E-2</v>
      </c>
      <c r="P495" s="38" t="str">
        <f>IFERROR(_xll.qlBlackFormula(IF(O495&lt;$C$4,"Put","Call"),O495,$C$4,$C$9*SQRT($C$7)),"")</f>
        <v/>
      </c>
      <c r="Q495" s="39">
        <f>IFERROR(_xll.qlBlackFormula(IF(O495&lt;$C$4,"Put","Call"),O495,$C$4,$C$10*SQRT($C$7),,$C$11),"")</f>
        <v>2.9029313326981408E-4</v>
      </c>
      <c r="R495" s="40">
        <f>IFERROR(_xll.qlBachelierBlackFormula(IF(O495&lt;$C$4,"Put","Call"),O495,$C$4,$C$12*SQRT($C$7)),"")</f>
        <v>1.0097315254148094E-4</v>
      </c>
      <c r="S495" s="41" t="str">
        <f>IFERROR((_xll.qlBlackFormula(IF(O495&lt;$C$4,"Put","Call"),O495+$C$14,$C$4,$C$9*SQRT($C$7))-
2*_xll.qlBlackFormula(IF(O495&lt;$C$4,"Put","Call"),O495,$C$4,$C$9*SQRT($C$7))+
_xll.qlBlackFormula(IF(O495&lt;$C$4,"Put","Call"),O495-$C$14,$C$4,$C$9*SQRT($C$7)))/$C$14^2,"")</f>
        <v/>
      </c>
      <c r="T495" s="42">
        <f>IFERROR((_xll.qlBlackFormula(IF(O495&lt;$C$4,"Put","Call"),O495+$C$14,$C$4,$C$10*SQRT($C$7),,$C$11)-
2*_xll.qlBlackFormula(IF(O495&lt;$C$4,"Put","Call"),O495,$C$4,$C$10*SQRT($C$7),,$C$11)+
_xll.qlBlackFormula(IF(O495&lt;$C$4,"Put","Call"),O495-$C$14,$C$4,$C$10*SQRT($C$7),,$C$11))/$C$14^2,"")</f>
        <v>3.0856276735102828</v>
      </c>
      <c r="U495" s="43">
        <f>IFERROR((_xll.qlBachelierBlackFormula(IF(O495&lt;$C$4,"Put","Call"),O495+$C$14,$C$4,$C$12*SQRT($C$7))-
2*_xll.qlBachelierBlackFormula(IF(O495&lt;$C$4,"Put","Call"),O495,$C$4,$C$12*SQRT($C$7))+
_xll.qlBachelierBlackFormula(IF(O495&lt;$C$4,"Put","Call"),O495-$C$14,$C$4,$C$12*SQRT($C$7)))/$C$14^2,"")</f>
        <v>2.6672262488924847</v>
      </c>
      <c r="V495" s="61" t="str">
        <f>IFERROR(_xll.qlBachelierBlackFormulaImpliedVol(IF(O495&lt;$C$4,"Put","Call"),O495,$C$4,$C$7,P495),"")</f>
        <v/>
      </c>
      <c r="W495" s="61">
        <f>IFERROR(_xll.qlBachelierBlackFormulaImpliedVol(IF(O495&lt;$C$4,"Put","Call"),O495,$C$4,$C$7,Q495),"")</f>
        <v>8.5617883174727485E-3</v>
      </c>
      <c r="X495" s="61">
        <f>IFERROR(_xll.qlBachelierBlackFormulaImpliedVol(IF(O495&lt;$C$4,"Put","Call"),O495,$C$4,$C$7,R495),"")</f>
        <v>7.2019999999370235E-3</v>
      </c>
      <c r="Y495" s="96">
        <f>_xll.qlSmileSectionVolatility($C$40,O495+$C$31)</f>
        <v>9.6279386142113163E-3</v>
      </c>
    </row>
    <row r="496" spans="15:25">
      <c r="O496" s="37">
        <f t="shared" si="8"/>
        <v>3.9100000000000086E-2</v>
      </c>
      <c r="P496" s="38" t="str">
        <f>IFERROR(_xll.qlBlackFormula(IF(O496&lt;$C$4,"Put","Call"),O496,$C$4,$C$9*SQRT($C$7)),"")</f>
        <v/>
      </c>
      <c r="Q496" s="39">
        <f>IFERROR(_xll.qlBlackFormula(IF(O496&lt;$C$4,"Put","Call"),O496,$C$4,$C$10*SQRT($C$7),,$C$11),"")</f>
        <v>2.872215197635415E-4</v>
      </c>
      <c r="R496" s="40">
        <f>IFERROR(_xll.qlBachelierBlackFormula(IF(O496&lt;$C$4,"Put","Call"),O496,$C$4,$C$12*SQRT($C$7)),"")</f>
        <v>9.9248912786609449E-5</v>
      </c>
      <c r="S496" s="41" t="str">
        <f>IFERROR((_xll.qlBlackFormula(IF(O496&lt;$C$4,"Put","Call"),O496+$C$14,$C$4,$C$9*SQRT($C$7))-
2*_xll.qlBlackFormula(IF(O496&lt;$C$4,"Put","Call"),O496,$C$4,$C$9*SQRT($C$7))+
_xll.qlBlackFormula(IF(O496&lt;$C$4,"Put","Call"),O496-$C$14,$C$4,$C$9*SQRT($C$7)))/$C$14^2,"")</f>
        <v/>
      </c>
      <c r="T496" s="42">
        <f>IFERROR((_xll.qlBlackFormula(IF(O496&lt;$C$4,"Put","Call"),O496+$C$14,$C$4,$C$10*SQRT($C$7),,$C$11)-
2*_xll.qlBlackFormula(IF(O496&lt;$C$4,"Put","Call"),O496,$C$4,$C$10*SQRT($C$7),,$C$11)+
_xll.qlBlackFormula(IF(O496&lt;$C$4,"Put","Call"),O496-$C$14,$C$4,$C$10*SQRT($C$7),,$C$11))/$C$14^2,"")</f>
        <v>3.0576140577776023</v>
      </c>
      <c r="U496" s="43">
        <f>IFERROR((_xll.qlBachelierBlackFormula(IF(O496&lt;$C$4,"Put","Call"),O496+$C$14,$C$4,$C$12*SQRT($C$7))-
2*_xll.qlBachelierBlackFormula(IF(O496&lt;$C$4,"Put","Call"),O496,$C$4,$C$12*SQRT($C$7))+
_xll.qlBachelierBlackFormula(IF(O496&lt;$C$4,"Put","Call"),O496-$C$14,$C$4,$C$12*SQRT($C$7)))/$C$14^2,"")</f>
        <v>2.6324371285232906</v>
      </c>
      <c r="V496" s="61" t="str">
        <f>IFERROR(_xll.qlBachelierBlackFormulaImpliedVol(IF(O496&lt;$C$4,"Put","Call"),O496,$C$4,$C$7,P496),"")</f>
        <v/>
      </c>
      <c r="W496" s="61">
        <f>IFERROR(_xll.qlBachelierBlackFormulaImpliedVol(IF(O496&lt;$C$4,"Put","Call"),O496,$C$4,$C$7,Q496),"")</f>
        <v>8.5655866224998607E-3</v>
      </c>
      <c r="X496" s="61">
        <f>IFERROR(_xll.qlBachelierBlackFormulaImpliedVol(IF(O496&lt;$C$4,"Put","Call"),O496,$C$4,$C$7,R496),"")</f>
        <v>7.2019999999294046E-3</v>
      </c>
      <c r="Y496" s="96">
        <f>_xll.qlSmileSectionVolatility($C$40,O496+$C$31)</f>
        <v>9.636616826902502E-3</v>
      </c>
    </row>
    <row r="497" spans="15:25">
      <c r="O497" s="37">
        <f t="shared" si="8"/>
        <v>3.9200000000000089E-2</v>
      </c>
      <c r="P497" s="38" t="str">
        <f>IFERROR(_xll.qlBlackFormula(IF(O497&lt;$C$4,"Put","Call"),O497,$C$4,$C$9*SQRT($C$7)),"")</f>
        <v/>
      </c>
      <c r="Q497" s="39">
        <f>IFERROR(_xll.qlBlackFormula(IF(O497&lt;$C$4,"Put","Call"),O497,$C$4,$C$10*SQRT($C$7),,$C$11),"")</f>
        <v>2.8418048268706673E-4</v>
      </c>
      <c r="R497" s="40">
        <f>IFERROR(_xll.qlBachelierBlackFormula(IF(O497&lt;$C$4,"Put","Call"),O497,$C$4,$C$12*SQRT($C$7)),"")</f>
        <v>9.7550997690595029E-5</v>
      </c>
      <c r="S497" s="41" t="str">
        <f>IFERROR((_xll.qlBlackFormula(IF(O497&lt;$C$4,"Put","Call"),O497+$C$14,$C$4,$C$9*SQRT($C$7))-
2*_xll.qlBlackFormula(IF(O497&lt;$C$4,"Put","Call"),O497,$C$4,$C$9*SQRT($C$7))+
_xll.qlBlackFormula(IF(O497&lt;$C$4,"Put","Call"),O497-$C$14,$C$4,$C$9*SQRT($C$7)))/$C$14^2,"")</f>
        <v/>
      </c>
      <c r="T497" s="42">
        <f>IFERROR((_xll.qlBlackFormula(IF(O497&lt;$C$4,"Put","Call"),O497+$C$14,$C$4,$C$10*SQRT($C$7),,$C$11)-
2*_xll.qlBlackFormula(IF(O497&lt;$C$4,"Put","Call"),O497,$C$4,$C$10*SQRT($C$7),,$C$11)+
_xll.qlBlackFormula(IF(O497&lt;$C$4,"Put","Call"),O497-$C$14,$C$4,$C$10*SQRT($C$7),,$C$11))/$C$14^2,"")</f>
        <v>3.0298307265863578</v>
      </c>
      <c r="U497" s="43">
        <f>IFERROR((_xll.qlBachelierBlackFormula(IF(O497&lt;$C$4,"Put","Call"),O497+$C$14,$C$4,$C$12*SQRT($C$7))-
2*_xll.qlBachelierBlackFormula(IF(O497&lt;$C$4,"Put","Call"),O497,$C$4,$C$12*SQRT($C$7))+
_xll.qlBachelierBlackFormula(IF(O497&lt;$C$4,"Put","Call"),O497-$C$14,$C$4,$C$12*SQRT($C$7)))/$C$14^2,"")</f>
        <v>2.597999831759068</v>
      </c>
      <c r="V497" s="61" t="str">
        <f>IFERROR(_xll.qlBachelierBlackFormulaImpliedVol(IF(O497&lt;$C$4,"Put","Call"),O497,$C$4,$C$7,P497),"")</f>
        <v/>
      </c>
      <c r="W497" s="61">
        <f>IFERROR(_xll.qlBachelierBlackFormulaImpliedVol(IF(O497&lt;$C$4,"Put","Call"),O497,$C$4,$C$7,Q497),"")</f>
        <v>8.5693839231549638E-3</v>
      </c>
      <c r="X497" s="61">
        <f>IFERROR(_xll.qlBachelierBlackFormulaImpliedVol(IF(O497&lt;$C$4,"Put","Call"),O497,$C$4,$C$7,R497),"")</f>
        <v>7.2019999999216903E-3</v>
      </c>
      <c r="Y497" s="96">
        <f>_xll.qlSmileSectionVolatility($C$40,O497+$C$31)</f>
        <v>9.6452988016793445E-3</v>
      </c>
    </row>
    <row r="498" spans="15:25">
      <c r="O498" s="37">
        <f t="shared" si="8"/>
        <v>3.9300000000000092E-2</v>
      </c>
      <c r="P498" s="38" t="str">
        <f>IFERROR(_xll.qlBlackFormula(IF(O498&lt;$C$4,"Put","Call"),O498,$C$4,$C$9*SQRT($C$7)),"")</f>
        <v/>
      </c>
      <c r="Q498" s="39">
        <f>IFERROR(_xll.qlBlackFormula(IF(O498&lt;$C$4,"Put","Call"),O498,$C$4,$C$10*SQRT($C$7),,$C$11),"")</f>
        <v>2.8116974409220881E-4</v>
      </c>
      <c r="R498" s="40">
        <f>IFERROR(_xll.qlBachelierBlackFormula(IF(O498&lt;$C$4,"Put","Call"),O498,$C$4,$C$12*SQRT($C$7)),"")</f>
        <v>9.587906288905366E-5</v>
      </c>
      <c r="S498" s="41" t="str">
        <f>IFERROR((_xll.qlBlackFormula(IF(O498&lt;$C$4,"Put","Call"),O498+$C$14,$C$4,$C$9*SQRT($C$7))-
2*_xll.qlBlackFormula(IF(O498&lt;$C$4,"Put","Call"),O498,$C$4,$C$9*SQRT($C$7))+
_xll.qlBlackFormula(IF(O498&lt;$C$4,"Put","Call"),O498-$C$14,$C$4,$C$9*SQRT($C$7)))/$C$14^2,"")</f>
        <v/>
      </c>
      <c r="T498" s="42">
        <f>IFERROR((_xll.qlBlackFormula(IF(O498&lt;$C$4,"Put","Call"),O498+$C$14,$C$4,$C$10*SQRT($C$7),,$C$11)-
2*_xll.qlBlackFormula(IF(O498&lt;$C$4,"Put","Call"),O498,$C$4,$C$10*SQRT($C$7),,$C$11)+
_xll.qlBlackFormula(IF(O498&lt;$C$4,"Put","Call"),O498-$C$14,$C$4,$C$10*SQRT($C$7),,$C$11))/$C$14^2,"")</f>
        <v>3.0022542611696235</v>
      </c>
      <c r="U498" s="43">
        <f>IFERROR((_xll.qlBachelierBlackFormula(IF(O498&lt;$C$4,"Put","Call"),O498+$C$14,$C$4,$C$12*SQRT($C$7))-
2*_xll.qlBachelierBlackFormula(IF(O498&lt;$C$4,"Put","Call"),O498,$C$4,$C$12*SQRT($C$7))+
_xll.qlBachelierBlackFormula(IF(O498&lt;$C$4,"Put","Call"),O498-$C$14,$C$4,$C$12*SQRT($C$7)))/$C$14^2,"")</f>
        <v>2.5639159849030757</v>
      </c>
      <c r="V498" s="61" t="str">
        <f>IFERROR(_xll.qlBachelierBlackFormulaImpliedVol(IF(O498&lt;$C$4,"Put","Call"),O498,$C$4,$C$7,P498),"")</f>
        <v/>
      </c>
      <c r="W498" s="61">
        <f>IFERROR(_xll.qlBachelierBlackFormulaImpliedVol(IF(O498&lt;$C$4,"Put","Call"),O498,$C$4,$C$7,Q498),"")</f>
        <v>8.5731802206875009E-3</v>
      </c>
      <c r="X498" s="61">
        <f>IFERROR(_xll.qlBachelierBlackFormulaImpliedVol(IF(O498&lt;$C$4,"Put","Call"),O498,$C$4,$C$7,R498),"")</f>
        <v>7.2019999999139083E-3</v>
      </c>
      <c r="Y498" s="96">
        <f>_xll.qlSmileSectionVolatility($C$40,O498+$C$31)</f>
        <v>9.6539845108835655E-3</v>
      </c>
    </row>
    <row r="499" spans="15:25">
      <c r="O499" s="37">
        <f t="shared" si="8"/>
        <v>3.9400000000000095E-2</v>
      </c>
      <c r="P499" s="38" t="str">
        <f>IFERROR(_xll.qlBlackFormula(IF(O499&lt;$C$4,"Put","Call"),O499,$C$4,$C$9*SQRT($C$7)),"")</f>
        <v/>
      </c>
      <c r="Q499" s="39">
        <f>IFERROR(_xll.qlBlackFormula(IF(O499&lt;$C$4,"Put","Call"),O499,$C$4,$C$10*SQRT($C$7),,$C$11),"")</f>
        <v>2.7818902820066042E-4</v>
      </c>
      <c r="R499" s="40">
        <f>IFERROR(_xll.qlBachelierBlackFormula(IF(O499&lt;$C$4,"Put","Call"),O499,$C$4,$C$12*SQRT($C$7)),"")</f>
        <v>9.4232767533745411E-5</v>
      </c>
      <c r="S499" s="41" t="str">
        <f>IFERROR((_xll.qlBlackFormula(IF(O499&lt;$C$4,"Put","Call"),O499+$C$14,$C$4,$C$9*SQRT($C$7))-
2*_xll.qlBlackFormula(IF(O499&lt;$C$4,"Put","Call"),O499,$C$4,$C$9*SQRT($C$7))+
_xll.qlBlackFormula(IF(O499&lt;$C$4,"Put","Call"),O499-$C$14,$C$4,$C$9*SQRT($C$7)))/$C$14^2,"")</f>
        <v/>
      </c>
      <c r="T499" s="42">
        <f>IFERROR((_xll.qlBlackFormula(IF(O499&lt;$C$4,"Put","Call"),O499+$C$14,$C$4,$C$10*SQRT($C$7),,$C$11)-
2*_xll.qlBlackFormula(IF(O499&lt;$C$4,"Put","Call"),O499,$C$4,$C$10*SQRT($C$7),,$C$11)+
_xll.qlBlackFormula(IF(O499&lt;$C$4,"Put","Call"),O499-$C$14,$C$4,$C$10*SQRT($C$7),,$C$11))/$C$14^2,"")</f>
        <v>2.9748933351447793</v>
      </c>
      <c r="U499" s="43">
        <f>IFERROR((_xll.qlBachelierBlackFormula(IF(O499&lt;$C$4,"Put","Call"),O499+$C$14,$C$4,$C$12*SQRT($C$7))-
2*_xll.qlBachelierBlackFormula(IF(O499&lt;$C$4,"Put","Call"),O499,$C$4,$C$12*SQRT($C$7))+
_xll.qlBachelierBlackFormula(IF(O499&lt;$C$4,"Put","Call"),O499-$C$14,$C$4,$C$12*SQRT($C$7)))/$C$14^2,"")</f>
        <v>2.5301806006253202</v>
      </c>
      <c r="V499" s="61" t="str">
        <f>IFERROR(_xll.qlBachelierBlackFormulaImpliedVol(IF(O499&lt;$C$4,"Put","Call"),O499,$C$4,$C$7,P499),"")</f>
        <v/>
      </c>
      <c r="W499" s="61">
        <f>IFERROR(_xll.qlBachelierBlackFormulaImpliedVol(IF(O499&lt;$C$4,"Put","Call"),O499,$C$4,$C$7,Q499),"")</f>
        <v>8.5769755163442232E-3</v>
      </c>
      <c r="X499" s="61">
        <f>IFERROR(_xll.qlBachelierBlackFormulaImpliedVol(IF(O499&lt;$C$4,"Put","Call"),O499,$C$4,$C$7,R499),"")</f>
        <v>7.2019999999060709E-3</v>
      </c>
      <c r="Y499" s="96">
        <f>_xll.qlSmileSectionVolatility($C$40,O499+$C$31)</f>
        <v>9.6626739270292729E-3</v>
      </c>
    </row>
    <row r="500" spans="15:25">
      <c r="O500" s="37">
        <f t="shared" si="8"/>
        <v>3.9500000000000098E-2</v>
      </c>
      <c r="P500" s="38" t="str">
        <f>IFERROR(_xll.qlBlackFormula(IF(O500&lt;$C$4,"Put","Call"),O500,$C$4,$C$9*SQRT($C$7)),"")</f>
        <v/>
      </c>
      <c r="Q500" s="39">
        <f>IFERROR(_xll.qlBlackFormula(IF(O500&lt;$C$4,"Put","Call"),O500,$C$4,$C$10*SQRT($C$7),,$C$11),"")</f>
        <v>2.7523806139185961E-4</v>
      </c>
      <c r="R500" s="40">
        <f>IFERROR(_xll.qlBachelierBlackFormula(IF(O500&lt;$C$4,"Put","Call"),O500,$C$4,$C$12*SQRT($C$7)),"")</f>
        <v>9.2611774272551711E-5</v>
      </c>
      <c r="S500" s="41" t="str">
        <f>IFERROR((_xll.qlBlackFormula(IF(O500&lt;$C$4,"Put","Call"),O500+$C$14,$C$4,$C$9*SQRT($C$7))-
2*_xll.qlBlackFormula(IF(O500&lt;$C$4,"Put","Call"),O500,$C$4,$C$9*SQRT($C$7))+
_xll.qlBlackFormula(IF(O500&lt;$C$4,"Put","Call"),O500-$C$14,$C$4,$C$9*SQRT($C$7)))/$C$14^2,"")</f>
        <v/>
      </c>
      <c r="T500" s="42">
        <f>IFERROR((_xll.qlBlackFormula(IF(O500&lt;$C$4,"Put","Call"),O500+$C$14,$C$4,$C$10*SQRT($C$7),,$C$11)-
2*_xll.qlBlackFormula(IF(O500&lt;$C$4,"Put","Call"),O500,$C$4,$C$10*SQRT($C$7),,$C$11)+
_xll.qlBlackFormula(IF(O500&lt;$C$4,"Put","Call"),O500-$C$14,$C$4,$C$10*SQRT($C$7),,$C$11))/$C$14^2,"")</f>
        <v>2.9477332033622794</v>
      </c>
      <c r="U500" s="43">
        <f>IFERROR((_xll.qlBachelierBlackFormula(IF(O500&lt;$C$4,"Put","Call"),O500+$C$14,$C$4,$C$12*SQRT($C$7))-
2*_xll.qlBachelierBlackFormula(IF(O500&lt;$C$4,"Put","Call"),O500,$C$4,$C$12*SQRT($C$7))+
_xll.qlBachelierBlackFormula(IF(O500&lt;$C$4,"Put","Call"),O500-$C$14,$C$4,$C$12*SQRT($C$7)))/$C$14^2,"")</f>
        <v>2.4967941126066706</v>
      </c>
      <c r="V500" s="61" t="str">
        <f>IFERROR(_xll.qlBachelierBlackFormulaImpliedVol(IF(O500&lt;$C$4,"Put","Call"),O500,$C$4,$C$7,P500),"")</f>
        <v/>
      </c>
      <c r="W500" s="61">
        <f>IFERROR(_xll.qlBachelierBlackFormulaImpliedVol(IF(O500&lt;$C$4,"Put","Call"),O500,$C$4,$C$7,Q500),"")</f>
        <v>8.5807698113692966E-3</v>
      </c>
      <c r="X500" s="61">
        <f>IFERROR(_xll.qlBachelierBlackFormulaImpliedVol(IF(O500&lt;$C$4,"Put","Call"),O500,$C$4,$C$7,R500),"")</f>
        <v>7.2019999998982091E-3</v>
      </c>
      <c r="Y500" s="96">
        <f>_xll.qlSmileSectionVolatility($C$40,O500+$C$31)</f>
        <v>9.671367022801941E-3</v>
      </c>
    </row>
    <row r="501" spans="15:25">
      <c r="O501" s="37">
        <f t="shared" si="8"/>
        <v>3.96000000000001E-2</v>
      </c>
      <c r="P501" s="38" t="str">
        <f>IFERROR(_xll.qlBlackFormula(IF(O501&lt;$C$4,"Put","Call"),O501,$C$4,$C$9*SQRT($C$7)),"")</f>
        <v/>
      </c>
      <c r="Q501" s="39">
        <f>IFERROR(_xll.qlBlackFormula(IF(O501&lt;$C$4,"Put","Call"),O501,$C$4,$C$10*SQRT($C$7),,$C$11),"")</f>
        <v>2.7231657219082628E-4</v>
      </c>
      <c r="R501" s="40">
        <f>IFERROR(_xll.qlBachelierBlackFormula(IF(O501&lt;$C$4,"Put","Call"),O501,$C$4,$C$12*SQRT($C$7)),"")</f>
        <v>9.1015749229324261E-5</v>
      </c>
      <c r="S501" s="41" t="str">
        <f>IFERROR((_xll.qlBlackFormula(IF(O501&lt;$C$4,"Put","Call"),O501+$C$14,$C$4,$C$9*SQRT($C$7))-
2*_xll.qlBlackFormula(IF(O501&lt;$C$4,"Put","Call"),O501,$C$4,$C$9*SQRT($C$7))+
_xll.qlBlackFormula(IF(O501&lt;$C$4,"Put","Call"),O501-$C$14,$C$4,$C$9*SQRT($C$7)))/$C$14^2,"")</f>
        <v/>
      </c>
      <c r="T501" s="42">
        <f>IFERROR((_xll.qlBlackFormula(IF(O501&lt;$C$4,"Put","Call"),O501+$C$14,$C$4,$C$10*SQRT($C$7),,$C$11)-
2*_xll.qlBlackFormula(IF(O501&lt;$C$4,"Put","Call"),O501,$C$4,$C$10*SQRT($C$7),,$C$11)+
_xll.qlBlackFormula(IF(O501&lt;$C$4,"Put","Call"),O501-$C$14,$C$4,$C$10*SQRT($C$7),,$C$11))/$C$14^2,"")</f>
        <v>2.9208046571638224</v>
      </c>
      <c r="U501" s="43">
        <f>IFERROR((_xll.qlBachelierBlackFormula(IF(O501&lt;$C$4,"Put","Call"),O501+$C$14,$C$4,$C$12*SQRT($C$7))-
2*_xll.qlBachelierBlackFormula(IF(O501&lt;$C$4,"Put","Call"),O501,$C$4,$C$12*SQRT($C$7))+
_xll.qlBachelierBlackFormula(IF(O501&lt;$C$4,"Put","Call"),O501-$C$14,$C$4,$C$12*SQRT($C$7)))/$C$14^2,"")</f>
        <v>2.4637512082564816</v>
      </c>
      <c r="V501" s="61" t="str">
        <f>IFERROR(_xll.qlBachelierBlackFormulaImpliedVol(IF(O501&lt;$C$4,"Put","Call"),O501,$C$4,$C$7,P501),"")</f>
        <v/>
      </c>
      <c r="W501" s="61">
        <f>IFERROR(_xll.qlBachelierBlackFormulaImpliedVol(IF(O501&lt;$C$4,"Put","Call"),O501,$C$4,$C$7,Q501),"")</f>
        <v>8.5845631070042144E-3</v>
      </c>
      <c r="X501" s="61">
        <f>IFERROR(_xll.qlBachelierBlackFormulaImpliedVol(IF(O501&lt;$C$4,"Put","Call"),O501,$C$4,$C$7,R501),"")</f>
        <v>7.2019999998903361E-3</v>
      </c>
      <c r="Y501" s="96">
        <f>_xll.qlSmileSectionVolatility($C$40,O501+$C$31)</f>
        <v>9.6800637710574393E-3</v>
      </c>
    </row>
    <row r="502" spans="15:25">
      <c r="O502" s="37">
        <f t="shared" si="8"/>
        <v>3.9700000000000103E-2</v>
      </c>
      <c r="P502" s="38" t="str">
        <f>IFERROR(_xll.qlBlackFormula(IF(O502&lt;$C$4,"Put","Call"),O502,$C$4,$C$9*SQRT($C$7)),"")</f>
        <v/>
      </c>
      <c r="Q502" s="39">
        <f>IFERROR(_xll.qlBlackFormula(IF(O502&lt;$C$4,"Put","Call"),O502,$C$4,$C$10*SQRT($C$7),,$C$11),"")</f>
        <v>2.6942429125603783E-4</v>
      </c>
      <c r="R502" s="40">
        <f>IFERROR(_xll.qlBachelierBlackFormula(IF(O502&lt;$C$4,"Put","Call"),O502,$C$4,$C$12*SQRT($C$7)),"")</f>
        <v>8.9444361983591477E-5</v>
      </c>
      <c r="S502" s="41" t="str">
        <f>IFERROR((_xll.qlBlackFormula(IF(O502&lt;$C$4,"Put","Call"),O502+$C$14,$C$4,$C$9*SQRT($C$7))-
2*_xll.qlBlackFormula(IF(O502&lt;$C$4,"Put","Call"),O502,$C$4,$C$9*SQRT($C$7))+
_xll.qlBlackFormula(IF(O502&lt;$C$4,"Put","Call"),O502-$C$14,$C$4,$C$9*SQRT($C$7)))/$C$14^2,"")</f>
        <v/>
      </c>
      <c r="T502" s="42">
        <f>IFERROR((_xll.qlBlackFormula(IF(O502&lt;$C$4,"Put","Call"),O502+$C$14,$C$4,$C$10*SQRT($C$7),,$C$11)-
2*_xll.qlBlackFormula(IF(O502&lt;$C$4,"Put","Call"),O502,$C$4,$C$10*SQRT($C$7),,$C$11)+
_xll.qlBlackFormula(IF(O502&lt;$C$4,"Put","Call"),O502-$C$14,$C$4,$C$10*SQRT($C$7),,$C$11))/$C$14^2,"")</f>
        <v>2.8940769052077098</v>
      </c>
      <c r="U502" s="43">
        <f>IFERROR((_xll.qlBachelierBlackFormula(IF(O502&lt;$C$4,"Put","Call"),O502+$C$14,$C$4,$C$12*SQRT($C$7))-
2*_xll.qlBachelierBlackFormula(IF(O502&lt;$C$4,"Put","Call"),O502,$C$4,$C$12*SQRT($C$7))+
_xll.qlBachelierBlackFormula(IF(O502&lt;$C$4,"Put","Call"),O502-$C$14,$C$4,$C$12*SQRT($C$7)))/$C$14^2,"")</f>
        <v>2.4310514538938843</v>
      </c>
      <c r="V502" s="61" t="str">
        <f>IFERROR(_xll.qlBachelierBlackFormulaImpliedVol(IF(O502&lt;$C$4,"Put","Call"),O502,$C$4,$C$7,P502),"")</f>
        <v/>
      </c>
      <c r="W502" s="61">
        <f>IFERROR(_xll.qlBachelierBlackFormulaImpliedVol(IF(O502&lt;$C$4,"Put","Call"),O502,$C$4,$C$7,Q502),"")</f>
        <v>8.5883554044879108E-3</v>
      </c>
      <c r="X502" s="61">
        <f>IFERROR(_xll.qlBachelierBlackFormulaImpliedVol(IF(O502&lt;$C$4,"Put","Call"),O502,$C$4,$C$7,R502),"")</f>
        <v>7.2019999998824812E-3</v>
      </c>
      <c r="Y502" s="96">
        <f>_xll.qlSmileSectionVolatility($C$40,O502+$C$31)</f>
        <v>9.6887641448210465E-3</v>
      </c>
    </row>
    <row r="503" spans="15:25">
      <c r="O503" s="37">
        <f t="shared" si="8"/>
        <v>3.9800000000000106E-2</v>
      </c>
      <c r="P503" s="38" t="str">
        <f>IFERROR(_xll.qlBlackFormula(IF(O503&lt;$C$4,"Put","Call"),O503,$C$4,$C$9*SQRT($C$7)),"")</f>
        <v/>
      </c>
      <c r="Q503" s="39">
        <f>IFERROR(_xll.qlBlackFormula(IF(O503&lt;$C$4,"Put","Call"),O503,$C$4,$C$10*SQRT($C$7),,$C$11),"")</f>
        <v>2.6656095136727478E-4</v>
      </c>
      <c r="R503" s="40">
        <f>IFERROR(_xll.qlBachelierBlackFormula(IF(O503&lt;$C$4,"Put","Call"),O503,$C$4,$C$12*SQRT($C$7)),"")</f>
        <v>8.7897285550134294E-5</v>
      </c>
      <c r="S503" s="41" t="str">
        <f>IFERROR((_xll.qlBlackFormula(IF(O503&lt;$C$4,"Put","Call"),O503+$C$14,$C$4,$C$9*SQRT($C$7))-
2*_xll.qlBlackFormula(IF(O503&lt;$C$4,"Put","Call"),O503,$C$4,$C$9*SQRT($C$7))+
_xll.qlBlackFormula(IF(O503&lt;$C$4,"Put","Call"),O503-$C$14,$C$4,$C$9*SQRT($C$7)))/$C$14^2,"")</f>
        <v/>
      </c>
      <c r="T503" s="42">
        <f>IFERROR((_xll.qlBlackFormula(IF(O503&lt;$C$4,"Put","Call"),O503+$C$14,$C$4,$C$10*SQRT($C$7),,$C$11)-
2*_xll.qlBlackFormula(IF(O503&lt;$C$4,"Put","Call"),O503,$C$4,$C$10*SQRT($C$7),,$C$11)+
_xll.qlBlackFormula(IF(O503&lt;$C$4,"Put","Call"),O503-$C$14,$C$4,$C$10*SQRT($C$7),,$C$11))/$C$14^2,"")</f>
        <v>2.8675707641756532</v>
      </c>
      <c r="U503" s="43">
        <f>IFERROR((_xll.qlBachelierBlackFormula(IF(O503&lt;$C$4,"Put","Call"),O503+$C$14,$C$4,$C$12*SQRT($C$7))-
2*_xll.qlBachelierBlackFormula(IF(O503&lt;$C$4,"Put","Call"),O503,$C$4,$C$12*SQRT($C$7))+
_xll.qlBachelierBlackFormula(IF(O503&lt;$C$4,"Put","Call"),O503-$C$14,$C$4,$C$12*SQRT($C$7)))/$C$14^2,"")</f>
        <v>2.3986958253008339</v>
      </c>
      <c r="V503" s="61" t="str">
        <f>IFERROR(_xll.qlBachelierBlackFormulaImpliedVol(IF(O503&lt;$C$4,"Put","Call"),O503,$C$4,$C$7,P503),"")</f>
        <v/>
      </c>
      <c r="W503" s="61">
        <f>IFERROR(_xll.qlBachelierBlackFormulaImpliedVol(IF(O503&lt;$C$4,"Put","Call"),O503,$C$4,$C$7,Q503),"")</f>
        <v>8.5921467050567319E-3</v>
      </c>
      <c r="X503" s="61">
        <f>IFERROR(_xll.qlBachelierBlackFormulaImpliedVol(IF(O503&lt;$C$4,"Put","Call"),O503,$C$4,$C$7,R503),"")</f>
        <v>7.2019999998746498E-3</v>
      </c>
      <c r="Y503" s="96">
        <f>_xll.qlSmileSectionVolatility($C$40,O503+$C$31)</f>
        <v>9.6974681172864712E-3</v>
      </c>
    </row>
    <row r="504" spans="15:25">
      <c r="O504" s="37">
        <f t="shared" si="8"/>
        <v>3.9900000000000109E-2</v>
      </c>
      <c r="P504" s="38" t="str">
        <f>IFERROR(_xll.qlBlackFormula(IF(O504&lt;$C$4,"Put","Call"),O504,$C$4,$C$9*SQRT($C$7)),"")</f>
        <v/>
      </c>
      <c r="Q504" s="39">
        <f>IFERROR(_xll.qlBlackFormula(IF(O504&lt;$C$4,"Put","Call"),O504,$C$4,$C$10*SQRT($C$7),,$C$11),"")</f>
        <v>2.6372628741349333E-4</v>
      </c>
      <c r="R504" s="40">
        <f>IFERROR(_xll.qlBachelierBlackFormula(IF(O504&lt;$C$4,"Put","Call"),O504,$C$4,$C$12*SQRT($C$7)),"")</f>
        <v>8.6374196358455601E-5</v>
      </c>
      <c r="S504" s="41" t="str">
        <f>IFERROR((_xll.qlBlackFormula(IF(O504&lt;$C$4,"Put","Call"),O504+$C$14,$C$4,$C$9*SQRT($C$7))-
2*_xll.qlBlackFormula(IF(O504&lt;$C$4,"Put","Call"),O504,$C$4,$C$9*SQRT($C$7))+
_xll.qlBlackFormula(IF(O504&lt;$C$4,"Put","Call"),O504-$C$14,$C$4,$C$9*SQRT($C$7)))/$C$14^2,"")</f>
        <v/>
      </c>
      <c r="T504" s="42">
        <f>IFERROR((_xll.qlBlackFormula(IF(O504&lt;$C$4,"Put","Call"),O504+$C$14,$C$4,$C$10*SQRT($C$7),,$C$11)-
2*_xll.qlBlackFormula(IF(O504&lt;$C$4,"Put","Call"),O504,$C$4,$C$10*SQRT($C$7),,$C$11)+
_xll.qlBlackFormula(IF(O504&lt;$C$4,"Put","Call"),O504-$C$14,$C$4,$C$10*SQRT($C$7),,$C$11))/$C$14^2,"")</f>
        <v>2.8412680194711548</v>
      </c>
      <c r="U504" s="43">
        <f>IFERROR((_xll.qlBachelierBlackFormula(IF(O504&lt;$C$4,"Put","Call"),O504+$C$14,$C$4,$C$12*SQRT($C$7))-
2*_xll.qlBachelierBlackFormula(IF(O504&lt;$C$4,"Put","Call"),O504,$C$4,$C$12*SQRT($C$7))+
_xll.qlBachelierBlackFormula(IF(O504&lt;$C$4,"Put","Call"),O504-$C$14,$C$4,$C$12*SQRT($C$7)))/$C$14^2,"")</f>
        <v>2.366680636189944</v>
      </c>
      <c r="V504" s="61" t="str">
        <f>IFERROR(_xll.qlBachelierBlackFormulaImpliedVol(IF(O504&lt;$C$4,"Put","Call"),O504,$C$4,$C$7,P504),"")</f>
        <v/>
      </c>
      <c r="W504" s="61">
        <f>IFERROR(_xll.qlBachelierBlackFormulaImpliedVol(IF(O504&lt;$C$4,"Put","Call"),O504,$C$4,$C$7,Q504),"")</f>
        <v>8.5959370099444338E-3</v>
      </c>
      <c r="X504" s="61">
        <f>IFERROR(_xll.qlBachelierBlackFormulaImpliedVol(IF(O504&lt;$C$4,"Put","Call"),O504,$C$4,$C$7,R504),"")</f>
        <v>7.2019999998668184E-3</v>
      </c>
      <c r="Y504" s="96">
        <f>_xll.qlSmileSectionVolatility($C$40,O504+$C$31)</f>
        <v>9.7061756618148538E-3</v>
      </c>
    </row>
    <row r="505" spans="15:25">
      <c r="O505" s="37">
        <f t="shared" si="8"/>
        <v>4.0000000000000112E-2</v>
      </c>
      <c r="P505" s="38" t="str">
        <f>IFERROR(_xll.qlBlackFormula(IF(O505&lt;$C$4,"Put","Call"),O505,$C$4,$C$9*SQRT($C$7)),"")</f>
        <v/>
      </c>
      <c r="Q505" s="39">
        <f>IFERROR(_xll.qlBlackFormula(IF(O505&lt;$C$4,"Put","Call"),O505,$C$4,$C$10*SQRT($C$7),,$C$11),"")</f>
        <v>2.6092003638067407E-4</v>
      </c>
      <c r="R505" s="40">
        <f>IFERROR(_xll.qlBachelierBlackFormula(IF(O505&lt;$C$4,"Put","Call"),O505,$C$4,$C$12*SQRT($C$7)),"")</f>
        <v>8.4874774232110146E-5</v>
      </c>
      <c r="S505" s="41" t="str">
        <f>IFERROR((_xll.qlBlackFormula(IF(O505&lt;$C$4,"Put","Call"),O505+$C$14,$C$4,$C$9*SQRT($C$7))-
2*_xll.qlBlackFormula(IF(O505&lt;$C$4,"Put","Call"),O505,$C$4,$C$9*SQRT($C$7))+
_xll.qlBlackFormula(IF(O505&lt;$C$4,"Put","Call"),O505-$C$14,$C$4,$C$9*SQRT($C$7)))/$C$14^2,"")</f>
        <v/>
      </c>
      <c r="T505" s="42">
        <f>IFERROR((_xll.qlBlackFormula(IF(O505&lt;$C$4,"Put","Call"),O505+$C$14,$C$4,$C$10*SQRT($C$7),,$C$11)-
2*_xll.qlBlackFormula(IF(O505&lt;$C$4,"Put","Call"),O505,$C$4,$C$10*SQRT($C$7),,$C$11)+
_xll.qlBlackFormula(IF(O505&lt;$C$4,"Put","Call"),O505-$C$14,$C$4,$C$10*SQRT($C$7),,$C$11))/$C$14^2,"")</f>
        <v>2.8151808141585466</v>
      </c>
      <c r="U505" s="43">
        <f>IFERROR((_xll.qlBachelierBlackFormula(IF(O505&lt;$C$4,"Put","Call"),O505+$C$14,$C$4,$C$12*SQRT($C$7))-
2*_xll.qlBachelierBlackFormula(IF(O505&lt;$C$4,"Put","Call"),O505,$C$4,$C$12*SQRT($C$7))+
_xll.qlBachelierBlackFormula(IF(O505&lt;$C$4,"Put","Call"),O505-$C$14,$C$4,$C$12*SQRT($C$7)))/$C$14^2,"")</f>
        <v>2.3349973213640518</v>
      </c>
      <c r="V505" s="61" t="str">
        <f>IFERROR(_xll.qlBachelierBlackFormulaImpliedVol(IF(O505&lt;$C$4,"Put","Call"),O505,$C$4,$C$7,P505),"")</f>
        <v/>
      </c>
      <c r="W505" s="61">
        <f>IFERROR(_xll.qlBachelierBlackFormulaImpliedVol(IF(O505&lt;$C$4,"Put","Call"),O505,$C$4,$C$7,Q505),"")</f>
        <v>8.5997263203820597E-3</v>
      </c>
      <c r="X505" s="61">
        <f>IFERROR(_xll.qlBachelierBlackFormulaImpliedVol(IF(O505&lt;$C$4,"Put","Call"),O505,$C$4,$C$7,R505),"")</f>
        <v>7.2019999998591301E-3</v>
      </c>
      <c r="Y505" s="96">
        <f>_xll.qlSmileSectionVolatility($C$40,O505+$C$31)</f>
        <v>9.714886751933818E-3</v>
      </c>
    </row>
    <row r="506" spans="15:25">
      <c r="O506" s="37">
        <f t="shared" si="8"/>
        <v>4.0100000000000115E-2</v>
      </c>
      <c r="P506" s="38" t="str">
        <f>IFERROR(_xll.qlBlackFormula(IF(O506&lt;$C$4,"Put","Call"),O506,$C$4,$C$9*SQRT($C$7)),"")</f>
        <v/>
      </c>
      <c r="Q506" s="39">
        <f>IFERROR(_xll.qlBlackFormula(IF(O506&lt;$C$4,"Put","Call"),O506,$C$4,$C$10*SQRT($C$7),,$C$11),"")</f>
        <v>2.581419373397292E-4</v>
      </c>
      <c r="R506" s="40">
        <f>IFERROR(_xll.qlBachelierBlackFormula(IF(O506&lt;$C$4,"Put","Call"),O506,$C$4,$C$12*SQRT($C$7)),"")</f>
        <v>8.3398702367923415E-5</v>
      </c>
      <c r="S506" s="41" t="str">
        <f>IFERROR((_xll.qlBlackFormula(IF(O506&lt;$C$4,"Put","Call"),O506+$C$14,$C$4,$C$9*SQRT($C$7))-
2*_xll.qlBlackFormula(IF(O506&lt;$C$4,"Put","Call"),O506,$C$4,$C$9*SQRT($C$7))+
_xll.qlBlackFormula(IF(O506&lt;$C$4,"Put","Call"),O506-$C$14,$C$4,$C$9*SQRT($C$7)))/$C$14^2,"")</f>
        <v/>
      </c>
      <c r="T506" s="42">
        <f>IFERROR((_xll.qlBlackFormula(IF(O506&lt;$C$4,"Put","Call"),O506+$C$14,$C$4,$C$10*SQRT($C$7),,$C$11)-
2*_xll.qlBlackFormula(IF(O506&lt;$C$4,"Put","Call"),O506,$C$4,$C$10*SQRT($C$7),,$C$11)+
_xll.qlBlackFormula(IF(O506&lt;$C$4,"Put","Call"),O506-$C$14,$C$4,$C$10*SQRT($C$7),,$C$11))/$C$14^2,"")</f>
        <v>2.7892961378117587</v>
      </c>
      <c r="U506" s="43">
        <f>IFERROR((_xll.qlBachelierBlackFormula(IF(O506&lt;$C$4,"Put","Call"),O506+$C$14,$C$4,$C$12*SQRT($C$7))-
2*_xll.qlBachelierBlackFormula(IF(O506&lt;$C$4,"Put","Call"),O506,$C$4,$C$12*SQRT($C$7))+
_xll.qlBachelierBlackFormula(IF(O506&lt;$C$4,"Put","Call"),O506-$C$14,$C$4,$C$12*SQRT($C$7)))/$C$14^2,"")</f>
        <v>2.3036508681531509</v>
      </c>
      <c r="V506" s="61" t="str">
        <f>IFERROR(_xll.qlBachelierBlackFormulaImpliedVol(IF(O506&lt;$C$4,"Put","Call"),O506,$C$4,$C$7,P506),"")</f>
        <v/>
      </c>
      <c r="W506" s="61">
        <f>IFERROR(_xll.qlBachelierBlackFormulaImpliedVol(IF(O506&lt;$C$4,"Put","Call"),O506,$C$4,$C$7,Q506),"")</f>
        <v>8.6035146375982342E-3</v>
      </c>
      <c r="X506" s="61">
        <f>IFERROR(_xll.qlBachelierBlackFormulaImpliedVol(IF(O506&lt;$C$4,"Put","Call"),O506,$C$4,$C$7,R506),"")</f>
        <v>7.2019999998514973E-3</v>
      </c>
      <c r="Y506" s="96">
        <f>_xll.qlSmileSectionVolatility($C$40,O506+$C$31)</f>
        <v>9.7236013613364765E-3</v>
      </c>
    </row>
    <row r="507" spans="15:25">
      <c r="O507" s="37">
        <f t="shared" si="8"/>
        <v>4.0200000000000118E-2</v>
      </c>
      <c r="P507" s="38" t="str">
        <f>IFERROR(_xll.qlBlackFormula(IF(O507&lt;$C$4,"Put","Call"),O507,$C$4,$C$9*SQRT($C$7)),"")</f>
        <v/>
      </c>
      <c r="Q507" s="39">
        <f>IFERROR(_xll.qlBlackFormula(IF(O507&lt;$C$4,"Put","Call"),O507,$C$4,$C$10*SQRT($C$7),,$C$11),"")</f>
        <v>2.5539173143436728E-4</v>
      </c>
      <c r="R507" s="40">
        <f>IFERROR(_xll.qlBachelierBlackFormula(IF(O507&lt;$C$4,"Put","Call"),O507,$C$4,$C$12*SQRT($C$7)),"")</f>
        <v>8.194566731510903E-5</v>
      </c>
      <c r="S507" s="41" t="str">
        <f>IFERROR((_xll.qlBlackFormula(IF(O507&lt;$C$4,"Put","Call"),O507+$C$14,$C$4,$C$9*SQRT($C$7))-
2*_xll.qlBlackFormula(IF(O507&lt;$C$4,"Put","Call"),O507,$C$4,$C$9*SQRT($C$7))+
_xll.qlBlackFormula(IF(O507&lt;$C$4,"Put","Call"),O507-$C$14,$C$4,$C$9*SQRT($C$7)))/$C$14^2,"")</f>
        <v/>
      </c>
      <c r="T507" s="42">
        <f>IFERROR((_xll.qlBlackFormula(IF(O507&lt;$C$4,"Put","Call"),O507+$C$14,$C$4,$C$10*SQRT($C$7),,$C$11)-
2*_xll.qlBlackFormula(IF(O507&lt;$C$4,"Put","Call"),O507,$C$4,$C$10*SQRT($C$7),,$C$11)+
_xll.qlBlackFormula(IF(O507&lt;$C$4,"Put","Call"),O507-$C$14,$C$4,$C$10*SQRT($C$7),,$C$11))/$C$14^2,"")</f>
        <v>2.7636109546647081</v>
      </c>
      <c r="U507" s="43">
        <f>IFERROR((_xll.qlBachelierBlackFormula(IF(O507&lt;$C$4,"Put","Call"),O507+$C$14,$C$4,$C$12*SQRT($C$7))-
2*_xll.qlBachelierBlackFormula(IF(O507&lt;$C$4,"Put","Call"),O507,$C$4,$C$12*SQRT($C$7))+
_xll.qlBachelierBlackFormula(IF(O507&lt;$C$4,"Put","Call"),O507-$C$14,$C$4,$C$12*SQRT($C$7)))/$C$14^2,"")</f>
        <v>2.2726397586741998</v>
      </c>
      <c r="V507" s="61" t="str">
        <f>IFERROR(_xll.qlBachelierBlackFormulaImpliedVol(IF(O507&lt;$C$4,"Put","Call"),O507,$C$4,$C$7,P507),"")</f>
        <v/>
      </c>
      <c r="W507" s="61">
        <f>IFERROR(_xll.qlBachelierBlackFormulaImpliedVol(IF(O507&lt;$C$4,"Put","Call"),O507,$C$4,$C$7,Q507),"")</f>
        <v>8.6073019628189178E-3</v>
      </c>
      <c r="X507" s="61">
        <f>IFERROR(_xll.qlBachelierBlackFormulaImpliedVol(IF(O507&lt;$C$4,"Put","Call"),O507,$C$4,$C$7,R507),"")</f>
        <v>7.2019999998439626E-3</v>
      </c>
      <c r="Y507" s="96">
        <f>_xll.qlSmileSectionVolatility($C$40,O507+$C$31)</f>
        <v>9.7323194638804893E-3</v>
      </c>
    </row>
    <row r="508" spans="15:25">
      <c r="O508" s="37">
        <f t="shared" si="8"/>
        <v>4.030000000000012E-2</v>
      </c>
      <c r="P508" s="38" t="str">
        <f>IFERROR(_xll.qlBlackFormula(IF(O508&lt;$C$4,"Put","Call"),O508,$C$4,$C$9*SQRT($C$7)),"")</f>
        <v/>
      </c>
      <c r="Q508" s="39">
        <f>IFERROR(_xll.qlBlackFormula(IF(O508&lt;$C$4,"Put","Call"),O508,$C$4,$C$10*SQRT($C$7),,$C$11),"")</f>
        <v>2.5266916186897489E-4</v>
      </c>
      <c r="R508" s="40">
        <f>IFERROR(_xll.qlBachelierBlackFormula(IF(O508&lt;$C$4,"Put","Call"),O508,$C$4,$C$12*SQRT($C$7)),"")</f>
        <v>8.0515358954278489E-5</v>
      </c>
      <c r="S508" s="41" t="str">
        <f>IFERROR((_xll.qlBlackFormula(IF(O508&lt;$C$4,"Put","Call"),O508+$C$14,$C$4,$C$9*SQRT($C$7))-
2*_xll.qlBlackFormula(IF(O508&lt;$C$4,"Put","Call"),O508,$C$4,$C$9*SQRT($C$7))+
_xll.qlBlackFormula(IF(O508&lt;$C$4,"Put","Call"),O508-$C$14,$C$4,$C$9*SQRT($C$7)))/$C$14^2,"")</f>
        <v/>
      </c>
      <c r="T508" s="42">
        <f>IFERROR((_xll.qlBlackFormula(IF(O508&lt;$C$4,"Put","Call"),O508+$C$14,$C$4,$C$10*SQRT($C$7),,$C$11)-
2*_xll.qlBlackFormula(IF(O508&lt;$C$4,"Put","Call"),O508,$C$4,$C$10*SQRT($C$7),,$C$11)+
_xll.qlBlackFormula(IF(O508&lt;$C$4,"Put","Call"),O508-$C$14,$C$4,$C$10*SQRT($C$7),,$C$11))/$C$14^2,"")</f>
        <v>2.7381413109095476</v>
      </c>
      <c r="U508" s="43">
        <f>IFERROR((_xll.qlBachelierBlackFormula(IF(O508&lt;$C$4,"Put","Call"),O508+$C$14,$C$4,$C$12*SQRT($C$7))-
2*_xll.qlBachelierBlackFormula(IF(O508&lt;$C$4,"Put","Call"),O508,$C$4,$C$12*SQRT($C$7))+
_xll.qlBachelierBlackFormula(IF(O508&lt;$C$4,"Put","Call"),O508-$C$14,$C$4,$C$12*SQRT($C$7)))/$C$14^2,"")</f>
        <v>2.2419619329430707</v>
      </c>
      <c r="V508" s="61" t="str">
        <f>IFERROR(_xll.qlBachelierBlackFormulaImpliedVol(IF(O508&lt;$C$4,"Put","Call"),O508,$C$4,$C$7,P508),"")</f>
        <v/>
      </c>
      <c r="W508" s="61">
        <f>IFERROR(_xll.qlBachelierBlackFormulaImpliedVol(IF(O508&lt;$C$4,"Put","Call"),O508,$C$4,$C$7,Q508),"")</f>
        <v>8.6110882972674548E-3</v>
      </c>
      <c r="X508" s="61">
        <f>IFERROR(_xll.qlBachelierBlackFormulaImpliedVol(IF(O508&lt;$C$4,"Put","Call"),O508,$C$4,$C$7,R508),"")</f>
        <v>7.2019999998365648E-3</v>
      </c>
      <c r="Y508" s="96">
        <f>_xll.qlSmileSectionVolatility($C$40,O508+$C$31)</f>
        <v>9.7410410335870921E-3</v>
      </c>
    </row>
    <row r="509" spans="15:25">
      <c r="O509" s="37">
        <f t="shared" si="8"/>
        <v>4.0400000000000123E-2</v>
      </c>
      <c r="P509" s="38" t="str">
        <f>IFERROR(_xll.qlBlackFormula(IF(O509&lt;$C$4,"Put","Call"),O509,$C$4,$C$9*SQRT($C$7)),"")</f>
        <v/>
      </c>
      <c r="Q509" s="39">
        <f>IFERROR(_xll.qlBlackFormula(IF(O509&lt;$C$4,"Put","Call"),O509,$C$4,$C$10*SQRT($C$7),,$C$11),"")</f>
        <v>2.4997397389655814E-4</v>
      </c>
      <c r="R509" s="40">
        <f>IFERROR(_xll.qlBachelierBlackFormula(IF(O509&lt;$C$4,"Put","Call"),O509,$C$4,$C$12*SQRT($C$7)),"")</f>
        <v>7.9107470476345518E-5</v>
      </c>
      <c r="S509" s="41" t="str">
        <f>IFERROR((_xll.qlBlackFormula(IF(O509&lt;$C$4,"Put","Call"),O509+$C$14,$C$4,$C$9*SQRT($C$7))-
2*_xll.qlBlackFormula(IF(O509&lt;$C$4,"Put","Call"),O509,$C$4,$C$9*SQRT($C$7))+
_xll.qlBlackFormula(IF(O509&lt;$C$4,"Put","Call"),O509-$C$14,$C$4,$C$9*SQRT($C$7)))/$C$14^2,"")</f>
        <v/>
      </c>
      <c r="T509" s="42">
        <f>IFERROR((_xll.qlBlackFormula(IF(O509&lt;$C$4,"Put","Call"),O509+$C$14,$C$4,$C$10*SQRT($C$7),,$C$11)-
2*_xll.qlBlackFormula(IF(O509&lt;$C$4,"Put","Call"),O509,$C$4,$C$10*SQRT($C$7),,$C$11)+
_xll.qlBlackFormula(IF(O509&lt;$C$4,"Put","Call"),O509-$C$14,$C$4,$C$10*SQRT($C$7),,$C$11))/$C$14^2,"")</f>
        <v>2.7128685582689105</v>
      </c>
      <c r="U509" s="43">
        <f>IFERROR((_xll.qlBachelierBlackFormula(IF(O509&lt;$C$4,"Put","Call"),O509+$C$14,$C$4,$C$12*SQRT($C$7))-
2*_xll.qlBachelierBlackFormula(IF(O509&lt;$C$4,"Put","Call"),O509,$C$4,$C$12*SQRT($C$7))+
_xll.qlBachelierBlackFormula(IF(O509&lt;$C$4,"Put","Call"),O509-$C$14,$C$4,$C$12*SQRT($C$7)))/$C$14^2,"")</f>
        <v>2.2116115362680322</v>
      </c>
      <c r="V509" s="61" t="str">
        <f>IFERROR(_xll.qlBachelierBlackFormulaImpliedVol(IF(O509&lt;$C$4,"Put","Call"),O509,$C$4,$C$7,P509),"")</f>
        <v/>
      </c>
      <c r="W509" s="61">
        <f>IFERROR(_xll.qlBachelierBlackFormulaImpliedVol(IF(O509&lt;$C$4,"Put","Call"),O509,$C$4,$C$7,Q509),"")</f>
        <v>8.6148736421647974E-3</v>
      </c>
      <c r="X509" s="61">
        <f>IFERROR(_xll.qlBachelierBlackFormulaImpliedVol(IF(O509&lt;$C$4,"Put","Call"),O509,$C$4,$C$7,R509),"")</f>
        <v>7.2019999998292903E-3</v>
      </c>
      <c r="Y509" s="96">
        <f>_xll.qlSmileSectionVolatility($C$40,O509+$C$31)</f>
        <v>9.7497660446401006E-3</v>
      </c>
    </row>
    <row r="510" spans="15:25">
      <c r="O510" s="37">
        <f t="shared" si="8"/>
        <v>4.0500000000000126E-2</v>
      </c>
      <c r="P510" s="38" t="str">
        <f>IFERROR(_xll.qlBlackFormula(IF(O510&lt;$C$4,"Put","Call"),O510,$C$4,$C$9*SQRT($C$7)),"")</f>
        <v/>
      </c>
      <c r="Q510" s="39">
        <f>IFERROR(_xll.qlBlackFormula(IF(O510&lt;$C$4,"Put","Call"),O510,$C$4,$C$10*SQRT($C$7),,$C$11),"")</f>
        <v>2.4730591480661909E-4</v>
      </c>
      <c r="R510" s="40">
        <f>IFERROR(_xll.qlBachelierBlackFormula(IF(O510&lt;$C$4,"Put","Call"),O510,$C$4,$C$12*SQRT($C$7)),"")</f>
        <v>7.7721698361339186E-5</v>
      </c>
      <c r="S510" s="41" t="str">
        <f>IFERROR((_xll.qlBlackFormula(IF(O510&lt;$C$4,"Put","Call"),O510+$C$14,$C$4,$C$9*SQRT($C$7))-
2*_xll.qlBlackFormula(IF(O510&lt;$C$4,"Put","Call"),O510,$C$4,$C$9*SQRT($C$7))+
_xll.qlBlackFormula(IF(O510&lt;$C$4,"Put","Call"),O510-$C$14,$C$4,$C$9*SQRT($C$7)))/$C$14^2,"")</f>
        <v/>
      </c>
      <c r="T510" s="42">
        <f>IFERROR((_xll.qlBlackFormula(IF(O510&lt;$C$4,"Put","Call"),O510+$C$14,$C$4,$C$10*SQRT($C$7),,$C$11)-
2*_xll.qlBlackFormula(IF(O510&lt;$C$4,"Put","Call"),O510,$C$4,$C$10*SQRT($C$7),,$C$11)+
_xll.qlBlackFormula(IF(O510&lt;$C$4,"Put","Call"),O510-$C$14,$C$4,$C$10*SQRT($C$7),,$C$11))/$C$14^2,"")</f>
        <v>2.6878031050836526</v>
      </c>
      <c r="U510" s="43">
        <f>IFERROR((_xll.qlBachelierBlackFormula(IF(O510&lt;$C$4,"Put","Call"),O510+$C$14,$C$4,$C$12*SQRT($C$7))-
2*_xll.qlBachelierBlackFormula(IF(O510&lt;$C$4,"Put","Call"),O510,$C$4,$C$12*SQRT($C$7))+
_xll.qlBachelierBlackFormula(IF(O510&lt;$C$4,"Put","Call"),O510-$C$14,$C$4,$C$12*SQRT($C$7)))/$C$14^2,"")</f>
        <v>2.1815833644786564</v>
      </c>
      <c r="V510" s="61" t="str">
        <f>IFERROR(_xll.qlBachelierBlackFormulaImpliedVol(IF(O510&lt;$C$4,"Put","Call"),O510,$C$4,$C$7,P510),"")</f>
        <v/>
      </c>
      <c r="W510" s="61">
        <f>IFERROR(_xll.qlBachelierBlackFormulaImpliedVol(IF(O510&lt;$C$4,"Put","Call"),O510,$C$4,$C$7,Q510),"")</f>
        <v>8.6186579987292244E-3</v>
      </c>
      <c r="X510" s="61">
        <f>IFERROR(_xll.qlBachelierBlackFormulaImpliedVol(IF(O510&lt;$C$4,"Put","Call"),O510,$C$4,$C$7,R510),"")</f>
        <v>7.201999999822223E-3</v>
      </c>
      <c r="Y510" s="96">
        <f>_xll.qlSmileSectionVolatility($C$40,O510+$C$31)</f>
        <v>9.7584944713850225E-3</v>
      </c>
    </row>
    <row r="511" spans="15:25">
      <c r="O511" s="37">
        <f t="shared" si="8"/>
        <v>4.0600000000000129E-2</v>
      </c>
      <c r="P511" s="38" t="str">
        <f>IFERROR(_xll.qlBlackFormula(IF(O511&lt;$C$4,"Put","Call"),O511,$C$4,$C$9*SQRT($C$7)),"")</f>
        <v/>
      </c>
      <c r="Q511" s="39">
        <f>IFERROR(_xll.qlBlackFormula(IF(O511&lt;$C$4,"Put","Call"),O511,$C$4,$C$10*SQRT($C$7),,$C$11),"")</f>
        <v>2.4466473391310337E-4</v>
      </c>
      <c r="R511" s="40">
        <f>IFERROR(_xll.qlBachelierBlackFormula(IF(O511&lt;$C$4,"Put","Call"),O511,$C$4,$C$12*SQRT($C$7)),"")</f>
        <v>7.6357742357115491E-5</v>
      </c>
      <c r="S511" s="41" t="str">
        <f>IFERROR((_xll.qlBlackFormula(IF(O511&lt;$C$4,"Put","Call"),O511+$C$14,$C$4,$C$9*SQRT($C$7))-
2*_xll.qlBlackFormula(IF(O511&lt;$C$4,"Put","Call"),O511,$C$4,$C$9*SQRT($C$7))+
_xll.qlBlackFormula(IF(O511&lt;$C$4,"Put","Call"),O511-$C$14,$C$4,$C$9*SQRT($C$7)))/$C$14^2,"")</f>
        <v/>
      </c>
      <c r="T511" s="42">
        <f>IFERROR((_xll.qlBlackFormula(IF(O511&lt;$C$4,"Put","Call"),O511+$C$14,$C$4,$C$10*SQRT($C$7),,$C$11)-
2*_xll.qlBlackFormula(IF(O511&lt;$C$4,"Put","Call"),O511,$C$4,$C$10*SQRT($C$7),,$C$11)+
_xll.qlBlackFormula(IF(O511&lt;$C$4,"Put","Call"),O511-$C$14,$C$4,$C$10*SQRT($C$7),,$C$11))/$C$14^2,"")</f>
        <v>2.6629202315442413</v>
      </c>
      <c r="U511" s="43">
        <f>IFERROR((_xll.qlBachelierBlackFormula(IF(O511&lt;$C$4,"Put","Call"),O511+$C$14,$C$4,$C$12*SQRT($C$7))-
2*_xll.qlBachelierBlackFormula(IF(O511&lt;$C$4,"Put","Call"),O511,$C$4,$C$12*SQRT($C$7))+
_xll.qlBachelierBlackFormula(IF(O511&lt;$C$4,"Put","Call"),O511-$C$14,$C$4,$C$12*SQRT($C$7)))/$C$14^2,"")</f>
        <v>2.1518850612002596</v>
      </c>
      <c r="V511" s="61" t="str">
        <f>IFERROR(_xll.qlBachelierBlackFormulaImpliedVol(IF(O511&lt;$C$4,"Put","Call"),O511,$C$4,$C$7,P511),"")</f>
        <v/>
      </c>
      <c r="W511" s="61">
        <f>IFERROR(_xll.qlBachelierBlackFormulaImpliedVol(IF(O511&lt;$C$4,"Put","Call"),O511,$C$4,$C$7,Q511),"")</f>
        <v>8.6224413681765168E-3</v>
      </c>
      <c r="X511" s="61">
        <f>IFERROR(_xll.qlBachelierBlackFormulaImpliedVol(IF(O511&lt;$C$4,"Put","Call"),O511,$C$4,$C$7,R511),"")</f>
        <v>7.2019999998152884E-3</v>
      </c>
      <c r="Y511" s="96">
        <f>_xll.qlSmileSectionVolatility($C$40,O511+$C$31)</f>
        <v>9.7672262883280406E-3</v>
      </c>
    </row>
    <row r="512" spans="15:25">
      <c r="O512" s="37">
        <f t="shared" si="8"/>
        <v>4.0700000000000132E-2</v>
      </c>
      <c r="P512" s="38" t="str">
        <f>IFERROR(_xll.qlBlackFormula(IF(O512&lt;$C$4,"Put","Call"),O512,$C$4,$C$9*SQRT($C$7)),"")</f>
        <v/>
      </c>
      <c r="Q512" s="39">
        <f>IFERROR(_xll.qlBlackFormula(IF(O512&lt;$C$4,"Put","Call"),O512,$C$4,$C$10*SQRT($C$7),,$C$11),"")</f>
        <v>2.4205018254230002E-4</v>
      </c>
      <c r="R512" s="40">
        <f>IFERROR(_xll.qlBachelierBlackFormula(IF(O512&lt;$C$4,"Put","Call"),O512,$C$4,$C$12*SQRT($C$7)),"")</f>
        <v>7.5015305458007791E-5</v>
      </c>
      <c r="S512" s="41" t="str">
        <f>IFERROR((_xll.qlBlackFormula(IF(O512&lt;$C$4,"Put","Call"),O512+$C$14,$C$4,$C$9*SQRT($C$7))-
2*_xll.qlBlackFormula(IF(O512&lt;$C$4,"Put","Call"),O512,$C$4,$C$9*SQRT($C$7))+
_xll.qlBlackFormula(IF(O512&lt;$C$4,"Put","Call"),O512-$C$14,$C$4,$C$9*SQRT($C$7)))/$C$14^2,"")</f>
        <v/>
      </c>
      <c r="T512" s="42">
        <f>IFERROR((_xll.qlBlackFormula(IF(O512&lt;$C$4,"Put","Call"),O512+$C$14,$C$4,$C$10*SQRT($C$7),,$C$11)-
2*_xll.qlBlackFormula(IF(O512&lt;$C$4,"Put","Call"),O512,$C$4,$C$10*SQRT($C$7),,$C$11)+
_xll.qlBlackFormula(IF(O512&lt;$C$4,"Put","Call"),O512-$C$14,$C$4,$C$10*SQRT($C$7),,$C$11))/$C$14^2,"")</f>
        <v>2.6382828213766807</v>
      </c>
      <c r="U512" s="43">
        <f>IFERROR((_xll.qlBachelierBlackFormula(IF(O512&lt;$C$4,"Put","Call"),O512+$C$14,$C$4,$C$12*SQRT($C$7))-
2*_xll.qlBachelierBlackFormula(IF(O512&lt;$C$4,"Put","Call"),O512,$C$4,$C$12*SQRT($C$7))+
_xll.qlBachelierBlackFormula(IF(O512&lt;$C$4,"Put","Call"),O512-$C$14,$C$4,$C$12*SQRT($C$7)))/$C$14^2,"")</f>
        <v>2.1225045917887266</v>
      </c>
      <c r="V512" s="61" t="str">
        <f>IFERROR(_xll.qlBachelierBlackFormulaImpliedVol(IF(O512&lt;$C$4,"Put","Call"),O512,$C$4,$C$7,P512),"")</f>
        <v/>
      </c>
      <c r="W512" s="61">
        <f>IFERROR(_xll.qlBachelierBlackFormulaImpliedVol(IF(O512&lt;$C$4,"Put","Call"),O512,$C$4,$C$7,Q512),"")</f>
        <v>8.6262237517197825E-3</v>
      </c>
      <c r="X512" s="61">
        <f>IFERROR(_xll.qlBachelierBlackFormulaImpliedVol(IF(O512&lt;$C$4,"Put","Call"),O512,$C$4,$C$7,R512),"")</f>
        <v>7.2019999998086011E-3</v>
      </c>
      <c r="Y512" s="96">
        <f>_xll.qlSmileSectionVolatility($C$40,O512+$C$31)</f>
        <v>9.7759614701350972E-3</v>
      </c>
    </row>
    <row r="513" spans="15:25">
      <c r="O513" s="37">
        <f t="shared" si="8"/>
        <v>4.0800000000000135E-2</v>
      </c>
      <c r="P513" s="38" t="str">
        <f>IFERROR(_xll.qlBlackFormula(IF(O513&lt;$C$4,"Put","Call"),O513,$C$4,$C$9*SQRT($C$7)),"")</f>
        <v/>
      </c>
      <c r="Q513" s="39">
        <f>IFERROR(_xll.qlBlackFormula(IF(O513&lt;$C$4,"Put","Call"),O513,$C$4,$C$10*SQRT($C$7),,$C$11),"")</f>
        <v>2.3946201402087015E-4</v>
      </c>
      <c r="R513" s="40">
        <f>IFERROR(_xll.qlBachelierBlackFormula(IF(O513&lt;$C$4,"Put","Call"),O513,$C$4,$C$12*SQRT($C$7)),"")</f>
        <v>7.3694093883355587E-5</v>
      </c>
      <c r="S513" s="41" t="str">
        <f>IFERROR((_xll.qlBlackFormula(IF(O513&lt;$C$4,"Put","Call"),O513+$C$14,$C$4,$C$9*SQRT($C$7))-
2*_xll.qlBlackFormula(IF(O513&lt;$C$4,"Put","Call"),O513,$C$4,$C$9*SQRT($C$7))+
_xll.qlBlackFormula(IF(O513&lt;$C$4,"Put","Call"),O513-$C$14,$C$4,$C$9*SQRT($C$7)))/$C$14^2,"")</f>
        <v/>
      </c>
      <c r="T513" s="42">
        <f>IFERROR((_xll.qlBlackFormula(IF(O513&lt;$C$4,"Put","Call"),O513+$C$14,$C$4,$C$10*SQRT($C$7),,$C$11)-
2*_xll.qlBlackFormula(IF(O513&lt;$C$4,"Put","Call"),O513,$C$4,$C$10*SQRT($C$7),,$C$11)+
_xll.qlBlackFormula(IF(O513&lt;$C$4,"Put","Call"),O513-$C$14,$C$4,$C$10*SQRT($C$7),,$C$11))/$C$14^2,"")</f>
        <v>2.6138102099393379</v>
      </c>
      <c r="U513" s="43">
        <f>IFERROR((_xll.qlBachelierBlackFormula(IF(O513&lt;$C$4,"Put","Call"),O513+$C$14,$C$4,$C$12*SQRT($C$7))-
2*_xll.qlBachelierBlackFormula(IF(O513&lt;$C$4,"Put","Call"),O513,$C$4,$C$12*SQRT($C$7))+
_xll.qlBachelierBlackFormula(IF(O513&lt;$C$4,"Put","Call"),O513-$C$14,$C$4,$C$12*SQRT($C$7)))/$C$14^2,"")</f>
        <v>2.0934479735661151</v>
      </c>
      <c r="V513" s="61" t="str">
        <f>IFERROR(_xll.qlBachelierBlackFormulaImpliedVol(IF(O513&lt;$C$4,"Put","Call"),O513,$C$4,$C$7,P513),"")</f>
        <v/>
      </c>
      <c r="W513" s="61">
        <f>IFERROR(_xll.qlBachelierBlackFormulaImpliedVol(IF(O513&lt;$C$4,"Put","Call"),O513,$C$4,$C$7,Q513),"")</f>
        <v>8.6300051505698357E-3</v>
      </c>
      <c r="X513" s="61">
        <f>IFERROR(_xll.qlBachelierBlackFormulaImpliedVol(IF(O513&lt;$C$4,"Put","Call"),O513,$C$4,$C$7,R513),"")</f>
        <v>7.201999999802141E-3</v>
      </c>
      <c r="Y513" s="96">
        <f>_xll.qlSmileSectionVolatility($C$40,O513+$C$31)</f>
        <v>9.7846999916309518E-3</v>
      </c>
    </row>
    <row r="514" spans="15:25">
      <c r="O514" s="37">
        <f t="shared" si="8"/>
        <v>4.0900000000000138E-2</v>
      </c>
      <c r="P514" s="38" t="str">
        <f>IFERROR(_xll.qlBlackFormula(IF(O514&lt;$C$4,"Put","Call"),O514,$C$4,$C$9*SQRT($C$7)),"")</f>
        <v/>
      </c>
      <c r="Q514" s="39">
        <f>IFERROR(_xll.qlBlackFormula(IF(O514&lt;$C$4,"Put","Call"),O514,$C$4,$C$10*SQRT($C$7),,$C$11),"")</f>
        <v>2.3689998366374339E-4</v>
      </c>
      <c r="R514" s="40">
        <f>IFERROR(_xll.qlBachelierBlackFormula(IF(O514&lt;$C$4,"Put","Call"),O514,$C$4,$C$12*SQRT($C$7)),"")</f>
        <v>7.2393817055992223E-5</v>
      </c>
      <c r="S514" s="41" t="str">
        <f>IFERROR((_xll.qlBlackFormula(IF(O514&lt;$C$4,"Put","Call"),O514+$C$14,$C$4,$C$9*SQRT($C$7))-
2*_xll.qlBlackFormula(IF(O514&lt;$C$4,"Put","Call"),O514,$C$4,$C$9*SQRT($C$7))+
_xll.qlBlackFormula(IF(O514&lt;$C$4,"Put","Call"),O514-$C$14,$C$4,$C$9*SQRT($C$7)))/$C$14^2,"")</f>
        <v/>
      </c>
      <c r="T514" s="42">
        <f>IFERROR((_xll.qlBlackFormula(IF(O514&lt;$C$4,"Put","Call"),O514+$C$14,$C$4,$C$10*SQRT($C$7),,$C$11)-
2*_xll.qlBlackFormula(IF(O514&lt;$C$4,"Put","Call"),O514,$C$4,$C$10*SQRT($C$7),,$C$11)+
_xll.qlBlackFormula(IF(O514&lt;$C$4,"Put","Call"),O514-$C$14,$C$4,$C$10*SQRT($C$7),,$C$11))/$C$14^2,"")</f>
        <v>2.5895297191269595</v>
      </c>
      <c r="U514" s="43">
        <f>IFERROR((_xll.qlBachelierBlackFormula(IF(O514&lt;$C$4,"Put","Call"),O514+$C$14,$C$4,$C$12*SQRT($C$7))-
2*_xll.qlBachelierBlackFormula(IF(O514&lt;$C$4,"Put","Call"),O514,$C$4,$C$12*SQRT($C$7))+
_xll.qlBachelierBlackFormula(IF(O514&lt;$C$4,"Put","Call"),O514-$C$14,$C$4,$C$12*SQRT($C$7)))/$C$14^2,"")</f>
        <v>2.0647064787049363</v>
      </c>
      <c r="V514" s="61" t="str">
        <f>IFERROR(_xll.qlBachelierBlackFormulaImpliedVol(IF(O514&lt;$C$4,"Put","Call"),O514,$C$4,$C$7,P514),"")</f>
        <v/>
      </c>
      <c r="W514" s="61">
        <f>IFERROR(_xll.qlBachelierBlackFormulaImpliedVol(IF(O514&lt;$C$4,"Put","Call"),O514,$C$4,$C$7,Q514),"")</f>
        <v>8.6337855659348386E-3</v>
      </c>
      <c r="X514" s="61">
        <f>IFERROR(_xll.qlBachelierBlackFormulaImpliedVol(IF(O514&lt;$C$4,"Put","Call"),O514,$C$4,$C$7,R514),"")</f>
        <v>7.201999999795922E-3</v>
      </c>
      <c r="Y514" s="96">
        <f>_xll.qlSmileSectionVolatility($C$40,O514+$C$31)</f>
        <v>9.793441827798224E-3</v>
      </c>
    </row>
    <row r="515" spans="15:25">
      <c r="O515" s="37">
        <f t="shared" si="8"/>
        <v>4.100000000000014E-2</v>
      </c>
      <c r="P515" s="38" t="str">
        <f>IFERROR(_xll.qlBlackFormula(IF(O515&lt;$C$4,"Put","Call"),O515,$C$4,$C$9*SQRT($C$7)),"")</f>
        <v/>
      </c>
      <c r="Q515" s="39">
        <f>IFERROR(_xll.qlBlackFormula(IF(O515&lt;$C$4,"Put","Call"),O515,$C$4,$C$10*SQRT($C$7),,$C$11),"")</f>
        <v>2.343638487621166E-4</v>
      </c>
      <c r="R515" s="40">
        <f>IFERROR(_xll.qlBachelierBlackFormula(IF(O515&lt;$C$4,"Put","Call"),O515,$C$4,$C$12*SQRT($C$7)),"")</f>
        <v>7.1114187580637327E-5</v>
      </c>
      <c r="S515" s="41" t="str">
        <f>IFERROR((_xll.qlBlackFormula(IF(O515&lt;$C$4,"Put","Call"),O515+$C$14,$C$4,$C$9*SQRT($C$7))-
2*_xll.qlBlackFormula(IF(O515&lt;$C$4,"Put","Call"),O515,$C$4,$C$9*SQRT($C$7))+
_xll.qlBlackFormula(IF(O515&lt;$C$4,"Put","Call"),O515-$C$14,$C$4,$C$9*SQRT($C$7)))/$C$14^2,"")</f>
        <v/>
      </c>
      <c r="T515" s="42">
        <f>IFERROR((_xll.qlBlackFormula(IF(O515&lt;$C$4,"Put","Call"),O515+$C$14,$C$4,$C$10*SQRT($C$7),,$C$11)-
2*_xll.qlBlackFormula(IF(O515&lt;$C$4,"Put","Call"),O515,$C$4,$C$10*SQRT($C$7),,$C$11)+
_xll.qlBlackFormula(IF(O515&lt;$C$4,"Put","Call"),O515-$C$14,$C$4,$C$10*SQRT($C$7),,$C$11))/$C$14^2,"")</f>
        <v>2.5654539256847464</v>
      </c>
      <c r="U515" s="43">
        <f>IFERROR((_xll.qlBachelierBlackFormula(IF(O515&lt;$C$4,"Put","Call"),O515+$C$14,$C$4,$C$12*SQRT($C$7))-
2*_xll.qlBachelierBlackFormula(IF(O515&lt;$C$4,"Put","Call"),O515,$C$4,$C$12*SQRT($C$7))+
_xll.qlBachelierBlackFormula(IF(O515&lt;$C$4,"Put","Call"),O515-$C$14,$C$4,$C$12*SQRT($C$7)))/$C$14^2,"")</f>
        <v>2.0362873171496378</v>
      </c>
      <c r="V515" s="61" t="str">
        <f>IFERROR(_xll.qlBachelierBlackFormulaImpliedVol(IF(O515&lt;$C$4,"Put","Call"),O515,$C$4,$C$7,P515),"")</f>
        <v/>
      </c>
      <c r="W515" s="61">
        <f>IFERROR(_xll.qlBachelierBlackFormulaImpliedVol(IF(O515&lt;$C$4,"Put","Call"),O515,$C$4,$C$7,Q515),"")</f>
        <v>8.6375649990204067E-3</v>
      </c>
      <c r="X515" s="61">
        <f>IFERROR(_xll.qlBachelierBlackFormulaImpliedVol(IF(O515&lt;$C$4,"Put","Call"),O515,$C$4,$C$7,R515),"")</f>
        <v>7.2019999997899363E-3</v>
      </c>
      <c r="Y515" s="96">
        <f>_xll.qlSmileSectionVolatility($C$40,O515+$C$31)</f>
        <v>9.8021869537764771E-3</v>
      </c>
    </row>
    <row r="516" spans="15:25">
      <c r="O516" s="37">
        <f t="shared" si="8"/>
        <v>4.1100000000000143E-2</v>
      </c>
      <c r="P516" s="38" t="str">
        <f>IFERROR(_xll.qlBlackFormula(IF(O516&lt;$C$4,"Put","Call"),O516,$C$4,$C$9*SQRT($C$7)),"")</f>
        <v/>
      </c>
      <c r="Q516" s="39">
        <f>IFERROR(_xll.qlBlackFormula(IF(O516&lt;$C$4,"Put","Call"),O516,$C$4,$C$10*SQRT($C$7),,$C$11),"")</f>
        <v>2.3185336857148471E-4</v>
      </c>
      <c r="R516" s="40">
        <f>IFERROR(_xll.qlBachelierBlackFormula(IF(O516&lt;$C$4,"Put","Call"),O516,$C$4,$C$12*SQRT($C$7)),"")</f>
        <v>6.9854921222230551E-5</v>
      </c>
      <c r="S516" s="41" t="str">
        <f>IFERROR((_xll.qlBlackFormula(IF(O516&lt;$C$4,"Put","Call"),O516+$C$14,$C$4,$C$9*SQRT($C$7))-
2*_xll.qlBlackFormula(IF(O516&lt;$C$4,"Put","Call"),O516,$C$4,$C$9*SQRT($C$7))+
_xll.qlBlackFormula(IF(O516&lt;$C$4,"Put","Call"),O516-$C$14,$C$4,$C$9*SQRT($C$7)))/$C$14^2,"")</f>
        <v/>
      </c>
      <c r="T516" s="42">
        <f>IFERROR((_xll.qlBlackFormula(IF(O516&lt;$C$4,"Put","Call"),O516+$C$14,$C$4,$C$10*SQRT($C$7),,$C$11)-
2*_xll.qlBlackFormula(IF(O516&lt;$C$4,"Put","Call"),O516,$C$4,$C$10*SQRT($C$7),,$C$11)+
_xll.qlBlackFormula(IF(O516&lt;$C$4,"Put","Call"),O516-$C$14,$C$4,$C$10*SQRT($C$7),,$C$11))/$C$14^2,"")</f>
        <v>2.5415784928040086</v>
      </c>
      <c r="U516" s="43">
        <f>IFERROR((_xll.qlBachelierBlackFormula(IF(O516&lt;$C$4,"Put","Call"),O516+$C$14,$C$4,$C$12*SQRT($C$7))-
2*_xll.qlBachelierBlackFormula(IF(O516&lt;$C$4,"Put","Call"),O516,$C$4,$C$12*SQRT($C$7))+
_xll.qlBachelierBlackFormula(IF(O516&lt;$C$4,"Put","Call"),O516-$C$14,$C$4,$C$12*SQRT($C$7)))/$C$14^2,"")</f>
        <v>2.0081786168864304</v>
      </c>
      <c r="V516" s="61" t="str">
        <f>IFERROR(_xll.qlBachelierBlackFormulaImpliedVol(IF(O516&lt;$C$4,"Put","Call"),O516,$C$4,$C$7,P516),"")</f>
        <v/>
      </c>
      <c r="W516" s="61">
        <f>IFERROR(_xll.qlBachelierBlackFormulaImpliedVol(IF(O516&lt;$C$4,"Put","Call"),O516,$C$4,$C$7,Q516),"")</f>
        <v>8.6413434510297319E-3</v>
      </c>
      <c r="X516" s="61">
        <f>IFERROR(_xll.qlBachelierBlackFormulaImpliedVol(IF(O516&lt;$C$4,"Put","Call"),O516,$C$4,$C$7,R516),"")</f>
        <v>7.2019999997843323E-3</v>
      </c>
      <c r="Y516" s="96">
        <f>_xll.qlSmileSectionVolatility($C$40,O516+$C$31)</f>
        <v>9.8109353448612574E-3</v>
      </c>
    </row>
    <row r="517" spans="15:25">
      <c r="O517" s="37">
        <f t="shared" si="8"/>
        <v>4.1200000000000146E-2</v>
      </c>
      <c r="P517" s="38" t="str">
        <f>IFERROR(_xll.qlBlackFormula(IF(O517&lt;$C$4,"Put","Call"),O517,$C$4,$C$9*SQRT($C$7)),"")</f>
        <v/>
      </c>
      <c r="Q517" s="39">
        <f>IFERROR(_xll.qlBlackFormula(IF(O517&lt;$C$4,"Put","Call"),O517,$C$4,$C$10*SQRT($C$7),,$C$11),"")</f>
        <v>2.2936830429962215E-4</v>
      </c>
      <c r="R517" s="40">
        <f>IFERROR(_xll.qlBachelierBlackFormula(IF(O517&lt;$C$4,"Put","Call"),O517,$C$4,$C$12*SQRT($C$7)),"")</f>
        <v>6.8615736884189795E-5</v>
      </c>
      <c r="S517" s="41" t="str">
        <f>IFERROR((_xll.qlBlackFormula(IF(O517&lt;$C$4,"Put","Call"),O517+$C$14,$C$4,$C$9*SQRT($C$7))-
2*_xll.qlBlackFormula(IF(O517&lt;$C$4,"Put","Call"),O517,$C$4,$C$9*SQRT($C$7))+
_xll.qlBlackFormula(IF(O517&lt;$C$4,"Put","Call"),O517-$C$14,$C$4,$C$9*SQRT($C$7)))/$C$14^2,"")</f>
        <v/>
      </c>
      <c r="T517" s="42">
        <f>IFERROR((_xll.qlBlackFormula(IF(O517&lt;$C$4,"Put","Call"),O517+$C$14,$C$4,$C$10*SQRT($C$7),,$C$11)-
2*_xll.qlBlackFormula(IF(O517&lt;$C$4,"Put","Call"),O517,$C$4,$C$10*SQRT($C$7),,$C$11)+
_xll.qlBlackFormula(IF(O517&lt;$C$4,"Put","Call"),O517-$C$14,$C$4,$C$10*SQRT($C$7),,$C$11))/$C$14^2,"")</f>
        <v>2.5178752312282615</v>
      </c>
      <c r="U517" s="43">
        <f>IFERROR((_xll.qlBachelierBlackFormula(IF(O517&lt;$C$4,"Put","Call"),O517+$C$14,$C$4,$C$12*SQRT($C$7))-
2*_xll.qlBachelierBlackFormula(IF(O517&lt;$C$4,"Put","Call"),O517,$C$4,$C$12*SQRT($C$7))+
_xll.qlBachelierBlackFormula(IF(O517&lt;$C$4,"Put","Call"),O517-$C$14,$C$4,$C$12*SQRT($C$7)))/$C$14^2,"")</f>
        <v>1.980378643191838</v>
      </c>
      <c r="V517" s="61" t="str">
        <f>IFERROR(_xll.qlBachelierBlackFormulaImpliedVol(IF(O517&lt;$C$4,"Put","Call"),O517,$C$4,$C$7,P517),"")</f>
        <v/>
      </c>
      <c r="W517" s="61">
        <f>IFERROR(_xll.qlBachelierBlackFormulaImpliedVol(IF(O517&lt;$C$4,"Put","Call"),O517,$C$4,$C$7,Q517),"")</f>
        <v>8.645120923163465E-3</v>
      </c>
      <c r="X517" s="61">
        <f>IFERROR(_xll.qlBachelierBlackFormulaImpliedVol(IF(O517&lt;$C$4,"Put","Call"),O517,$C$4,$C$7,R517),"")</f>
        <v>7.2019999997789729E-3</v>
      </c>
      <c r="Y517" s="96">
        <f>_xll.qlSmileSectionVolatility($C$40,O517+$C$31)</f>
        <v>9.8196869765031797E-3</v>
      </c>
    </row>
    <row r="518" spans="15:25">
      <c r="O518" s="37">
        <f t="shared" si="8"/>
        <v>4.1300000000000149E-2</v>
      </c>
      <c r="P518" s="38" t="str">
        <f>IFERROR(_xll.qlBlackFormula(IF(O518&lt;$C$4,"Put","Call"),O518,$C$4,$C$9*SQRT($C$7)),"")</f>
        <v/>
      </c>
      <c r="Q518" s="39">
        <f>IFERROR(_xll.qlBlackFormula(IF(O518&lt;$C$4,"Put","Call"),O518,$C$4,$C$10*SQRT($C$7),,$C$11),"")</f>
        <v>2.2690841909462234E-4</v>
      </c>
      <c r="R518" s="40">
        <f>IFERROR(_xll.qlBachelierBlackFormula(IF(O518&lt;$C$4,"Put","Call"),O518,$C$4,$C$12*SQRT($C$7)),"")</f>
        <v>6.7396356586612346E-5</v>
      </c>
      <c r="S518" s="41" t="str">
        <f>IFERROR((_xll.qlBlackFormula(IF(O518&lt;$C$4,"Put","Call"),O518+$C$14,$C$4,$C$9*SQRT($C$7))-
2*_xll.qlBlackFormula(IF(O518&lt;$C$4,"Put","Call"),O518,$C$4,$C$9*SQRT($C$7))+
_xll.qlBlackFormula(IF(O518&lt;$C$4,"Put","Call"),O518-$C$14,$C$4,$C$9*SQRT($C$7)))/$C$14^2,"")</f>
        <v/>
      </c>
      <c r="T518" s="42">
        <f>IFERROR((_xll.qlBlackFormula(IF(O518&lt;$C$4,"Put","Call"),O518+$C$14,$C$4,$C$10*SQRT($C$7),,$C$11)-
2*_xll.qlBlackFormula(IF(O518&lt;$C$4,"Put","Call"),O518,$C$4,$C$10*SQRT($C$7),,$C$11)+
_xll.qlBlackFormula(IF(O518&lt;$C$4,"Put","Call"),O518-$C$14,$C$4,$C$10*SQRT($C$7),,$C$11))/$C$14^2,"")</f>
        <v>2.4944000857896054</v>
      </c>
      <c r="U518" s="43">
        <f>IFERROR((_xll.qlBachelierBlackFormula(IF(O518&lt;$C$4,"Put","Call"),O518+$C$14,$C$4,$C$12*SQRT($C$7))-
2*_xll.qlBachelierBlackFormula(IF(O518&lt;$C$4,"Put","Call"),O518,$C$4,$C$12*SQRT($C$7))+
_xll.qlBachelierBlackFormula(IF(O518&lt;$C$4,"Put","Call"),O518-$C$14,$C$4,$C$12*SQRT($C$7)))/$C$14^2,"")</f>
        <v>1.9528914618240079</v>
      </c>
      <c r="V518" s="61" t="str">
        <f>IFERROR(_xll.qlBachelierBlackFormulaImpliedVol(IF(O518&lt;$C$4,"Put","Call"),O518,$C$4,$C$7,P518),"")</f>
        <v/>
      </c>
      <c r="W518" s="61">
        <f>IFERROR(_xll.qlBachelierBlackFormulaImpliedVol(IF(O518&lt;$C$4,"Put","Call"),O518,$C$4,$C$7,Q518),"")</f>
        <v>8.6488974166196771E-3</v>
      </c>
      <c r="X518" s="61">
        <f>IFERROR(_xll.qlBachelierBlackFormulaImpliedVol(IF(O518&lt;$C$4,"Put","Call"),O518,$C$4,$C$7,R518),"")</f>
        <v>7.2019999997739413E-3</v>
      </c>
      <c r="Y518" s="96">
        <f>_xll.qlSmileSectionVolatility($C$40,O518+$C$31)</f>
        <v>9.8284418243070222E-3</v>
      </c>
    </row>
    <row r="519" spans="15:25">
      <c r="O519" s="37">
        <f t="shared" si="8"/>
        <v>4.1400000000000152E-2</v>
      </c>
      <c r="P519" s="38" t="str">
        <f>IFERROR(_xll.qlBlackFormula(IF(O519&lt;$C$4,"Put","Call"),O519,$C$4,$C$9*SQRT($C$7)),"")</f>
        <v/>
      </c>
      <c r="Q519" s="39">
        <f>IFERROR(_xll.qlBlackFormula(IF(O519&lt;$C$4,"Put","Call"),O519,$C$4,$C$10*SQRT($C$7),,$C$11),"")</f>
        <v>2.2447347803299794E-4</v>
      </c>
      <c r="R519" s="40">
        <f>IFERROR(_xll.qlBachelierBlackFormula(IF(O519&lt;$C$4,"Put","Call"),O519,$C$4,$C$12*SQRT($C$7)),"")</f>
        <v>6.6196505444433189E-5</v>
      </c>
      <c r="S519" s="41" t="str">
        <f>IFERROR((_xll.qlBlackFormula(IF(O519&lt;$C$4,"Put","Call"),O519+$C$14,$C$4,$C$9*SQRT($C$7))-
2*_xll.qlBlackFormula(IF(O519&lt;$C$4,"Put","Call"),O519,$C$4,$C$9*SQRT($C$7))+
_xll.qlBlackFormula(IF(O519&lt;$C$4,"Put","Call"),O519-$C$14,$C$4,$C$9*SQRT($C$7)))/$C$14^2,"")</f>
        <v/>
      </c>
      <c r="T519" s="42">
        <f>IFERROR((_xll.qlBlackFormula(IF(O519&lt;$C$4,"Put","Call"),O519+$C$14,$C$4,$C$10*SQRT($C$7),,$C$11)-
2*_xll.qlBlackFormula(IF(O519&lt;$C$4,"Put","Call"),O519,$C$4,$C$10*SQRT($C$7),,$C$11)+
_xll.qlBlackFormula(IF(O519&lt;$C$4,"Put","Call"),O519-$C$14,$C$4,$C$10*SQRT($C$7),,$C$11))/$C$14^2,"")</f>
        <v>2.4711031831881058</v>
      </c>
      <c r="U519" s="43">
        <f>IFERROR((_xll.qlBachelierBlackFormula(IF(O519&lt;$C$4,"Put","Call"),O519+$C$14,$C$4,$C$12*SQRT($C$7))-
2*_xll.qlBachelierBlackFormula(IF(O519&lt;$C$4,"Put","Call"),O519,$C$4,$C$12*SQRT($C$7))+
_xll.qlBachelierBlackFormula(IF(O519&lt;$C$4,"Put","Call"),O519-$C$14,$C$4,$C$12*SQRT($C$7)))/$C$14^2,"")</f>
        <v>1.9257120312428377</v>
      </c>
      <c r="V519" s="61" t="str">
        <f>IFERROR(_xll.qlBachelierBlackFormulaImpliedVol(IF(O519&lt;$C$4,"Put","Call"),O519,$C$4,$C$7,P519),"")</f>
        <v/>
      </c>
      <c r="W519" s="61">
        <f>IFERROR(_xll.qlBachelierBlackFormulaImpliedVol(IF(O519&lt;$C$4,"Put","Call"),O519,$C$4,$C$7,Q519),"")</f>
        <v>8.6526729325941687E-3</v>
      </c>
      <c r="X519" s="61">
        <f>IFERROR(_xll.qlBachelierBlackFormulaImpliedVol(IF(O519&lt;$C$4,"Put","Call"),O519,$C$4,$C$7,R519),"")</f>
        <v>7.2019999997693139E-3</v>
      </c>
      <c r="Y519" s="96">
        <f>_xll.qlSmileSectionVolatility($C$40,O519+$C$31)</f>
        <v>9.8371998640307511E-3</v>
      </c>
    </row>
    <row r="520" spans="15:25">
      <c r="O520" s="37">
        <f t="shared" si="8"/>
        <v>4.1500000000000155E-2</v>
      </c>
      <c r="P520" s="38" t="str">
        <f>IFERROR(_xll.qlBlackFormula(IF(O520&lt;$C$4,"Put","Call"),O520,$C$4,$C$9*SQRT($C$7)),"")</f>
        <v/>
      </c>
      <c r="Q520" s="39">
        <f>IFERROR(_xll.qlBlackFormula(IF(O520&lt;$C$4,"Put","Call"),O520,$C$4,$C$10*SQRT($C$7),,$C$11),"")</f>
        <v>2.2206324810770299E-4</v>
      </c>
      <c r="R520" s="40">
        <f>IFERROR(_xll.qlBachelierBlackFormula(IF(O520&lt;$C$4,"Put","Call"),O520,$C$4,$C$12*SQRT($C$7)),"")</f>
        <v>6.5015911645508189E-5</v>
      </c>
      <c r="S520" s="41" t="str">
        <f>IFERROR((_xll.qlBlackFormula(IF(O520&lt;$C$4,"Put","Call"),O520+$C$14,$C$4,$C$9*SQRT($C$7))-
2*_xll.qlBlackFormula(IF(O520&lt;$C$4,"Put","Call"),O520,$C$4,$C$9*SQRT($C$7))+
_xll.qlBlackFormula(IF(O520&lt;$C$4,"Put","Call"),O520-$C$14,$C$4,$C$9*SQRT($C$7)))/$C$14^2,"")</f>
        <v/>
      </c>
      <c r="T520" s="42">
        <f>IFERROR((_xll.qlBlackFormula(IF(O520&lt;$C$4,"Put","Call"),O520+$C$14,$C$4,$C$10*SQRT($C$7),,$C$11)-
2*_xll.qlBlackFormula(IF(O520&lt;$C$4,"Put","Call"),O520,$C$4,$C$10*SQRT($C$7),,$C$11)+
_xll.qlBlackFormula(IF(O520&lt;$C$4,"Put","Call"),O520-$C$14,$C$4,$C$10*SQRT($C$7),,$C$11))/$C$14^2,"")</f>
        <v>2.4479849571046319</v>
      </c>
      <c r="U520" s="43">
        <f>IFERROR((_xll.qlBachelierBlackFormula(IF(O520&lt;$C$4,"Put","Call"),O520+$C$14,$C$4,$C$12*SQRT($C$7))-
2*_xll.qlBachelierBlackFormula(IF(O520&lt;$C$4,"Put","Call"),O520,$C$4,$C$12*SQRT($C$7))+
_xll.qlBachelierBlackFormula(IF(O520&lt;$C$4,"Put","Call"),O520-$C$14,$C$4,$C$12*SQRT($C$7)))/$C$14^2,"")</f>
        <v>1.8988329788735547</v>
      </c>
      <c r="V520" s="61" t="str">
        <f>IFERROR(_xll.qlBachelierBlackFormulaImpliedVol(IF(O520&lt;$C$4,"Put","Call"),O520,$C$4,$C$7,P520),"")</f>
        <v/>
      </c>
      <c r="W520" s="61">
        <f>IFERROR(_xll.qlBachelierBlackFormulaImpliedVol(IF(O520&lt;$C$4,"Put","Call"),O520,$C$4,$C$7,Q520),"")</f>
        <v>8.6564474722801432E-3</v>
      </c>
      <c r="X520" s="61">
        <f>IFERROR(_xll.qlBachelierBlackFormulaImpliedVol(IF(O520&lt;$C$4,"Put","Call"),O520,$C$4,$C$7,R520),"")</f>
        <v>7.2019999997649953E-3</v>
      </c>
      <c r="Y520" s="96">
        <f>_xll.qlSmileSectionVolatility($C$40,O520+$C$31)</f>
        <v>9.8459610715846899E-3</v>
      </c>
    </row>
    <row r="521" spans="15:25">
      <c r="O521" s="37">
        <f t="shared" si="8"/>
        <v>4.1600000000000158E-2</v>
      </c>
      <c r="P521" s="38" t="str">
        <f>IFERROR(_xll.qlBlackFormula(IF(O521&lt;$C$4,"Put","Call"),O521,$C$4,$C$9*SQRT($C$7)),"")</f>
        <v/>
      </c>
      <c r="Q521" s="39">
        <f>IFERROR(_xll.qlBlackFormula(IF(O521&lt;$C$4,"Put","Call"),O521,$C$4,$C$10*SQRT($C$7),,$C$11),"")</f>
        <v>2.1967749821624055E-4</v>
      </c>
      <c r="R521" s="40">
        <f>IFERROR(_xll.qlBachelierBlackFormula(IF(O521&lt;$C$4,"Put","Call"),O521,$C$4,$C$12*SQRT($C$7)),"")</f>
        <v>6.3854306428659752E-5</v>
      </c>
      <c r="S521" s="41" t="str">
        <f>IFERROR((_xll.qlBlackFormula(IF(O521&lt;$C$4,"Put","Call"),O521+$C$14,$C$4,$C$9*SQRT($C$7))-
2*_xll.qlBlackFormula(IF(O521&lt;$C$4,"Put","Call"),O521,$C$4,$C$9*SQRT($C$7))+
_xll.qlBlackFormula(IF(O521&lt;$C$4,"Put","Call"),O521-$C$14,$C$4,$C$9*SQRT($C$7)))/$C$14^2,"")</f>
        <v/>
      </c>
      <c r="T521" s="42">
        <f>IFERROR((_xll.qlBlackFormula(IF(O521&lt;$C$4,"Put","Call"),O521+$C$14,$C$4,$C$10*SQRT($C$7),,$C$11)-
2*_xll.qlBlackFormula(IF(O521&lt;$C$4,"Put","Call"),O521,$C$4,$C$10*SQRT($C$7),,$C$11)+
_xll.qlBlackFormula(IF(O521&lt;$C$4,"Put","Call"),O521-$C$14,$C$4,$C$10*SQRT($C$7),,$C$11))/$C$14^2,"")</f>
        <v>2.4250601526887294</v>
      </c>
      <c r="U521" s="43">
        <f>IFERROR((_xll.qlBachelierBlackFormula(IF(O521&lt;$C$4,"Put","Call"),O521+$C$14,$C$4,$C$12*SQRT($C$7))-
2*_xll.qlBachelierBlackFormula(IF(O521&lt;$C$4,"Put","Call"),O521,$C$4,$C$12*SQRT($C$7))+
_xll.qlBachelierBlackFormula(IF(O521&lt;$C$4,"Put","Call"),O521-$C$14,$C$4,$C$12*SQRT($C$7)))/$C$14^2,"")</f>
        <v>1.8722583704743057</v>
      </c>
      <c r="V521" s="61" t="str">
        <f>IFERROR(_xll.qlBachelierBlackFormulaImpliedVol(IF(O521&lt;$C$4,"Put","Call"),O521,$C$4,$C$7,P521),"")</f>
        <v/>
      </c>
      <c r="W521" s="61">
        <f>IFERROR(_xll.qlBachelierBlackFormulaImpliedVol(IF(O521&lt;$C$4,"Put","Call"),O521,$C$4,$C$7,Q521),"")</f>
        <v>8.6602210368682524E-3</v>
      </c>
      <c r="X521" s="61">
        <f>IFERROR(_xll.qlBachelierBlackFormulaImpliedVol(IF(O521&lt;$C$4,"Put","Call"),O521,$C$4,$C$7,R521),"")</f>
        <v>7.201999999761113E-3</v>
      </c>
      <c r="Y521" s="96">
        <f>_xll.qlSmileSectionVolatility($C$40,O521+$C$31)</f>
        <v>9.854725423030496E-3</v>
      </c>
    </row>
    <row r="522" spans="15:25">
      <c r="O522" s="37">
        <f t="shared" si="8"/>
        <v>4.1700000000000161E-2</v>
      </c>
      <c r="P522" s="38" t="str">
        <f>IFERROR(_xll.qlBlackFormula(IF(O522&lt;$C$4,"Put","Call"),O522,$C$4,$C$9*SQRT($C$7)),"")</f>
        <v/>
      </c>
      <c r="Q522" s="39">
        <f>IFERROR(_xll.qlBlackFormula(IF(O522&lt;$C$4,"Put","Call"),O522,$C$4,$C$10*SQRT($C$7),,$C$11),"")</f>
        <v>2.1731599914879716E-4</v>
      </c>
      <c r="R522" s="40">
        <f>IFERROR(_xll.qlBachelierBlackFormula(IF(O522&lt;$C$4,"Put","Call"),O522,$C$4,$C$12*SQRT($C$7)),"")</f>
        <v>6.2711424061682596E-5</v>
      </c>
      <c r="S522" s="41" t="str">
        <f>IFERROR((_xll.qlBlackFormula(IF(O522&lt;$C$4,"Put","Call"),O522+$C$14,$C$4,$C$9*SQRT($C$7))-
2*_xll.qlBlackFormula(IF(O522&lt;$C$4,"Put","Call"),O522,$C$4,$C$9*SQRT($C$7))+
_xll.qlBlackFormula(IF(O522&lt;$C$4,"Put","Call"),O522-$C$14,$C$4,$C$9*SQRT($C$7)))/$C$14^2,"")</f>
        <v/>
      </c>
      <c r="T522" s="42">
        <f>IFERROR((_xll.qlBlackFormula(IF(O522&lt;$C$4,"Put","Call"),O522+$C$14,$C$4,$C$10*SQRT($C$7),,$C$11)-
2*_xll.qlBlackFormula(IF(O522&lt;$C$4,"Put","Call"),O522,$C$4,$C$10*SQRT($C$7),,$C$11)+
_xll.qlBlackFormula(IF(O522&lt;$C$4,"Put","Call"),O522-$C$14,$C$4,$C$10*SQRT($C$7),,$C$11))/$C$14^2,"")</f>
        <v>2.4023478518986341</v>
      </c>
      <c r="U522" s="43">
        <f>IFERROR((_xll.qlBachelierBlackFormula(IF(O522&lt;$C$4,"Put","Call"),O522+$C$14,$C$4,$C$12*SQRT($C$7))-
2*_xll.qlBachelierBlackFormula(IF(O522&lt;$C$4,"Put","Call"),O522,$C$4,$C$12*SQRT($C$7))+
_xll.qlBachelierBlackFormula(IF(O522&lt;$C$4,"Put","Call"),O522-$C$14,$C$4,$C$12*SQRT($C$7)))/$C$14^2,"")</f>
        <v>1.8459876097338956</v>
      </c>
      <c r="V522" s="61" t="str">
        <f>IFERROR(_xll.qlBachelierBlackFormulaImpliedVol(IF(O522&lt;$C$4,"Put","Call"),O522,$C$4,$C$7,P522),"")</f>
        <v/>
      </c>
      <c r="W522" s="61">
        <f>IFERROR(_xll.qlBachelierBlackFormulaImpliedVol(IF(O522&lt;$C$4,"Put","Call"),O522,$C$4,$C$7,Q522),"")</f>
        <v>8.6639936275467715E-3</v>
      </c>
      <c r="X522" s="61">
        <f>IFERROR(_xll.qlBachelierBlackFormulaImpliedVol(IF(O522&lt;$C$4,"Put","Call"),O522,$C$4,$C$7,R522),"")</f>
        <v>7.2019999997576254E-3</v>
      </c>
      <c r="Y522" s="96">
        <f>_xll.qlSmileSectionVolatility($C$40,O522+$C$31)</f>
        <v>9.8634928945803557E-3</v>
      </c>
    </row>
    <row r="523" spans="15:25">
      <c r="O523" s="37">
        <f t="shared" si="8"/>
        <v>4.1800000000000163E-2</v>
      </c>
      <c r="P523" s="38" t="str">
        <f>IFERROR(_xll.qlBlackFormula(IF(O523&lt;$C$4,"Put","Call"),O523,$C$4,$C$9*SQRT($C$7)),"")</f>
        <v/>
      </c>
      <c r="Q523" s="39">
        <f>IFERROR(_xll.qlBlackFormula(IF(O523&lt;$C$4,"Put","Call"),O523,$C$4,$C$10*SQRT($C$7),,$C$11),"")</f>
        <v>2.149785235763973E-4</v>
      </c>
      <c r="R523" s="40">
        <f>IFERROR(_xll.qlBachelierBlackFormula(IF(O523&lt;$C$4,"Put","Call"),O523,$C$4,$C$12*SQRT($C$7)),"")</f>
        <v>6.1587001819303163E-5</v>
      </c>
      <c r="S523" s="41" t="str">
        <f>IFERROR((_xll.qlBlackFormula(IF(O523&lt;$C$4,"Put","Call"),O523+$C$14,$C$4,$C$9*SQRT($C$7))-
2*_xll.qlBlackFormula(IF(O523&lt;$C$4,"Put","Call"),O523,$C$4,$C$9*SQRT($C$7))+
_xll.qlBlackFormula(IF(O523&lt;$C$4,"Put","Call"),O523-$C$14,$C$4,$C$9*SQRT($C$7)))/$C$14^2,"")</f>
        <v/>
      </c>
      <c r="T523" s="42">
        <f>IFERROR((_xll.qlBlackFormula(IF(O523&lt;$C$4,"Put","Call"),O523+$C$14,$C$4,$C$10*SQRT($C$7),,$C$11)-
2*_xll.qlBlackFormula(IF(O523&lt;$C$4,"Put","Call"),O523,$C$4,$C$10*SQRT($C$7),,$C$11)+
_xll.qlBlackFormula(IF(O523&lt;$C$4,"Put","Call"),O523-$C$14,$C$4,$C$10*SQRT($C$7),,$C$11))/$C$14^2,"")</f>
        <v>2.3797834362848658</v>
      </c>
      <c r="U523" s="43">
        <f>IFERROR((_xll.qlBachelierBlackFormula(IF(O523&lt;$C$4,"Put","Call"),O523+$C$14,$C$4,$C$12*SQRT($C$7))-
2*_xll.qlBachelierBlackFormula(IF(O523&lt;$C$4,"Put","Call"),O523,$C$4,$C$12*SQRT($C$7))+
_xll.qlBachelierBlackFormula(IF(O523&lt;$C$4,"Put","Call"),O523-$C$14,$C$4,$C$12*SQRT($C$7)))/$C$14^2,"")</f>
        <v>1.8200150045909191</v>
      </c>
      <c r="V523" s="61" t="str">
        <f>IFERROR(_xll.qlBachelierBlackFormulaImpliedVol(IF(O523&lt;$C$4,"Put","Call"),O523,$C$4,$C$7,P523),"")</f>
        <v/>
      </c>
      <c r="W523" s="61">
        <f>IFERROR(_xll.qlBachelierBlackFormulaImpliedVol(IF(O523&lt;$C$4,"Put","Call"),O523,$C$4,$C$7,Q523),"")</f>
        <v>8.6677652455016251E-3</v>
      </c>
      <c r="X523" s="61">
        <f>IFERROR(_xll.qlBachelierBlackFormulaImpliedVol(IF(O523&lt;$C$4,"Put","Call"),O523,$C$4,$C$7,R523),"")</f>
        <v>7.2019999997545566E-3</v>
      </c>
      <c r="Y523" s="96">
        <f>_xll.qlSmileSectionVolatility($C$40,O523+$C$31)</f>
        <v>9.872263462596011E-3</v>
      </c>
    </row>
    <row r="524" spans="15:25">
      <c r="O524" s="37">
        <f t="shared" si="8"/>
        <v>4.1900000000000166E-2</v>
      </c>
      <c r="P524" s="38" t="str">
        <f>IFERROR(_xll.qlBlackFormula(IF(O524&lt;$C$4,"Put","Call"),O524,$C$4,$C$9*SQRT($C$7)),"")</f>
        <v/>
      </c>
      <c r="Q524" s="39">
        <f>IFERROR(_xll.qlBlackFormula(IF(O524&lt;$C$4,"Put","Call"),O524,$C$4,$C$10*SQRT($C$7),,$C$11),"")</f>
        <v>2.1266484603901402E-4</v>
      </c>
      <c r="R524" s="40">
        <f>IFERROR(_xll.qlBachelierBlackFormula(IF(O524&lt;$C$4,"Put","Call"),O524,$C$4,$C$12*SQRT($C$7)),"")</f>
        <v>6.048077996110169E-5</v>
      </c>
      <c r="S524" s="41" t="str">
        <f>IFERROR((_xll.qlBlackFormula(IF(O524&lt;$C$4,"Put","Call"),O524+$C$14,$C$4,$C$9*SQRT($C$7))-
2*_xll.qlBlackFormula(IF(O524&lt;$C$4,"Put","Call"),O524,$C$4,$C$9*SQRT($C$7))+
_xll.qlBlackFormula(IF(O524&lt;$C$4,"Put","Call"),O524-$C$14,$C$4,$C$9*SQRT($C$7)))/$C$14^2,"")</f>
        <v/>
      </c>
      <c r="T524" s="42">
        <f>IFERROR((_xll.qlBlackFormula(IF(O524&lt;$C$4,"Put","Call"),O524+$C$14,$C$4,$C$10*SQRT($C$7),,$C$11)-
2*_xll.qlBlackFormula(IF(O524&lt;$C$4,"Put","Call"),O524,$C$4,$C$10*SQRT($C$7),,$C$11)+
_xll.qlBlackFormula(IF(O524&lt;$C$4,"Put","Call"),O524-$C$14,$C$4,$C$10*SQRT($C$7),,$C$11))/$C$14^2,"")</f>
        <v>2.3574193812325728</v>
      </c>
      <c r="U524" s="43">
        <f>IFERROR((_xll.qlBachelierBlackFormula(IF(O524&lt;$C$4,"Put","Call"),O524+$C$14,$C$4,$C$12*SQRT($C$7))-
2*_xll.qlBachelierBlackFormula(IF(O524&lt;$C$4,"Put","Call"),O524,$C$4,$C$12*SQRT($C$7))+
_xll.qlBachelierBlackFormula(IF(O524&lt;$C$4,"Put","Call"),O524-$C$14,$C$4,$C$12*SQRT($C$7)))/$C$14^2,"")</f>
        <v>1.7943364350771207</v>
      </c>
      <c r="V524" s="61" t="str">
        <f>IFERROR(_xll.qlBachelierBlackFormulaImpliedVol(IF(O524&lt;$C$4,"Put","Call"),O524,$C$4,$C$7,P524),"")</f>
        <v/>
      </c>
      <c r="W524" s="61">
        <f>IFERROR(_xll.qlBachelierBlackFormulaImpliedVol(IF(O524&lt;$C$4,"Put","Call"),O524,$C$4,$C$7,Q524),"")</f>
        <v>8.6715358919160455E-3</v>
      </c>
      <c r="X524" s="61">
        <f>IFERROR(_xll.qlBachelierBlackFormulaImpliedVol(IF(O524&lt;$C$4,"Put","Call"),O524,$C$4,$C$7,R524),"")</f>
        <v>7.2019999997519138E-3</v>
      </c>
      <c r="Y524" s="96">
        <f>_xll.qlSmileSectionVolatility($C$40,O524+$C$31)</f>
        <v>9.8810371035878784E-3</v>
      </c>
    </row>
    <row r="525" spans="15:25">
      <c r="O525" s="37">
        <f t="shared" si="8"/>
        <v>4.2000000000000169E-2</v>
      </c>
      <c r="P525" s="38" t="str">
        <f>IFERROR(_xll.qlBlackFormula(IF(O525&lt;$C$4,"Put","Call"),O525,$C$4,$C$9*SQRT($C$7)),"")</f>
        <v/>
      </c>
      <c r="Q525" s="39">
        <f>IFERROR(_xll.qlBlackFormula(IF(O525&lt;$C$4,"Put","Call"),O525,$C$4,$C$10*SQRT($C$7),,$C$11),"")</f>
        <v>2.1037474293381618E-4</v>
      </c>
      <c r="R525" s="40">
        <f>IFERROR(_xll.qlBachelierBlackFormula(IF(O525&lt;$C$4,"Put","Call"),O525,$C$4,$C$12*SQRT($C$7)),"")</f>
        <v>5.9392501709401308E-5</v>
      </c>
      <c r="S525" s="41" t="str">
        <f>IFERROR((_xll.qlBlackFormula(IF(O525&lt;$C$4,"Put","Call"),O525+$C$14,$C$4,$C$9*SQRT($C$7))-
2*_xll.qlBlackFormula(IF(O525&lt;$C$4,"Put","Call"),O525,$C$4,$C$9*SQRT($C$7))+
_xll.qlBlackFormula(IF(O525&lt;$C$4,"Put","Call"),O525-$C$14,$C$4,$C$9*SQRT($C$7)))/$C$14^2,"")</f>
        <v/>
      </c>
      <c r="T525" s="42">
        <f>IFERROR((_xll.qlBlackFormula(IF(O525&lt;$C$4,"Put","Call"),O525+$C$14,$C$4,$C$10*SQRT($C$7),,$C$11)-
2*_xll.qlBlackFormula(IF(O525&lt;$C$4,"Put","Call"),O525,$C$4,$C$10*SQRT($C$7),,$C$11)+
_xll.qlBlackFormula(IF(O525&lt;$C$4,"Put","Call"),O525-$C$14,$C$4,$C$10*SQRT($C$7),,$C$11))/$C$14^2,"")</f>
        <v>2.3352422426348163</v>
      </c>
      <c r="U525" s="43">
        <f>IFERROR((_xll.qlBachelierBlackFormula(IF(O525&lt;$C$4,"Put","Call"),O525+$C$14,$C$4,$C$12*SQRT($C$7))-
2*_xll.qlBachelierBlackFormula(IF(O525&lt;$C$4,"Put","Call"),O525,$C$4,$C$12*SQRT($C$7))+
_xll.qlBachelierBlackFormula(IF(O525&lt;$C$4,"Put","Call"),O525-$C$14,$C$4,$C$12*SQRT($C$7)))/$C$14^2,"")</f>
        <v>1.768955695900104</v>
      </c>
      <c r="V525" s="61" t="str">
        <f>IFERROR(_xll.qlBachelierBlackFormulaImpliedVol(IF(O525&lt;$C$4,"Put","Call"),O525,$C$4,$C$7,P525),"")</f>
        <v/>
      </c>
      <c r="W525" s="61">
        <f>IFERROR(_xll.qlBachelierBlackFormulaImpliedVol(IF(O525&lt;$C$4,"Put","Call"),O525,$C$4,$C$7,Q525),"")</f>
        <v>8.6753055679710239E-3</v>
      </c>
      <c r="X525" s="61">
        <f>IFERROR(_xll.qlBachelierBlackFormulaImpliedVol(IF(O525&lt;$C$4,"Put","Call"),O525,$C$4,$C$7,R525),"")</f>
        <v>7.2019999997497688E-3</v>
      </c>
      <c r="Y525" s="96">
        <f>_xll.qlSmileSectionVolatility($C$40,O525+$C$31)</f>
        <v>9.8898137942141709E-3</v>
      </c>
    </row>
    <row r="526" spans="15:25">
      <c r="O526" s="37">
        <f t="shared" si="8"/>
        <v>4.2100000000000172E-2</v>
      </c>
      <c r="P526" s="38" t="str">
        <f>IFERROR(_xll.qlBlackFormula(IF(O526&lt;$C$4,"Put","Call"),O526,$C$4,$C$9*SQRT($C$7)),"")</f>
        <v/>
      </c>
      <c r="Q526" s="39">
        <f>IFERROR(_xll.qlBlackFormula(IF(O526&lt;$C$4,"Put","Call"),O526,$C$4,$C$10*SQRT($C$7),,$C$11),"")</f>
        <v>2.0810799250335242E-4</v>
      </c>
      <c r="R526" s="40">
        <f>IFERROR(_xll.qlBachelierBlackFormula(IF(O526&lt;$C$4,"Put","Call"),O526,$C$4,$C$12*SQRT($C$7)),"")</f>
        <v>5.8321913227137913E-5</v>
      </c>
      <c r="S526" s="41" t="str">
        <f>IFERROR((_xll.qlBlackFormula(IF(O526&lt;$C$4,"Put","Call"),O526+$C$14,$C$4,$C$9*SQRT($C$7))-
2*_xll.qlBlackFormula(IF(O526&lt;$C$4,"Put","Call"),O526,$C$4,$C$9*SQRT($C$7))+
_xll.qlBlackFormula(IF(O526&lt;$C$4,"Put","Call"),O526-$C$14,$C$4,$C$9*SQRT($C$7)))/$C$14^2,"")</f>
        <v/>
      </c>
      <c r="T526" s="42">
        <f>IFERROR((_xll.qlBlackFormula(IF(O526&lt;$C$4,"Put","Call"),O526+$C$14,$C$4,$C$10*SQRT($C$7),,$C$11)-
2*_xll.qlBlackFormula(IF(O526&lt;$C$4,"Put","Call"),O526,$C$4,$C$10*SQRT($C$7),,$C$11)+
_xll.qlBlackFormula(IF(O526&lt;$C$4,"Put","Call"),O526-$C$14,$C$4,$C$10*SQRT($C$7),,$C$11))/$C$14^2,"")</f>
        <v>2.3132472500020373</v>
      </c>
      <c r="U526" s="43">
        <f>IFERROR((_xll.qlBachelierBlackFormula(IF(O526&lt;$C$4,"Put","Call"),O526+$C$14,$C$4,$C$12*SQRT($C$7))-
2*_xll.qlBachelierBlackFormula(IF(O526&lt;$C$4,"Put","Call"),O526,$C$4,$C$12*SQRT($C$7))+
_xll.qlBachelierBlackFormula(IF(O526&lt;$C$4,"Put","Call"),O526-$C$14,$C$4,$C$12*SQRT($C$7)))/$C$14^2,"")</f>
        <v>1.7438610776764063</v>
      </c>
      <c r="V526" s="61" t="str">
        <f>IFERROR(_xll.qlBachelierBlackFormulaImpliedVol(IF(O526&lt;$C$4,"Put","Call"),O526,$C$4,$C$7,P526),"")</f>
        <v/>
      </c>
      <c r="W526" s="61">
        <f>IFERROR(_xll.qlBachelierBlackFormulaImpliedVol(IF(O526&lt;$C$4,"Put","Call"),O526,$C$4,$C$7,Q526),"")</f>
        <v>8.6790742748449855E-3</v>
      </c>
      <c r="X526" s="61">
        <f>IFERROR(_xll.qlBachelierBlackFormulaImpliedVol(IF(O526&lt;$C$4,"Put","Call"),O526,$C$4,$C$7,R526),"")</f>
        <v>7.201999999748087E-3</v>
      </c>
      <c r="Y526" s="96">
        <f>_xll.qlSmileSectionVolatility($C$40,O526+$C$31)</f>
        <v>9.8985935112799652E-3</v>
      </c>
    </row>
    <row r="527" spans="15:25">
      <c r="O527" s="37">
        <f t="shared" si="8"/>
        <v>4.2200000000000175E-2</v>
      </c>
      <c r="P527" s="38" t="str">
        <f>IFERROR(_xll.qlBlackFormula(IF(O527&lt;$C$4,"Put","Call"),O527,$C$4,$C$9*SQRT($C$7)),"")</f>
        <v/>
      </c>
      <c r="Q527" s="39">
        <f>IFERROR(_xll.qlBlackFormula(IF(O527&lt;$C$4,"Put","Call"),O527,$C$4,$C$10*SQRT($C$7),,$C$11),"")</f>
        <v>2.0586437482379791E-4</v>
      </c>
      <c r="R527" s="40">
        <f>IFERROR(_xll.qlBachelierBlackFormula(IF(O527&lt;$C$4,"Put","Call"),O527,$C$4,$C$12*SQRT($C$7)),"")</f>
        <v>5.7268763595687137E-5</v>
      </c>
      <c r="S527" s="41" t="str">
        <f>IFERROR((_xll.qlBlackFormula(IF(O527&lt;$C$4,"Put","Call"),O527+$C$14,$C$4,$C$9*SQRT($C$7))-
2*_xll.qlBlackFormula(IF(O527&lt;$C$4,"Put","Call"),O527,$C$4,$C$9*SQRT($C$7))+
_xll.qlBlackFormula(IF(O527&lt;$C$4,"Put","Call"),O527-$C$14,$C$4,$C$9*SQRT($C$7)))/$C$14^2,"")</f>
        <v/>
      </c>
      <c r="T527" s="42">
        <f>IFERROR((_xll.qlBlackFormula(IF(O527&lt;$C$4,"Put","Call"),O527+$C$14,$C$4,$C$10*SQRT($C$7),,$C$11)-
2*_xll.qlBlackFormula(IF(O527&lt;$C$4,"Put","Call"),O527,$C$4,$C$10*SQRT($C$7),,$C$11)+
_xll.qlBlackFormula(IF(O527&lt;$C$4,"Put","Call"),O527-$C$14,$C$4,$C$10*SQRT($C$7),,$C$11))/$C$14^2,"")</f>
        <v>2.2914521842498647</v>
      </c>
      <c r="U527" s="43">
        <f>IFERROR((_xll.qlBachelierBlackFormula(IF(O527&lt;$C$4,"Put","Call"),O527+$C$14,$C$4,$C$12*SQRT($C$7))-
2*_xll.qlBachelierBlackFormula(IF(O527&lt;$C$4,"Put","Call"),O527,$C$4,$C$12*SQRT($C$7))+
_xll.qlBachelierBlackFormula(IF(O527&lt;$C$4,"Put","Call"),O527-$C$14,$C$4,$C$12*SQRT($C$7)))/$C$14^2,"")</f>
        <v>1.7190579472067813</v>
      </c>
      <c r="V527" s="61" t="str">
        <f>IFERROR(_xll.qlBachelierBlackFormulaImpliedVol(IF(O527&lt;$C$4,"Put","Call"),O527,$C$4,$C$7,P527),"")</f>
        <v/>
      </c>
      <c r="W527" s="61">
        <f>IFERROR(_xll.qlBachelierBlackFormulaImpliedVol(IF(O527&lt;$C$4,"Put","Call"),O527,$C$4,$C$7,Q527),"")</f>
        <v>8.6828420137140105E-3</v>
      </c>
      <c r="X527" s="61">
        <f>IFERROR(_xll.qlBachelierBlackFormulaImpliedVol(IF(O527&lt;$C$4,"Put","Call"),O527,$C$4,$C$7,R527),"")</f>
        <v>7.2019999997469109E-3</v>
      </c>
      <c r="Y527" s="96">
        <f>_xll.qlSmileSectionVolatility($C$40,O527+$C$31)</f>
        <v>9.9073762317363617E-3</v>
      </c>
    </row>
    <row r="528" spans="15:25">
      <c r="O528" s="37">
        <f t="shared" si="8"/>
        <v>4.2300000000000178E-2</v>
      </c>
      <c r="P528" s="38" t="str">
        <f>IFERROR(_xll.qlBlackFormula(IF(O528&lt;$C$4,"Put","Call"),O528,$C$4,$C$9*SQRT($C$7)),"")</f>
        <v/>
      </c>
      <c r="Q528" s="39">
        <f>IFERROR(_xll.qlBlackFormula(IF(O528&lt;$C$4,"Put","Call"),O528,$C$4,$C$10*SQRT($C$7),,$C$11),"")</f>
        <v>2.036436717932368E-4</v>
      </c>
      <c r="R528" s="40">
        <f>IFERROR(_xll.qlBachelierBlackFormula(IF(O528&lt;$C$4,"Put","Call"),O528,$C$4,$C$12*SQRT($C$7)),"")</f>
        <v>5.6232804792688519E-5</v>
      </c>
      <c r="S528" s="41" t="str">
        <f>IFERROR((_xll.qlBlackFormula(IF(O528&lt;$C$4,"Put","Call"),O528+$C$14,$C$4,$C$9*SQRT($C$7))-
2*_xll.qlBlackFormula(IF(O528&lt;$C$4,"Put","Call"),O528,$C$4,$C$9*SQRT($C$7))+
_xll.qlBlackFormula(IF(O528&lt;$C$4,"Put","Call"),O528-$C$14,$C$4,$C$9*SQRT($C$7)))/$C$14^2,"")</f>
        <v/>
      </c>
      <c r="T528" s="42">
        <f>IFERROR((_xll.qlBlackFormula(IF(O528&lt;$C$4,"Put","Call"),O528+$C$14,$C$4,$C$10*SQRT($C$7),,$C$11)-
2*_xll.qlBlackFormula(IF(O528&lt;$C$4,"Put","Call"),O528,$C$4,$C$10*SQRT($C$7),,$C$11)+
_xll.qlBlackFormula(IF(O528&lt;$C$4,"Put","Call"),O528-$C$14,$C$4,$C$10*SQRT($C$7),,$C$11))/$C$14^2,"")</f>
        <v>2.269816713057482</v>
      </c>
      <c r="U528" s="43">
        <f>IFERROR((_xll.qlBachelierBlackFormula(IF(O528&lt;$C$4,"Put","Call"),O528+$C$14,$C$4,$C$12*SQRT($C$7))-
2*_xll.qlBachelierBlackFormula(IF(O528&lt;$C$4,"Put","Call"),O528,$C$4,$C$12*SQRT($C$7))+
_xll.qlBachelierBlackFormula(IF(O528&lt;$C$4,"Put","Call"),O528-$C$14,$C$4,$C$12*SQRT($C$7)))/$C$14^2,"")</f>
        <v>1.6945444071374272</v>
      </c>
      <c r="V528" s="61" t="str">
        <f>IFERROR(_xll.qlBachelierBlackFormulaImpliedVol(IF(O528&lt;$C$4,"Put","Call"),O528,$C$4,$C$7,P528),"")</f>
        <v/>
      </c>
      <c r="W528" s="61">
        <f>IFERROR(_xll.qlBachelierBlackFormulaImpliedVol(IF(O528&lt;$C$4,"Put","Call"),O528,$C$4,$C$7,Q528),"")</f>
        <v>8.6866087857518232E-3</v>
      </c>
      <c r="X528" s="61">
        <f>IFERROR(_xll.qlBachelierBlackFormulaImpliedVol(IF(O528&lt;$C$4,"Put","Call"),O528,$C$4,$C$7,R528),"")</f>
        <v>7.2019999997462074E-3</v>
      </c>
      <c r="Y528" s="96">
        <f>_xll.qlSmileSectionVolatility($C$40,O528+$C$31)</f>
        <v>9.9161619326795514E-3</v>
      </c>
    </row>
    <row r="529" spans="15:25">
      <c r="O529" s="37">
        <f t="shared" ref="O529:O592" si="9">O528+0.01%</f>
        <v>4.2400000000000181E-2</v>
      </c>
      <c r="P529" s="38" t="str">
        <f>IFERROR(_xll.qlBlackFormula(IF(O529&lt;$C$4,"Put","Call"),O529,$C$4,$C$9*SQRT($C$7)),"")</f>
        <v/>
      </c>
      <c r="Q529" s="39">
        <f>IFERROR(_xll.qlBlackFormula(IF(O529&lt;$C$4,"Put","Call"),O529,$C$4,$C$10*SQRT($C$7),,$C$11),"")</f>
        <v>2.0144566711992112E-4</v>
      </c>
      <c r="R529" s="40">
        <f>IFERROR(_xll.qlBachelierBlackFormula(IF(O529&lt;$C$4,"Put","Call"),O529,$C$4,$C$12*SQRT($C$7)),"")</f>
        <v>5.5213791669843208E-5</v>
      </c>
      <c r="S529" s="41" t="str">
        <f>IFERROR((_xll.qlBlackFormula(IF(O529&lt;$C$4,"Put","Call"),O529+$C$14,$C$4,$C$9*SQRT($C$7))-
2*_xll.qlBlackFormula(IF(O529&lt;$C$4,"Put","Call"),O529,$C$4,$C$9*SQRT($C$7))+
_xll.qlBlackFormula(IF(O529&lt;$C$4,"Put","Call"),O529-$C$14,$C$4,$C$9*SQRT($C$7)))/$C$14^2,"")</f>
        <v/>
      </c>
      <c r="T529" s="42">
        <f>IFERROR((_xll.qlBlackFormula(IF(O529&lt;$C$4,"Put","Call"),O529+$C$14,$C$4,$C$10*SQRT($C$7),,$C$11)-
2*_xll.qlBlackFormula(IF(O529&lt;$C$4,"Put","Call"),O529,$C$4,$C$10*SQRT($C$7),,$C$11)+
_xll.qlBlackFormula(IF(O529&lt;$C$4,"Put","Call"),O529-$C$14,$C$4,$C$10*SQRT($C$7),,$C$11))/$C$14^2,"")</f>
        <v>2.2483664235961598</v>
      </c>
      <c r="U529" s="43">
        <f>IFERROR((_xll.qlBachelierBlackFormula(IF(O529&lt;$C$4,"Put","Call"),O529+$C$14,$C$4,$C$12*SQRT($C$7))-
2*_xll.qlBachelierBlackFormula(IF(O529&lt;$C$4,"Put","Call"),O529,$C$4,$C$12*SQRT($C$7))+
_xll.qlBachelierBlackFormula(IF(O529&lt;$C$4,"Put","Call"),O529-$C$14,$C$4,$C$12*SQRT($C$7)))/$C$14^2,"")</f>
        <v>1.6703146027766125</v>
      </c>
      <c r="V529" s="61" t="str">
        <f>IFERROR(_xll.qlBachelierBlackFormulaImpliedVol(IF(O529&lt;$C$4,"Put","Call"),O529,$C$4,$C$7,P529),"")</f>
        <v/>
      </c>
      <c r="W529" s="61">
        <f>IFERROR(_xll.qlBachelierBlackFormulaImpliedVol(IF(O529&lt;$C$4,"Put","Call"),O529,$C$4,$C$7,Q529),"")</f>
        <v>8.6903745921295718E-3</v>
      </c>
      <c r="X529" s="61">
        <f>IFERROR(_xll.qlBachelierBlackFormulaImpliedVol(IF(O529&lt;$C$4,"Put","Call"),O529,$C$4,$C$7,R529),"")</f>
        <v>7.2019999997460782E-3</v>
      </c>
      <c r="Y529" s="96">
        <f>_xll.qlSmileSectionVolatility($C$40,O529+$C$31)</f>
        <v>9.9249505913499726E-3</v>
      </c>
    </row>
    <row r="530" spans="15:25">
      <c r="O530" s="37">
        <f t="shared" si="9"/>
        <v>4.2500000000000183E-2</v>
      </c>
      <c r="P530" s="38" t="str">
        <f>IFERROR(_xll.qlBlackFormula(IF(O530&lt;$C$4,"Put","Call"),O530,$C$4,$C$9*SQRT($C$7)),"")</f>
        <v/>
      </c>
      <c r="Q530" s="39">
        <f>IFERROR(_xll.qlBlackFormula(IF(O530&lt;$C$4,"Put","Call"),O530,$C$4,$C$10*SQRT($C$7),,$C$11),"")</f>
        <v>1.9927014631062256E-4</v>
      </c>
      <c r="R530" s="40">
        <f>IFERROR(_xll.qlBachelierBlackFormula(IF(O530&lt;$C$4,"Put","Call"),O530,$C$4,$C$12*SQRT($C$7)),"")</f>
        <v>5.4211481930693784E-5</v>
      </c>
      <c r="S530" s="41" t="str">
        <f>IFERROR((_xll.qlBlackFormula(IF(O530&lt;$C$4,"Put","Call"),O530+$C$14,$C$4,$C$9*SQRT($C$7))-
2*_xll.qlBlackFormula(IF(O530&lt;$C$4,"Put","Call"),O530,$C$4,$C$9*SQRT($C$7))+
_xll.qlBlackFormula(IF(O530&lt;$C$4,"Put","Call"),O530-$C$14,$C$4,$C$9*SQRT($C$7)))/$C$14^2,"")</f>
        <v/>
      </c>
      <c r="T530" s="42">
        <f>IFERROR((_xll.qlBlackFormula(IF(O530&lt;$C$4,"Put","Call"),O530+$C$14,$C$4,$C$10*SQRT($C$7),,$C$11)-
2*_xll.qlBlackFormula(IF(O530&lt;$C$4,"Put","Call"),O530,$C$4,$C$10*SQRT($C$7),,$C$11)+
_xll.qlBlackFormula(IF(O530&lt;$C$4,"Put","Call"),O530-$C$14,$C$4,$C$10*SQRT($C$7),,$C$11))/$C$14^2,"")</f>
        <v>2.2271030505893741</v>
      </c>
      <c r="U530" s="43">
        <f>IFERROR((_xll.qlBachelierBlackFormula(IF(O530&lt;$C$4,"Put","Call"),O530+$C$14,$C$4,$C$12*SQRT($C$7))-
2*_xll.qlBachelierBlackFormula(IF(O530&lt;$C$4,"Put","Call"),O530,$C$4,$C$12*SQRT($C$7))+
_xll.qlBachelierBlackFormula(IF(O530&lt;$C$4,"Put","Call"),O530-$C$14,$C$4,$C$12*SQRT($C$7)))/$C$14^2,"")</f>
        <v>1.6463682630737941</v>
      </c>
      <c r="V530" s="61" t="str">
        <f>IFERROR(_xll.qlBachelierBlackFormulaImpliedVol(IF(O530&lt;$C$4,"Put","Call"),O530,$C$4,$C$7,P530),"")</f>
        <v/>
      </c>
      <c r="W530" s="61">
        <f>IFERROR(_xll.qlBachelierBlackFormulaImpliedVol(IF(O530&lt;$C$4,"Put","Call"),O530,$C$4,$C$7,Q530),"")</f>
        <v>8.6941394340160592E-3</v>
      </c>
      <c r="X530" s="61">
        <f>IFERROR(_xll.qlBachelierBlackFormulaImpliedVol(IF(O530&lt;$C$4,"Put","Call"),O530,$C$4,$C$7,R530),"")</f>
        <v>7.2019999997464798E-3</v>
      </c>
      <c r="Y530" s="96">
        <f>_xll.qlSmileSectionVolatility($C$40,O530+$C$31)</f>
        <v>9.9337421851314039E-3</v>
      </c>
    </row>
    <row r="531" spans="15:25">
      <c r="O531" s="37">
        <f t="shared" si="9"/>
        <v>4.2600000000000186E-2</v>
      </c>
      <c r="P531" s="38" t="str">
        <f>IFERROR(_xll.qlBlackFormula(IF(O531&lt;$C$4,"Put","Call"),O531,$C$4,$C$9*SQRT($C$7)),"")</f>
        <v/>
      </c>
      <c r="Q531" s="39">
        <f>IFERROR(_xll.qlBlackFormula(IF(O531&lt;$C$4,"Put","Call"),O531,$C$4,$C$10*SQRT($C$7),,$C$11),"")</f>
        <v>1.9711689665898339E-4</v>
      </c>
      <c r="R531" s="40">
        <f>IFERROR(_xll.qlBachelierBlackFormula(IF(O531&lt;$C$4,"Put","Call"),O531,$C$4,$C$12*SQRT($C$7)),"")</f>
        <v>5.3225636108405485E-5</v>
      </c>
      <c r="S531" s="41" t="str">
        <f>IFERROR((_xll.qlBlackFormula(IF(O531&lt;$C$4,"Put","Call"),O531+$C$14,$C$4,$C$9*SQRT($C$7))-
2*_xll.qlBlackFormula(IF(O531&lt;$C$4,"Put","Call"),O531,$C$4,$C$9*SQRT($C$7))+
_xll.qlBlackFormula(IF(O531&lt;$C$4,"Put","Call"),O531-$C$14,$C$4,$C$9*SQRT($C$7)))/$C$14^2,"")</f>
        <v/>
      </c>
      <c r="T531" s="42">
        <f>IFERROR((_xll.qlBlackFormula(IF(O531&lt;$C$4,"Put","Call"),O531+$C$14,$C$4,$C$10*SQRT($C$7),,$C$11)-
2*_xll.qlBlackFormula(IF(O531&lt;$C$4,"Put","Call"),O531,$C$4,$C$10*SQRT($C$7),,$C$11)+
_xll.qlBlackFormula(IF(O531&lt;$C$4,"Put","Call"),O531-$C$14,$C$4,$C$10*SQRT($C$7),,$C$11))/$C$14^2,"")</f>
        <v>2.206017920419745</v>
      </c>
      <c r="U531" s="43">
        <f>IFERROR((_xll.qlBachelierBlackFormula(IF(O531&lt;$C$4,"Put","Call"),O531+$C$14,$C$4,$C$12*SQRT($C$7))-
2*_xll.qlBachelierBlackFormula(IF(O531&lt;$C$4,"Put","Call"),O531,$C$4,$C$12*SQRT($C$7))+
_xll.qlBachelierBlackFormula(IF(O531&lt;$C$4,"Put","Call"),O531-$C$14,$C$4,$C$12*SQRT($C$7)))/$C$14^2,"")</f>
        <v>1.6227023522628892</v>
      </c>
      <c r="V531" s="61" t="str">
        <f>IFERROR(_xll.qlBachelierBlackFormulaImpliedVol(IF(O531&lt;$C$4,"Put","Call"),O531,$C$4,$C$7,P531),"")</f>
        <v/>
      </c>
      <c r="W531" s="61">
        <f>IFERROR(_xll.qlBachelierBlackFormulaImpliedVol(IF(O531&lt;$C$4,"Put","Call"),O531,$C$4,$C$7,Q531),"")</f>
        <v>8.6979033125777882E-3</v>
      </c>
      <c r="X531" s="61">
        <f>IFERROR(_xll.qlBachelierBlackFormulaImpliedVol(IF(O531&lt;$C$4,"Put","Call"),O531,$C$4,$C$7,R531),"")</f>
        <v>7.201999999747361E-3</v>
      </c>
      <c r="Y531" s="96">
        <f>_xll.qlSmileSectionVolatility($C$40,O531+$C$31)</f>
        <v>9.9425366915501141E-3</v>
      </c>
    </row>
    <row r="532" spans="15:25">
      <c r="O532" s="37">
        <f t="shared" si="9"/>
        <v>4.2700000000000189E-2</v>
      </c>
      <c r="P532" s="38" t="str">
        <f>IFERROR(_xll.qlBlackFormula(IF(O532&lt;$C$4,"Put","Call"),O532,$C$4,$C$9*SQRT($C$7)),"")</f>
        <v/>
      </c>
      <c r="Q532" s="39">
        <f>IFERROR(_xll.qlBlackFormula(IF(O532&lt;$C$4,"Put","Call"),O532,$C$4,$C$10*SQRT($C$7),,$C$11),"")</f>
        <v>1.9498570723388035E-4</v>
      </c>
      <c r="R532" s="40">
        <f>IFERROR(_xll.qlBachelierBlackFormula(IF(O532&lt;$C$4,"Put","Call"),O532,$C$4,$C$12*SQRT($C$7)),"")</f>
        <v>5.2256017543527648E-5</v>
      </c>
      <c r="S532" s="41" t="str">
        <f>IFERROR((_xll.qlBlackFormula(IF(O532&lt;$C$4,"Put","Call"),O532+$C$14,$C$4,$C$9*SQRT($C$7))-
2*_xll.qlBlackFormula(IF(O532&lt;$C$4,"Put","Call"),O532,$C$4,$C$9*SQRT($C$7))+
_xll.qlBlackFormula(IF(O532&lt;$C$4,"Put","Call"),O532-$C$14,$C$4,$C$9*SQRT($C$7)))/$C$14^2,"")</f>
        <v/>
      </c>
      <c r="T532" s="42">
        <f>IFERROR((_xll.qlBlackFormula(IF(O532&lt;$C$4,"Put","Call"),O532+$C$14,$C$4,$C$10*SQRT($C$7),,$C$11)-
2*_xll.qlBlackFormula(IF(O532&lt;$C$4,"Put","Call"),O532,$C$4,$C$10*SQRT($C$7),,$C$11)+
_xll.qlBlackFormula(IF(O532&lt;$C$4,"Put","Call"),O532-$C$14,$C$4,$C$10*SQRT($C$7),,$C$11))/$C$14^2,"")</f>
        <v>2.1850980226612027</v>
      </c>
      <c r="U532" s="43">
        <f>IFERROR((_xll.qlBachelierBlackFormula(IF(O532&lt;$C$4,"Put","Call"),O532+$C$14,$C$4,$C$12*SQRT($C$7))-
2*_xll.qlBachelierBlackFormula(IF(O532&lt;$C$4,"Put","Call"),O532,$C$4,$C$12*SQRT($C$7))+
_xll.qlBachelierBlackFormula(IF(O532&lt;$C$4,"Put","Call"),O532-$C$14,$C$4,$C$12*SQRT($C$7)))/$C$14^2,"")</f>
        <v>1.5993182255966132</v>
      </c>
      <c r="V532" s="61" t="str">
        <f>IFERROR(_xll.qlBachelierBlackFormulaImpliedVol(IF(O532&lt;$C$4,"Put","Call"),O532,$C$4,$C$7,P532),"")</f>
        <v/>
      </c>
      <c r="W532" s="61">
        <f>IFERROR(_xll.qlBachelierBlackFormulaImpliedVol(IF(O532&lt;$C$4,"Put","Call"),O532,$C$4,$C$7,Q532),"")</f>
        <v>8.7016662289787512E-3</v>
      </c>
      <c r="X532" s="61">
        <f>IFERROR(_xll.qlBachelierBlackFormulaImpliedVol(IF(O532&lt;$C$4,"Put","Call"),O532,$C$4,$C$7,R532),"")</f>
        <v>7.2019999997488017E-3</v>
      </c>
      <c r="Y532" s="96">
        <f>_xll.qlSmileSectionVolatility($C$40,O532+$C$31)</f>
        <v>9.9513340882740071E-3</v>
      </c>
    </row>
    <row r="533" spans="15:25">
      <c r="O533" s="37">
        <f t="shared" si="9"/>
        <v>4.2800000000000192E-2</v>
      </c>
      <c r="P533" s="38" t="str">
        <f>IFERROR(_xll.qlBlackFormula(IF(O533&lt;$C$4,"Put","Call"),O533,$C$4,$C$9*SQRT($C$7)),"")</f>
        <v/>
      </c>
      <c r="Q533" s="39">
        <f>IFERROR(_xll.qlBlackFormula(IF(O533&lt;$C$4,"Put","Call"),O533,$C$4,$C$10*SQRT($C$7),,$C$11),"")</f>
        <v>1.9287636886784146E-4</v>
      </c>
      <c r="R533" s="40">
        <f>IFERROR(_xll.qlBachelierBlackFormula(IF(O533&lt;$C$4,"Put","Call"),O533,$C$4,$C$12*SQRT($C$7)),"")</f>
        <v>5.1302392361764638E-5</v>
      </c>
      <c r="S533" s="41" t="str">
        <f>IFERROR((_xll.qlBlackFormula(IF(O533&lt;$C$4,"Put","Call"),O533+$C$14,$C$4,$C$9*SQRT($C$7))-
2*_xll.qlBlackFormula(IF(O533&lt;$C$4,"Put","Call"),O533,$C$4,$C$9*SQRT($C$7))+
_xll.qlBlackFormula(IF(O533&lt;$C$4,"Put","Call"),O533-$C$14,$C$4,$C$9*SQRT($C$7)))/$C$14^2,"")</f>
        <v/>
      </c>
      <c r="T533" s="42">
        <f>IFERROR((_xll.qlBlackFormula(IF(O533&lt;$C$4,"Put","Call"),O533+$C$14,$C$4,$C$10*SQRT($C$7),,$C$11)-
2*_xll.qlBlackFormula(IF(O533&lt;$C$4,"Put","Call"),O533,$C$4,$C$10*SQRT($C$7),,$C$11)+
_xll.qlBlackFormula(IF(O533&lt;$C$4,"Put","Call"),O533-$C$14,$C$4,$C$10*SQRT($C$7),,$C$11))/$C$14^2,"")</f>
        <v>2.1643494288459131</v>
      </c>
      <c r="U533" s="43">
        <f>IFERROR((_xll.qlBachelierBlackFormula(IF(O533&lt;$C$4,"Put","Call"),O533+$C$14,$C$4,$C$12*SQRT($C$7))-
2*_xll.qlBachelierBlackFormula(IF(O533&lt;$C$4,"Put","Call"),O533,$C$4,$C$12*SQRT($C$7))+
_xll.qlBachelierBlackFormula(IF(O533&lt;$C$4,"Put","Call"),O533-$C$14,$C$4,$C$12*SQRT($C$7)))/$C$14^2,"")</f>
        <v>1.5762027100185705</v>
      </c>
      <c r="V533" s="61" t="str">
        <f>IFERROR(_xll.qlBachelierBlackFormulaImpliedVol(IF(O533&lt;$C$4,"Put","Call"),O533,$C$4,$C$7,P533),"")</f>
        <v/>
      </c>
      <c r="W533" s="61">
        <f>IFERROR(_xll.qlBachelierBlackFormulaImpliedVol(IF(O533&lt;$C$4,"Put","Call"),O533,$C$4,$C$7,Q533),"")</f>
        <v>8.7054281843805589E-3</v>
      </c>
      <c r="X533" s="61">
        <f>IFERROR(_xll.qlBachelierBlackFormulaImpliedVol(IF(O533&lt;$C$4,"Put","Call"),O533,$C$4,$C$7,R533),"")</f>
        <v>7.2019999997508938E-3</v>
      </c>
      <c r="Y533" s="96">
        <f>_xll.qlSmileSectionVolatility($C$40,O533+$C$31)</f>
        <v>9.9601343531116951E-3</v>
      </c>
    </row>
    <row r="534" spans="15:25">
      <c r="O534" s="37">
        <f t="shared" si="9"/>
        <v>4.2900000000000195E-2</v>
      </c>
      <c r="P534" s="38" t="str">
        <f>IFERROR(_xll.qlBlackFormula(IF(O534&lt;$C$4,"Put","Call"),O534,$C$4,$C$9*SQRT($C$7)),"")</f>
        <v/>
      </c>
      <c r="Q534" s="39">
        <f>IFERROR(_xll.qlBlackFormula(IF(O534&lt;$C$4,"Put","Call"),O534,$C$4,$C$10*SQRT($C$7),,$C$11),"")</f>
        <v>1.9078867414549843E-4</v>
      </c>
      <c r="R534" s="40">
        <f>IFERROR(_xll.qlBachelierBlackFormula(IF(O534&lt;$C$4,"Put","Call"),O534,$C$4,$C$12*SQRT($C$7)),"")</f>
        <v>5.0364529451728778E-5</v>
      </c>
      <c r="S534" s="41" t="str">
        <f>IFERROR((_xll.qlBlackFormula(IF(O534&lt;$C$4,"Put","Call"),O534+$C$14,$C$4,$C$9*SQRT($C$7))-
2*_xll.qlBlackFormula(IF(O534&lt;$C$4,"Put","Call"),O534,$C$4,$C$9*SQRT($C$7))+
_xll.qlBlackFormula(IF(O534&lt;$C$4,"Put","Call"),O534-$C$14,$C$4,$C$9*SQRT($C$7)))/$C$14^2,"")</f>
        <v/>
      </c>
      <c r="T534" s="42">
        <f>IFERROR((_xll.qlBlackFormula(IF(O534&lt;$C$4,"Put","Call"),O534+$C$14,$C$4,$C$10*SQRT($C$7),,$C$11)-
2*_xll.qlBlackFormula(IF(O534&lt;$C$4,"Put","Call"),O534,$C$4,$C$10*SQRT($C$7),,$C$11)+
_xll.qlBlackFormula(IF(O534&lt;$C$4,"Put","Call"),O534-$C$14,$C$4,$C$10*SQRT($C$7),,$C$11))/$C$14^2,"")</f>
        <v>2.1437743073782212</v>
      </c>
      <c r="U534" s="43">
        <f>IFERROR((_xll.qlBachelierBlackFormula(IF(O534&lt;$C$4,"Put","Call"),O534+$C$14,$C$4,$C$12*SQRT($C$7))-
2*_xll.qlBachelierBlackFormula(IF(O534&lt;$C$4,"Put","Call"),O534,$C$4,$C$12*SQRT($C$7))+
_xll.qlBachelierBlackFormula(IF(O534&lt;$C$4,"Put","Call"),O534-$C$14,$C$4,$C$12*SQRT($C$7)))/$C$14^2,"")</f>
        <v>1.5533670812313549</v>
      </c>
      <c r="V534" s="61" t="str">
        <f>IFERROR(_xll.qlBachelierBlackFormulaImpliedVol(IF(O534&lt;$C$4,"Put","Call"),O534,$C$4,$C$7,P534),"")</f>
        <v/>
      </c>
      <c r="W534" s="61">
        <f>IFERROR(_xll.qlBachelierBlackFormulaImpliedVol(IF(O534&lt;$C$4,"Put","Call"),O534,$C$4,$C$7,Q534),"")</f>
        <v>8.709189179942553E-3</v>
      </c>
      <c r="X534" s="61">
        <f>IFERROR(_xll.qlBachelierBlackFormulaImpliedVol(IF(O534&lt;$C$4,"Put","Call"),O534,$C$4,$C$7,R534),"")</f>
        <v>7.201999999753541E-3</v>
      </c>
      <c r="Y534" s="96">
        <f>_xll.qlSmileSectionVolatility($C$40,O534+$C$31)</f>
        <v>9.9689374640117203E-3</v>
      </c>
    </row>
    <row r="535" spans="15:25">
      <c r="O535" s="37">
        <f t="shared" si="9"/>
        <v>4.3000000000000198E-2</v>
      </c>
      <c r="P535" s="38" t="str">
        <f>IFERROR(_xll.qlBlackFormula(IF(O535&lt;$C$4,"Put","Call"),O535,$C$4,$C$9*SQRT($C$7)),"")</f>
        <v/>
      </c>
      <c r="Q535" s="39">
        <f>IFERROR(_xll.qlBlackFormula(IF(O535&lt;$C$4,"Put","Call"),O535,$C$4,$C$10*SQRT($C$7),,$C$11),"")</f>
        <v>1.8872241739202773E-4</v>
      </c>
      <c r="R535" s="40">
        <f>IFERROR(_xll.qlBachelierBlackFormula(IF(O535&lt;$C$4,"Put","Call"),O535,$C$4,$C$12*SQRT($C$7)),"")</f>
        <v>4.9442200442723853E-5</v>
      </c>
      <c r="S535" s="41" t="str">
        <f>IFERROR((_xll.qlBlackFormula(IF(O535&lt;$C$4,"Put","Call"),O535+$C$14,$C$4,$C$9*SQRT($C$7))-
2*_xll.qlBlackFormula(IF(O535&lt;$C$4,"Put","Call"),O535,$C$4,$C$9*SQRT($C$7))+
_xll.qlBlackFormula(IF(O535&lt;$C$4,"Put","Call"),O535-$C$14,$C$4,$C$9*SQRT($C$7)))/$C$14^2,"")</f>
        <v/>
      </c>
      <c r="T535" s="42">
        <f>IFERROR((_xll.qlBlackFormula(IF(O535&lt;$C$4,"Put","Call"),O535+$C$14,$C$4,$C$10*SQRT($C$7),,$C$11)-
2*_xll.qlBlackFormula(IF(O535&lt;$C$4,"Put","Call"),O535,$C$4,$C$10*SQRT($C$7),,$C$11)+
_xll.qlBlackFormula(IF(O535&lt;$C$4,"Put","Call"),O535-$C$14,$C$4,$C$10*SQRT($C$7),,$C$11))/$C$14^2,"")</f>
        <v>2.1233917402163627</v>
      </c>
      <c r="U535" s="43">
        <f>IFERROR((_xll.qlBachelierBlackFormula(IF(O535&lt;$C$4,"Put","Call"),O535+$C$14,$C$4,$C$12*SQRT($C$7))-
2*_xll.qlBachelierBlackFormula(IF(O535&lt;$C$4,"Put","Call"),O535,$C$4,$C$12*SQRT($C$7))+
_xll.qlBachelierBlackFormula(IF(O535&lt;$C$4,"Put","Call"),O535-$C$14,$C$4,$C$12*SQRT($C$7)))/$C$14^2,"")</f>
        <v>1.530803912450085</v>
      </c>
      <c r="V535" s="61" t="str">
        <f>IFERROR(_xll.qlBachelierBlackFormulaImpliedVol(IF(O535&lt;$C$4,"Put","Call"),O535,$C$4,$C$7,P535),"")</f>
        <v/>
      </c>
      <c r="W535" s="61">
        <f>IFERROR(_xll.qlBachelierBlackFormulaImpliedVol(IF(O535&lt;$C$4,"Put","Call"),O535,$C$4,$C$7,Q535),"")</f>
        <v>8.7129492168214837E-3</v>
      </c>
      <c r="X535" s="61">
        <f>IFERROR(_xll.qlBachelierBlackFormulaImpliedVol(IF(O535&lt;$C$4,"Put","Call"),O535,$C$4,$C$7,R535),"")</f>
        <v>7.2019999997567702E-3</v>
      </c>
      <c r="Y535" s="96">
        <f>_xll.qlSmileSectionVolatility($C$40,O535+$C$31)</f>
        <v>9.97774339906163E-3</v>
      </c>
    </row>
    <row r="536" spans="15:25">
      <c r="O536" s="37">
        <f t="shared" si="9"/>
        <v>4.3100000000000201E-2</v>
      </c>
      <c r="P536" s="38" t="str">
        <f>IFERROR(_xll.qlBlackFormula(IF(O536&lt;$C$4,"Put","Call"),O536,$C$4,$C$9*SQRT($C$7)),"")</f>
        <v/>
      </c>
      <c r="Q536" s="39">
        <f>IFERROR(_xll.qlBlackFormula(IF(O536&lt;$C$4,"Put","Call"),O536,$C$4,$C$10*SQRT($C$7),,$C$11),"")</f>
        <v>1.8667739466170794E-4</v>
      </c>
      <c r="R536" s="40">
        <f>IFERROR(_xll.qlBachelierBlackFormula(IF(O536&lt;$C$4,"Put","Call"),O536,$C$4,$C$12*SQRT($C$7)),"")</f>
        <v>4.8535179682511974E-5</v>
      </c>
      <c r="S536" s="41" t="str">
        <f>IFERROR((_xll.qlBlackFormula(IF(O536&lt;$C$4,"Put","Call"),O536+$C$14,$C$4,$C$9*SQRT($C$7))-
2*_xll.qlBlackFormula(IF(O536&lt;$C$4,"Put","Call"),O536,$C$4,$C$9*SQRT($C$7))+
_xll.qlBlackFormula(IF(O536&lt;$C$4,"Put","Call"),O536-$C$14,$C$4,$C$9*SQRT($C$7)))/$C$14^2,"")</f>
        <v/>
      </c>
      <c r="T536" s="42">
        <f>IFERROR((_xll.qlBlackFormula(IF(O536&lt;$C$4,"Put","Call"),O536+$C$14,$C$4,$C$10*SQRT($C$7),,$C$11)-
2*_xll.qlBlackFormula(IF(O536&lt;$C$4,"Put","Call"),O536,$C$4,$C$10*SQRT($C$7),,$C$11)+
_xll.qlBlackFormula(IF(O536&lt;$C$4,"Put","Call"),O536-$C$14,$C$4,$C$10*SQRT($C$7),,$C$11))/$C$14^2,"")</f>
        <v>2.103172670742115</v>
      </c>
      <c r="U536" s="43">
        <f>IFERROR((_xll.qlBachelierBlackFormula(IF(O536&lt;$C$4,"Put","Call"),O536+$C$14,$C$4,$C$12*SQRT($C$7))-
2*_xll.qlBachelierBlackFormula(IF(O536&lt;$C$4,"Put","Call"),O536,$C$4,$C$12*SQRT($C$7))+
_xll.qlBachelierBlackFormula(IF(O536&lt;$C$4,"Put","Call"),O536-$C$14,$C$4,$C$12*SQRT($C$7)))/$C$14^2,"")</f>
        <v>1.5085061563606394</v>
      </c>
      <c r="V536" s="61" t="str">
        <f>IFERROR(_xll.qlBachelierBlackFormulaImpliedVol(IF(O536&lt;$C$4,"Put","Call"),O536,$C$4,$C$7,P536),"")</f>
        <v/>
      </c>
      <c r="W536" s="61">
        <f>IFERROR(_xll.qlBachelierBlackFormulaImpliedVol(IF(O536&lt;$C$4,"Put","Call"),O536,$C$4,$C$7,Q536),"")</f>
        <v>8.7167082961720176E-3</v>
      </c>
      <c r="X536" s="61">
        <f>IFERROR(_xll.qlBachelierBlackFormulaImpliedVol(IF(O536&lt;$C$4,"Put","Call"),O536,$C$4,$C$7,R536),"")</f>
        <v>7.201999999760544E-3</v>
      </c>
      <c r="Y536" s="96">
        <f>_xll.qlSmileSectionVolatility($C$40,O536+$C$31)</f>
        <v>9.9865521364871871E-3</v>
      </c>
    </row>
    <row r="537" spans="15:25">
      <c r="O537" s="37">
        <f t="shared" si="9"/>
        <v>4.3200000000000204E-2</v>
      </c>
      <c r="P537" s="38" t="str">
        <f>IFERROR(_xll.qlBlackFormula(IF(O537&lt;$C$4,"Put","Call"),O537,$C$4,$C$9*SQRT($C$7)),"")</f>
        <v/>
      </c>
      <c r="Q537" s="39">
        <f>IFERROR(_xll.qlBlackFormula(IF(O537&lt;$C$4,"Put","Call"),O537,$C$4,$C$10*SQRT($C$7),,$C$11),"")</f>
        <v>1.8465340372641071E-4</v>
      </c>
      <c r="R537" s="40">
        <f>IFERROR(_xll.qlBachelierBlackFormula(IF(O537&lt;$C$4,"Put","Call"),O537,$C$4,$C$12*SQRT($C$7)),"")</f>
        <v>4.7643244215094373E-5</v>
      </c>
      <c r="S537" s="41" t="str">
        <f>IFERROR((_xll.qlBlackFormula(IF(O537&lt;$C$4,"Put","Call"),O537+$C$14,$C$4,$C$9*SQRT($C$7))-
2*_xll.qlBlackFormula(IF(O537&lt;$C$4,"Put","Call"),O537,$C$4,$C$9*SQRT($C$7))+
_xll.qlBlackFormula(IF(O537&lt;$C$4,"Put","Call"),O537-$C$14,$C$4,$C$9*SQRT($C$7)))/$C$14^2,"")</f>
        <v/>
      </c>
      <c r="T537" s="42">
        <f>IFERROR((_xll.qlBlackFormula(IF(O537&lt;$C$4,"Put","Call"),O537+$C$14,$C$4,$C$10*SQRT($C$7),,$C$11)-
2*_xll.qlBlackFormula(IF(O537&lt;$C$4,"Put","Call"),O537,$C$4,$C$10*SQRT($C$7),,$C$11)+
_xll.qlBlackFormula(IF(O537&lt;$C$4,"Put","Call"),O537-$C$14,$C$4,$C$10*SQRT($C$7),,$C$11))/$C$14^2,"")</f>
        <v>2.0831123284659192</v>
      </c>
      <c r="U537" s="43">
        <f>IFERROR((_xll.qlBachelierBlackFormula(IF(O537&lt;$C$4,"Put","Call"),O537+$C$14,$C$4,$C$12*SQRT($C$7))-
2*_xll.qlBachelierBlackFormula(IF(O537&lt;$C$4,"Put","Call"),O537,$C$4,$C$12*SQRT($C$7))+
_xll.qlBachelierBlackFormula(IF(O537&lt;$C$4,"Put","Call"),O537-$C$14,$C$4,$C$12*SQRT($C$7)))/$C$14^2,"")</f>
        <v>1.4864796676547498</v>
      </c>
      <c r="V537" s="61" t="str">
        <f>IFERROR(_xll.qlBachelierBlackFormulaImpliedVol(IF(O537&lt;$C$4,"Put","Call"),O537,$C$4,$C$7,P537),"")</f>
        <v/>
      </c>
      <c r="W537" s="61">
        <f>IFERROR(_xll.qlBachelierBlackFormulaImpliedVol(IF(O537&lt;$C$4,"Put","Call"),O537,$C$4,$C$7,Q537),"")</f>
        <v>8.7204664191462625E-3</v>
      </c>
      <c r="X537" s="61">
        <f>IFERROR(_xll.qlBachelierBlackFormulaImpliedVol(IF(O537&lt;$C$4,"Put","Call"),O537,$C$4,$C$7,R537),"")</f>
        <v>7.2019999997650309E-3</v>
      </c>
      <c r="Y537" s="96">
        <f>_xll.qlSmileSectionVolatility($C$40,O537+$C$31)</f>
        <v>9.9953636546514582E-3</v>
      </c>
    </row>
    <row r="538" spans="15:25">
      <c r="O538" s="37">
        <f t="shared" si="9"/>
        <v>4.3300000000000206E-2</v>
      </c>
      <c r="P538" s="38" t="str">
        <f>IFERROR(_xll.qlBlackFormula(IF(O538&lt;$C$4,"Put","Call"),O538,$C$4,$C$9*SQRT($C$7)),"")</f>
        <v/>
      </c>
      <c r="Q538" s="39">
        <f>IFERROR(_xll.qlBlackFormula(IF(O538&lt;$C$4,"Put","Call"),O538,$C$4,$C$10*SQRT($C$7),,$C$11),"")</f>
        <v>1.8265024406418978E-4</v>
      </c>
      <c r="R538" s="40">
        <f>IFERROR(_xll.qlBachelierBlackFormula(IF(O538&lt;$C$4,"Put","Call"),O538,$C$4,$C$12*SQRT($C$7)),"")</f>
        <v>4.6766173758522171E-5</v>
      </c>
      <c r="S538" s="41" t="str">
        <f>IFERROR((_xll.qlBlackFormula(IF(O538&lt;$C$4,"Put","Call"),O538+$C$14,$C$4,$C$9*SQRT($C$7))-
2*_xll.qlBlackFormula(IF(O538&lt;$C$4,"Put","Call"),O538,$C$4,$C$9*SQRT($C$7))+
_xll.qlBlackFormula(IF(O538&lt;$C$4,"Put","Call"),O538-$C$14,$C$4,$C$9*SQRT($C$7)))/$C$14^2,"")</f>
        <v/>
      </c>
      <c r="T538" s="42">
        <f>IFERROR((_xll.qlBlackFormula(IF(O538&lt;$C$4,"Put","Call"),O538+$C$14,$C$4,$C$10*SQRT($C$7),,$C$11)-
2*_xll.qlBlackFormula(IF(O538&lt;$C$4,"Put","Call"),O538,$C$4,$C$10*SQRT($C$7),,$C$11)+
_xll.qlBlackFormula(IF(O538&lt;$C$4,"Put","Call"),O538-$C$14,$C$4,$C$10*SQRT($C$7),,$C$11))/$C$14^2,"")</f>
        <v>2.063229795346011</v>
      </c>
      <c r="U538" s="43">
        <f>IFERROR((_xll.qlBachelierBlackFormula(IF(O538&lt;$C$4,"Put","Call"),O538+$C$14,$C$4,$C$12*SQRT($C$7))-
2*_xll.qlBachelierBlackFormula(IF(O538&lt;$C$4,"Put","Call"),O538,$C$4,$C$12*SQRT($C$7))+
_xll.qlBachelierBlackFormula(IF(O538&lt;$C$4,"Put","Call"),O538-$C$14,$C$4,$C$12*SQRT($C$7)))/$C$14^2,"")</f>
        <v>1.4647170737576432</v>
      </c>
      <c r="V538" s="61" t="str">
        <f>IFERROR(_xll.qlBachelierBlackFormulaImpliedVol(IF(O538&lt;$C$4,"Put","Call"),O538,$C$4,$C$7,P538),"")</f>
        <v/>
      </c>
      <c r="W538" s="61">
        <f>IFERROR(_xll.qlBachelierBlackFormulaImpliedVol(IF(O538&lt;$C$4,"Put","Call"),O538,$C$4,$C$7,Q538),"")</f>
        <v>8.7242235868940955E-3</v>
      </c>
      <c r="X538" s="61">
        <f>IFERROR(_xll.qlBachelierBlackFormulaImpliedVol(IF(O538&lt;$C$4,"Put","Call"),O538,$C$4,$C$7,R538),"")</f>
        <v>7.2019999997700373E-3</v>
      </c>
      <c r="Y538" s="96">
        <f>_xll.qlSmileSectionVolatility($C$40,O538+$C$31)</f>
        <v>1.0004177932054019E-2</v>
      </c>
    </row>
    <row r="539" spans="15:25">
      <c r="O539" s="37">
        <f t="shared" si="9"/>
        <v>4.3400000000000209E-2</v>
      </c>
      <c r="P539" s="38" t="str">
        <f>IFERROR(_xll.qlBlackFormula(IF(O539&lt;$C$4,"Put","Call"),O539,$C$4,$C$9*SQRT($C$7)),"")</f>
        <v/>
      </c>
      <c r="Q539" s="39">
        <f>IFERROR(_xll.qlBlackFormula(IF(O539&lt;$C$4,"Put","Call"),O539,$C$4,$C$10*SQRT($C$7),,$C$11),"")</f>
        <v>1.8066771684786603E-4</v>
      </c>
      <c r="R539" s="40">
        <f>IFERROR(_xll.qlBachelierBlackFormula(IF(O539&lt;$C$4,"Put","Call"),O539,$C$4,$C$12*SQRT($C$7)),"")</f>
        <v>4.5903750682702276E-5</v>
      </c>
      <c r="S539" s="41" t="str">
        <f>IFERROR((_xll.qlBlackFormula(IF(O539&lt;$C$4,"Put","Call"),O539+$C$14,$C$4,$C$9*SQRT($C$7))-
2*_xll.qlBlackFormula(IF(O539&lt;$C$4,"Put","Call"),O539,$C$4,$C$9*SQRT($C$7))+
_xll.qlBlackFormula(IF(O539&lt;$C$4,"Put","Call"),O539-$C$14,$C$4,$C$9*SQRT($C$7)))/$C$14^2,"")</f>
        <v/>
      </c>
      <c r="T539" s="42">
        <f>IFERROR((_xll.qlBlackFormula(IF(O539&lt;$C$4,"Put","Call"),O539+$C$14,$C$4,$C$10*SQRT($C$7),,$C$11)-
2*_xll.qlBlackFormula(IF(O539&lt;$C$4,"Put","Call"),O539,$C$4,$C$10*SQRT($C$7),,$C$11)+
_xll.qlBlackFormula(IF(O539&lt;$C$4,"Put","Call"),O539-$C$14,$C$4,$C$10*SQRT($C$7),,$C$11))/$C$14^2,"")</f>
        <v>2.0435207345737005</v>
      </c>
      <c r="U539" s="43">
        <f>IFERROR((_xll.qlBachelierBlackFormula(IF(O539&lt;$C$4,"Put","Call"),O539+$C$14,$C$4,$C$12*SQRT($C$7))-
2*_xll.qlBachelierBlackFormula(IF(O539&lt;$C$4,"Put","Call"),O539,$C$4,$C$12*SQRT($C$7))+
_xll.qlBachelierBlackFormula(IF(O539&lt;$C$4,"Put","Call"),O539-$C$14,$C$4,$C$12*SQRT($C$7)))/$C$14^2,"")</f>
        <v>1.443213387339326</v>
      </c>
      <c r="V539" s="61" t="str">
        <f>IFERROR(_xll.qlBachelierBlackFormulaImpliedVol(IF(O539&lt;$C$4,"Put","Call"),O539,$C$4,$C$7,P539),"")</f>
        <v/>
      </c>
      <c r="W539" s="61">
        <f>IFERROR(_xll.qlBachelierBlackFormulaImpliedVol(IF(O539&lt;$C$4,"Put","Call"),O539,$C$4,$C$7,Q539),"")</f>
        <v>8.727979800562868E-3</v>
      </c>
      <c r="X539" s="61">
        <f>IFERROR(_xll.qlBachelierBlackFormulaImpliedVol(IF(O539&lt;$C$4,"Put","Call"),O539,$C$4,$C$7,R539),"")</f>
        <v>7.2019999997757324E-3</v>
      </c>
      <c r="Y539" s="96">
        <f>_xll.qlSmileSectionVolatility($C$40,O539+$C$31)</f>
        <v>1.0012994947330081E-2</v>
      </c>
    </row>
    <row r="540" spans="15:25">
      <c r="O540" s="37">
        <f t="shared" si="9"/>
        <v>4.3500000000000212E-2</v>
      </c>
      <c r="P540" s="38" t="str">
        <f>IFERROR(_xll.qlBlackFormula(IF(O540&lt;$C$4,"Put","Call"),O540,$C$4,$C$9*SQRT($C$7)),"")</f>
        <v/>
      </c>
      <c r="Q540" s="39">
        <f>IFERROR(_xll.qlBlackFormula(IF(O540&lt;$C$4,"Put","Call"),O540,$C$4,$C$10*SQRT($C$7),,$C$11),"")</f>
        <v>1.7870562493371754E-4</v>
      </c>
      <c r="R540" s="40">
        <f>IFERROR(_xll.qlBachelierBlackFormula(IF(O540&lt;$C$4,"Put","Call"),O540,$C$4,$C$12*SQRT($C$7)),"")</f>
        <v>4.5055759987234015E-5</v>
      </c>
      <c r="S540" s="41" t="str">
        <f>IFERROR((_xll.qlBlackFormula(IF(O540&lt;$C$4,"Put","Call"),O540+$C$14,$C$4,$C$9*SQRT($C$7))-
2*_xll.qlBlackFormula(IF(O540&lt;$C$4,"Put","Call"),O540,$C$4,$C$9*SQRT($C$7))+
_xll.qlBlackFormula(IF(O540&lt;$C$4,"Put","Call"),O540-$C$14,$C$4,$C$9*SQRT($C$7)))/$C$14^2,"")</f>
        <v/>
      </c>
      <c r="T540" s="42">
        <f>IFERROR((_xll.qlBlackFormula(IF(O540&lt;$C$4,"Put","Call"),O540+$C$14,$C$4,$C$10*SQRT($C$7),,$C$11)-
2*_xll.qlBlackFormula(IF(O540&lt;$C$4,"Put","Call"),O540,$C$4,$C$10*SQRT($C$7),,$C$11)+
_xll.qlBlackFormula(IF(O540&lt;$C$4,"Put","Call"),O540-$C$14,$C$4,$C$10*SQRT($C$7),,$C$11))/$C$14^2,"")</f>
        <v>2.023961293701193</v>
      </c>
      <c r="U540" s="43">
        <f>IFERROR((_xll.qlBachelierBlackFormula(IF(O540&lt;$C$4,"Put","Call"),O540+$C$14,$C$4,$C$12*SQRT($C$7))-
2*_xll.qlBachelierBlackFormula(IF(O540&lt;$C$4,"Put","Call"),O540,$C$4,$C$12*SQRT($C$7))+
_xll.qlBachelierBlackFormula(IF(O540&lt;$C$4,"Put","Call"),O540-$C$14,$C$4,$C$12*SQRT($C$7)))/$C$14^2,"")</f>
        <v>1.4219780409586991</v>
      </c>
      <c r="V540" s="61" t="str">
        <f>IFERROR(_xll.qlBachelierBlackFormulaImpliedVol(IF(O540&lt;$C$4,"Put","Call"),O540,$C$4,$C$7,P540),"")</f>
        <v/>
      </c>
      <c r="W540" s="61">
        <f>IFERROR(_xll.qlBachelierBlackFormulaImpliedVol(IF(O540&lt;$C$4,"Put","Call"),O540,$C$4,$C$7,Q540),"")</f>
        <v>8.7317350612978947E-3</v>
      </c>
      <c r="X540" s="61">
        <f>IFERROR(_xll.qlBachelierBlackFormulaImpliedVol(IF(O540&lt;$C$4,"Put","Call"),O540,$C$4,$C$7,R540),"")</f>
        <v>7.2019999997819661E-3</v>
      </c>
      <c r="Y540" s="96">
        <f>_xll.qlSmileSectionVolatility($C$40,O540+$C$31)</f>
        <v>1.0021814679249709E-2</v>
      </c>
    </row>
    <row r="541" spans="15:25">
      <c r="O541" s="37">
        <f t="shared" si="9"/>
        <v>4.3600000000000215E-2</v>
      </c>
      <c r="P541" s="38" t="str">
        <f>IFERROR(_xll.qlBlackFormula(IF(O541&lt;$C$4,"Put","Call"),O541,$C$4,$C$9*SQRT($C$7)),"")</f>
        <v/>
      </c>
      <c r="Q541" s="39">
        <f>IFERROR(_xll.qlBlackFormula(IF(O541&lt;$C$4,"Put","Call"),O541,$C$4,$C$10*SQRT($C$7),,$C$11),"")</f>
        <v>1.7676377285006989E-4</v>
      </c>
      <c r="R541" s="40">
        <f>IFERROR(_xll.qlBachelierBlackFormula(IF(O541&lt;$C$4,"Put","Call"),O541,$C$4,$C$12*SQRT($C$7)),"")</f>
        <v>4.4221989279274922E-5</v>
      </c>
      <c r="S541" s="41" t="str">
        <f>IFERROR((_xll.qlBlackFormula(IF(O541&lt;$C$4,"Put","Call"),O541+$C$14,$C$4,$C$9*SQRT($C$7))-
2*_xll.qlBlackFormula(IF(O541&lt;$C$4,"Put","Call"),O541,$C$4,$C$9*SQRT($C$7))+
_xll.qlBlackFormula(IF(O541&lt;$C$4,"Put","Call"),O541-$C$14,$C$4,$C$9*SQRT($C$7)))/$C$14^2,"")</f>
        <v/>
      </c>
      <c r="T541" s="42">
        <f>IFERROR((_xll.qlBlackFormula(IF(O541&lt;$C$4,"Put","Call"),O541+$C$14,$C$4,$C$10*SQRT($C$7),,$C$11)-
2*_xll.qlBlackFormula(IF(O541&lt;$C$4,"Put","Call"),O541,$C$4,$C$10*SQRT($C$7),,$C$11)+
_xll.qlBlackFormula(IF(O541&lt;$C$4,"Put","Call"),O541-$C$14,$C$4,$C$10*SQRT($C$7),,$C$11))/$C$14^2,"")</f>
        <v>2.0045857335171391</v>
      </c>
      <c r="U541" s="43">
        <f>IFERROR((_xll.qlBachelierBlackFormula(IF(O541&lt;$C$4,"Put","Call"),O541+$C$14,$C$4,$C$12*SQRT($C$7))-
2*_xll.qlBachelierBlackFormula(IF(O541&lt;$C$4,"Put","Call"),O541,$C$4,$C$12*SQRT($C$7))+
_xll.qlBachelierBlackFormula(IF(O541&lt;$C$4,"Put","Call"),O541-$C$14,$C$4,$C$12*SQRT($C$7)))/$C$14^2,"")</f>
        <v>1.4009974278784976</v>
      </c>
      <c r="V541" s="61" t="str">
        <f>IFERROR(_xll.qlBachelierBlackFormulaImpliedVol(IF(O541&lt;$C$4,"Put","Call"),O541,$C$4,$C$7,P541),"")</f>
        <v/>
      </c>
      <c r="W541" s="61">
        <f>IFERROR(_xll.qlBachelierBlackFormulaImpliedVol(IF(O541&lt;$C$4,"Put","Call"),O541,$C$4,$C$7,Q541),"")</f>
        <v>8.7354893702417877E-3</v>
      </c>
      <c r="X541" s="61">
        <f>IFERROR(_xll.qlBachelierBlackFormulaImpliedVol(IF(O541&lt;$C$4,"Put","Call"),O541,$C$4,$C$7,R541),"")</f>
        <v>7.2019999997888313E-3</v>
      </c>
      <c r="Y541" s="96">
        <f>_xll.qlSmileSectionVolatility($C$40,O541+$C$31)</f>
        <v>1.0030637106716912E-2</v>
      </c>
    </row>
    <row r="542" spans="15:25">
      <c r="O542" s="37">
        <f t="shared" si="9"/>
        <v>4.3700000000000218E-2</v>
      </c>
      <c r="P542" s="38" t="str">
        <f>IFERROR(_xll.qlBlackFormula(IF(O542&lt;$C$4,"Put","Call"),O542,$C$4,$C$9*SQRT($C$7)),"")</f>
        <v/>
      </c>
      <c r="Q542" s="39">
        <f>IFERROR(_xll.qlBlackFormula(IF(O542&lt;$C$4,"Put","Call"),O542,$C$4,$C$10*SQRT($C$7),,$C$11),"")</f>
        <v>1.7484196678609586E-4</v>
      </c>
      <c r="R542" s="40">
        <f>IFERROR(_xll.qlBachelierBlackFormula(IF(O542&lt;$C$4,"Put","Call"),O542,$C$4,$C$12*SQRT($C$7)),"")</f>
        <v>4.340222875141717E-5</v>
      </c>
      <c r="S542" s="41" t="str">
        <f>IFERROR((_xll.qlBlackFormula(IF(O542&lt;$C$4,"Put","Call"),O542+$C$14,$C$4,$C$9*SQRT($C$7))-
2*_xll.qlBlackFormula(IF(O542&lt;$C$4,"Put","Call"),O542,$C$4,$C$9*SQRT($C$7))+
_xll.qlBlackFormula(IF(O542&lt;$C$4,"Put","Call"),O542-$C$14,$C$4,$C$9*SQRT($C$7)))/$C$14^2,"")</f>
        <v/>
      </c>
      <c r="T542" s="42">
        <f>IFERROR((_xll.qlBlackFormula(IF(O542&lt;$C$4,"Put","Call"),O542+$C$14,$C$4,$C$10*SQRT($C$7),,$C$11)-
2*_xll.qlBlackFormula(IF(O542&lt;$C$4,"Put","Call"),O542,$C$4,$C$10*SQRT($C$7),,$C$11)+
_xll.qlBlackFormula(IF(O542&lt;$C$4,"Put","Call"),O542-$C$14,$C$4,$C$10*SQRT($C$7),,$C$11))/$C$14^2,"")</f>
        <v>1.985370635254613</v>
      </c>
      <c r="U542" s="43">
        <f>IFERROR((_xll.qlBachelierBlackFormula(IF(O542&lt;$C$4,"Put","Call"),O542+$C$14,$C$4,$C$12*SQRT($C$7))-
2*_xll.qlBachelierBlackFormula(IF(O542&lt;$C$4,"Put","Call"),O542,$C$4,$C$12*SQRT($C$7))+
_xll.qlBachelierBlackFormula(IF(O542&lt;$C$4,"Put","Call"),O542-$C$14,$C$4,$C$12*SQRT($C$7)))/$C$14^2,"")</f>
        <v>1.3802737165030665</v>
      </c>
      <c r="V542" s="61" t="str">
        <f>IFERROR(_xll.qlBachelierBlackFormulaImpliedVol(IF(O542&lt;$C$4,"Put","Call"),O542,$C$4,$C$7,P542),"")</f>
        <v/>
      </c>
      <c r="W542" s="61">
        <f>IFERROR(_xll.qlBachelierBlackFormulaImpliedVol(IF(O542&lt;$C$4,"Put","Call"),O542,$C$4,$C$7,Q542),"")</f>
        <v>8.7392427285351727E-3</v>
      </c>
      <c r="X542" s="61">
        <f>IFERROR(_xll.qlBachelierBlackFormulaImpliedVol(IF(O542&lt;$C$4,"Put","Call"),O542,$C$4,$C$7,R542),"")</f>
        <v>7.2019999997964173E-3</v>
      </c>
      <c r="Y542" s="96">
        <f>_xll.qlSmileSectionVolatility($C$40,O542+$C$31)</f>
        <v>1.0039462208768894E-2</v>
      </c>
    </row>
    <row r="543" spans="15:25">
      <c r="O543" s="37">
        <f t="shared" si="9"/>
        <v>4.3800000000000221E-2</v>
      </c>
      <c r="P543" s="38" t="str">
        <f>IFERROR(_xll.qlBlackFormula(IF(O543&lt;$C$4,"Put","Call"),O543,$C$4,$C$9*SQRT($C$7)),"")</f>
        <v/>
      </c>
      <c r="Q543" s="39">
        <f>IFERROR(_xll.qlBlackFormula(IF(O543&lt;$C$4,"Put","Call"),O543,$C$4,$C$10*SQRT($C$7),,$C$11),"")</f>
        <v>1.7294001458048602E-4</v>
      </c>
      <c r="R543" s="40">
        <f>IFERROR(_xll.qlBachelierBlackFormula(IF(O543&lt;$C$4,"Put","Call"),O543,$C$4,$C$12*SQRT($C$7)),"")</f>
        <v>4.2596271159604587E-5</v>
      </c>
      <c r="S543" s="41" t="str">
        <f>IFERROR((_xll.qlBlackFormula(IF(O543&lt;$C$4,"Put","Call"),O543+$C$14,$C$4,$C$9*SQRT($C$7))-
2*_xll.qlBlackFormula(IF(O543&lt;$C$4,"Put","Call"),O543,$C$4,$C$9*SQRT($C$7))+
_xll.qlBlackFormula(IF(O543&lt;$C$4,"Put","Call"),O543-$C$14,$C$4,$C$9*SQRT($C$7)))/$C$14^2,"")</f>
        <v/>
      </c>
      <c r="T543" s="42">
        <f>IFERROR((_xll.qlBlackFormula(IF(O543&lt;$C$4,"Put","Call"),O543+$C$14,$C$4,$C$10*SQRT($C$7),,$C$11)-
2*_xll.qlBlackFormula(IF(O543&lt;$C$4,"Put","Call"),O543,$C$4,$C$10*SQRT($C$7),,$C$11)+
_xll.qlBlackFormula(IF(O543&lt;$C$4,"Put","Call"),O543-$C$14,$C$4,$C$10*SQRT($C$7),,$C$11))/$C$14^2,"")</f>
        <v>1.9663268409353396</v>
      </c>
      <c r="U543" s="43">
        <f>IFERROR((_xll.qlBachelierBlackFormula(IF(O543&lt;$C$4,"Put","Call"),O543+$C$14,$C$4,$C$12*SQRT($C$7))-
2*_xll.qlBachelierBlackFormula(IF(O543&lt;$C$4,"Put","Call"),O543,$C$4,$C$12*SQRT($C$7))+
_xll.qlBachelierBlackFormula(IF(O543&lt;$C$4,"Put","Call"),O543-$C$14,$C$4,$C$12*SQRT($C$7)))/$C$14^2,"")</f>
        <v>1.3598006726699141</v>
      </c>
      <c r="V543" s="61" t="str">
        <f>IFERROR(_xll.qlBachelierBlackFormulaImpliedVol(IF(O543&lt;$C$4,"Put","Call"),O543,$C$4,$C$7,P543),"")</f>
        <v/>
      </c>
      <c r="W543" s="61">
        <f>IFERROR(_xll.qlBachelierBlackFormulaImpliedVol(IF(O543&lt;$C$4,"Put","Call"),O543,$C$4,$C$7,Q543),"")</f>
        <v>8.7429951373160716E-3</v>
      </c>
      <c r="X543" s="61">
        <f>IFERROR(_xll.qlBachelierBlackFormulaImpliedVol(IF(O543&lt;$C$4,"Put","Call"),O543,$C$4,$C$7,R543),"")</f>
        <v>7.2019999998045219E-3</v>
      </c>
      <c r="Y543" s="96">
        <f>_xll.qlSmileSectionVolatility($C$40,O543+$C$31)</f>
        <v>1.0048289964575177E-2</v>
      </c>
    </row>
    <row r="544" spans="15:25">
      <c r="O544" s="37">
        <f t="shared" si="9"/>
        <v>4.3900000000000224E-2</v>
      </c>
      <c r="P544" s="38" t="str">
        <f>IFERROR(_xll.qlBlackFormula(IF(O544&lt;$C$4,"Put","Call"),O544,$C$4,$C$9*SQRT($C$7)),"")</f>
        <v/>
      </c>
      <c r="Q544" s="39">
        <f>IFERROR(_xll.qlBlackFormula(IF(O544&lt;$C$4,"Put","Call"),O544,$C$4,$C$10*SQRT($C$7),,$C$11),"")</f>
        <v>1.7105772571028056E-4</v>
      </c>
      <c r="R544" s="40">
        <f>IFERROR(_xll.qlBachelierBlackFormula(IF(O544&lt;$C$4,"Put","Call"),O544,$C$4,$C$12*SQRT($C$7)),"")</f>
        <v>4.180391180107413E-5</v>
      </c>
      <c r="S544" s="41" t="str">
        <f>IFERROR((_xll.qlBlackFormula(IF(O544&lt;$C$4,"Put","Call"),O544+$C$14,$C$4,$C$9*SQRT($C$7))-
2*_xll.qlBlackFormula(IF(O544&lt;$C$4,"Put","Call"),O544,$C$4,$C$9*SQRT($C$7))+
_xll.qlBlackFormula(IF(O544&lt;$C$4,"Put","Call"),O544-$C$14,$C$4,$C$9*SQRT($C$7)))/$C$14^2,"")</f>
        <v/>
      </c>
      <c r="T544" s="42">
        <f>IFERROR((_xll.qlBlackFormula(IF(O544&lt;$C$4,"Put","Call"),O544+$C$14,$C$4,$C$10*SQRT($C$7),,$C$11)-
2*_xll.qlBlackFormula(IF(O544&lt;$C$4,"Put","Call"),O544,$C$4,$C$10*SQRT($C$7),,$C$11)+
_xll.qlBlackFormula(IF(O544&lt;$C$4,"Put","Call"),O544-$C$14,$C$4,$C$10*SQRT($C$7),,$C$11))/$C$14^2,"")</f>
        <v>1.9474291970689173</v>
      </c>
      <c r="U544" s="43">
        <f>IFERROR((_xll.qlBachelierBlackFormula(IF(O544&lt;$C$4,"Put","Call"),O544+$C$14,$C$4,$C$12*SQRT($C$7))-
2*_xll.qlBachelierBlackFormula(IF(O544&lt;$C$4,"Put","Call"),O544,$C$4,$C$12*SQRT($C$7))+
_xll.qlBachelierBlackFormula(IF(O544&lt;$C$4,"Put","Call"),O544-$C$14,$C$4,$C$12*SQRT($C$7)))/$C$14^2,"")</f>
        <v>1.3395844221213149</v>
      </c>
      <c r="V544" s="61" t="str">
        <f>IFERROR(_xll.qlBachelierBlackFormulaImpliedVol(IF(O544&lt;$C$4,"Put","Call"),O544,$C$4,$C$7,P544),"")</f>
        <v/>
      </c>
      <c r="W544" s="61">
        <f>IFERROR(_xll.qlBachelierBlackFormulaImpliedVol(IF(O544&lt;$C$4,"Put","Call"),O544,$C$4,$C$7,Q544),"")</f>
        <v>8.7467465977204423E-3</v>
      </c>
      <c r="X544" s="61">
        <f>IFERROR(_xll.qlBachelierBlackFormulaImpliedVol(IF(O544&lt;$C$4,"Put","Call"),O544,$C$4,$C$7,R544),"")</f>
        <v>7.2019999998133273E-3</v>
      </c>
      <c r="Y544" s="96">
        <f>_xll.qlSmileSectionVolatility($C$40,O544+$C$31)</f>
        <v>1.0057120353436814E-2</v>
      </c>
    </row>
    <row r="545" spans="15:25">
      <c r="O545" s="37">
        <f t="shared" si="9"/>
        <v>4.4000000000000226E-2</v>
      </c>
      <c r="P545" s="38" t="str">
        <f>IFERROR(_xll.qlBlackFormula(IF(O545&lt;$C$4,"Put","Call"),O545,$C$4,$C$9*SQRT($C$7)),"")</f>
        <v/>
      </c>
      <c r="Q545" s="39">
        <f>IFERROR(_xll.qlBlackFormula(IF(O545&lt;$C$4,"Put","Call"),O545,$C$4,$C$10*SQRT($C$7),,$C$11),"")</f>
        <v>1.6919491127965168E-4</v>
      </c>
      <c r="R545" s="40">
        <f>IFERROR(_xll.qlBachelierBlackFormula(IF(O545&lt;$C$4,"Put","Call"),O545,$C$4,$C$12*SQRT($C$7)),"")</f>
        <v>4.1024948492344093E-5</v>
      </c>
      <c r="S545" s="41" t="str">
        <f>IFERROR((_xll.qlBlackFormula(IF(O545&lt;$C$4,"Put","Call"),O545+$C$14,$C$4,$C$9*SQRT($C$7))-
2*_xll.qlBlackFormula(IF(O545&lt;$C$4,"Put","Call"),O545,$C$4,$C$9*SQRT($C$7))+
_xll.qlBlackFormula(IF(O545&lt;$C$4,"Put","Call"),O545-$C$14,$C$4,$C$9*SQRT($C$7)))/$C$14^2,"")</f>
        <v/>
      </c>
      <c r="T545" s="42">
        <f>IFERROR((_xll.qlBlackFormula(IF(O545&lt;$C$4,"Put","Call"),O545+$C$14,$C$4,$C$10*SQRT($C$7),,$C$11)-
2*_xll.qlBlackFormula(IF(O545&lt;$C$4,"Put","Call"),O545,$C$4,$C$10*SQRT($C$7),,$C$11)+
_xll.qlBlackFormula(IF(O545&lt;$C$4,"Put","Call"),O545-$C$14,$C$4,$C$10*SQRT($C$7),,$C$11))/$C$14^2,"")</f>
        <v>1.9287163012526864</v>
      </c>
      <c r="U545" s="43">
        <f>IFERROR((_xll.qlBachelierBlackFormula(IF(O545&lt;$C$4,"Put","Call"),O545+$C$14,$C$4,$C$12*SQRT($C$7))-
2*_xll.qlBachelierBlackFormula(IF(O545&lt;$C$4,"Put","Call"),O545,$C$4,$C$12*SQRT($C$7))+
_xll.qlBachelierBlackFormula(IF(O545&lt;$C$4,"Put","Call"),O545-$C$14,$C$4,$C$12*SQRT($C$7)))/$C$14^2,"")</f>
        <v>1.3196148817770648</v>
      </c>
      <c r="V545" s="61" t="str">
        <f>IFERROR(_xll.qlBachelierBlackFormulaImpliedVol(IF(O545&lt;$C$4,"Put","Call"),O545,$C$4,$C$7,P545),"")</f>
        <v/>
      </c>
      <c r="W545" s="61">
        <f>IFERROR(_xll.qlBachelierBlackFormulaImpliedVol(IF(O545&lt;$C$4,"Put","Call"),O545,$C$4,$C$7,Q545),"")</f>
        <v>8.7504971108818188E-3</v>
      </c>
      <c r="X545" s="61">
        <f>IFERROR(_xll.qlBachelierBlackFormulaImpliedVol(IF(O545&lt;$C$4,"Put","Call"),O545,$C$4,$C$7,R545),"")</f>
        <v>7.2019999998226784E-3</v>
      </c>
      <c r="Y545" s="96">
        <f>_xll.qlSmileSectionVolatility($C$40,O545+$C$31)</f>
        <v>1.0065953354785554E-2</v>
      </c>
    </row>
    <row r="546" spans="15:25">
      <c r="O546" s="37">
        <f t="shared" si="9"/>
        <v>4.4100000000000229E-2</v>
      </c>
      <c r="P546" s="38" t="str">
        <f>IFERROR(_xll.qlBlackFormula(IF(O546&lt;$C$4,"Put","Call"),O546,$C$4,$C$9*SQRT($C$7)),"")</f>
        <v/>
      </c>
      <c r="Q546" s="39">
        <f>IFERROR(_xll.qlBlackFormula(IF(O546&lt;$C$4,"Put","Call"),O546,$C$4,$C$10*SQRT($C$7),,$C$11),"")</f>
        <v>1.6735138400879616E-4</v>
      </c>
      <c r="R546" s="40">
        <f>IFERROR(_xll.qlBachelierBlackFormula(IF(O546&lt;$C$4,"Put","Call"),O546,$C$4,$C$12*SQRT($C$7)),"")</f>
        <v>4.0259181547226154E-5</v>
      </c>
      <c r="S546" s="41" t="str">
        <f>IFERROR((_xll.qlBlackFormula(IF(O546&lt;$C$4,"Put","Call"),O546+$C$14,$C$4,$C$9*SQRT($C$7))-
2*_xll.qlBlackFormula(IF(O546&lt;$C$4,"Put","Call"),O546,$C$4,$C$9*SQRT($C$7))+
_xll.qlBlackFormula(IF(O546&lt;$C$4,"Put","Call"),O546-$C$14,$C$4,$C$9*SQRT($C$7)))/$C$14^2,"")</f>
        <v/>
      </c>
      <c r="T546" s="42">
        <f>IFERROR((_xll.qlBlackFormula(IF(O546&lt;$C$4,"Put","Call"),O546+$C$14,$C$4,$C$10*SQRT($C$7),,$C$11)-
2*_xll.qlBlackFormula(IF(O546&lt;$C$4,"Put","Call"),O546,$C$4,$C$10*SQRT($C$7),,$C$11)+
_xll.qlBlackFormula(IF(O546&lt;$C$4,"Put","Call"),O546-$C$14,$C$4,$C$10*SQRT($C$7),,$C$11))/$C$14^2,"")</f>
        <v>1.910125703441512</v>
      </c>
      <c r="U546" s="43">
        <f>IFERROR((_xll.qlBachelierBlackFormula(IF(O546&lt;$C$4,"Put","Call"),O546+$C$14,$C$4,$C$12*SQRT($C$7))-
2*_xll.qlBachelierBlackFormula(IF(O546&lt;$C$4,"Put","Call"),O546,$C$4,$C$12*SQRT($C$7))+
_xll.qlBachelierBlackFormula(IF(O546&lt;$C$4,"Put","Call"),O546-$C$14,$C$4,$C$12*SQRT($C$7)))/$C$14^2,"")</f>
        <v>1.2998950874032467</v>
      </c>
      <c r="V546" s="61" t="str">
        <f>IFERROR(_xll.qlBachelierBlackFormulaImpliedVol(IF(O546&lt;$C$4,"Put","Call"),O546,$C$4,$C$7,P546),"")</f>
        <v/>
      </c>
      <c r="W546" s="61">
        <f>IFERROR(_xll.qlBachelierBlackFormulaImpliedVol(IF(O546&lt;$C$4,"Put","Call"),O546,$C$4,$C$7,Q546),"")</f>
        <v>8.7542466779314682E-3</v>
      </c>
      <c r="X546" s="61">
        <f>IFERROR(_xll.qlBachelierBlackFormulaImpliedVol(IF(O546&lt;$C$4,"Put","Call"),O546,$C$4,$C$7,R546),"")</f>
        <v>7.2019999998327103E-3</v>
      </c>
      <c r="Y546" s="96">
        <f>_xll.qlSmileSectionVolatility($C$40,O546+$C$31)</f>
        <v>1.0074788948183045E-2</v>
      </c>
    </row>
    <row r="547" spans="15:25">
      <c r="O547" s="37">
        <f t="shared" si="9"/>
        <v>4.4200000000000232E-2</v>
      </c>
      <c r="P547" s="38" t="str">
        <f>IFERROR(_xll.qlBlackFormula(IF(O547&lt;$C$4,"Put","Call"),O547,$C$4,$C$9*SQRT($C$7)),"")</f>
        <v/>
      </c>
      <c r="Q547" s="39">
        <f>IFERROR(_xll.qlBlackFormula(IF(O547&lt;$C$4,"Put","Call"),O547,$C$4,$C$10*SQRT($C$7),,$C$11),"")</f>
        <v>1.6552695822277591E-4</v>
      </c>
      <c r="R547" s="40">
        <f>IFERROR(_xll.qlBachelierBlackFormula(IF(O547&lt;$C$4,"Put","Call"),O547,$C$4,$C$12*SQRT($C$7)),"")</f>
        <v>3.9506413754884599E-5</v>
      </c>
      <c r="S547" s="41" t="str">
        <f>IFERROR((_xll.qlBlackFormula(IF(O547&lt;$C$4,"Put","Call"),O547+$C$14,$C$4,$C$9*SQRT($C$7))-
2*_xll.qlBlackFormula(IF(O547&lt;$C$4,"Put","Call"),O547,$C$4,$C$9*SQRT($C$7))+
_xll.qlBlackFormula(IF(O547&lt;$C$4,"Put","Call"),O547-$C$14,$C$4,$C$9*SQRT($C$7)))/$C$14^2,"")</f>
        <v/>
      </c>
      <c r="T547" s="42">
        <f>IFERROR((_xll.qlBlackFormula(IF(O547&lt;$C$4,"Put","Call"),O547+$C$14,$C$4,$C$10*SQRT($C$7),,$C$11)-
2*_xll.qlBlackFormula(IF(O547&lt;$C$4,"Put","Call"),O547,$C$4,$C$10*SQRT($C$7),,$C$11)+
_xll.qlBlackFormula(IF(O547&lt;$C$4,"Put","Call"),O547-$C$14,$C$4,$C$10*SQRT($C$7),,$C$11))/$C$14^2,"")</f>
        <v>1.8917302620213849</v>
      </c>
      <c r="U547" s="43">
        <f>IFERROR((_xll.qlBachelierBlackFormula(IF(O547&lt;$C$4,"Put","Call"),O547+$C$14,$C$4,$C$12*SQRT($C$7))-
2*_xll.qlBachelierBlackFormula(IF(O547&lt;$C$4,"Put","Call"),O547,$C$4,$C$12*SQRT($C$7))+
_xll.qlBachelierBlackFormula(IF(O547&lt;$C$4,"Put","Call"),O547-$C$14,$C$4,$C$12*SQRT($C$7)))/$C$14^2,"")</f>
        <v>1.2804207021911707</v>
      </c>
      <c r="V547" s="61" t="str">
        <f>IFERROR(_xll.qlBachelierBlackFormulaImpliedVol(IF(O547&lt;$C$4,"Put","Call"),O547,$C$4,$C$7,P547),"")</f>
        <v/>
      </c>
      <c r="W547" s="61">
        <f>IFERROR(_xll.qlBachelierBlackFormulaImpliedVol(IF(O547&lt;$C$4,"Put","Call"),O547,$C$4,$C$7,Q547),"")</f>
        <v>8.7579952999982599E-3</v>
      </c>
      <c r="X547" s="61">
        <f>IFERROR(_xll.qlBachelierBlackFormulaImpliedVol(IF(O547&lt;$C$4,"Put","Call"),O547,$C$4,$C$7,R547),"")</f>
        <v>7.2019999998433745E-3</v>
      </c>
      <c r="Y547" s="96">
        <f>_xll.qlSmileSectionVolatility($C$40,O547+$C$31)</f>
        <v>1.0083627113320035E-2</v>
      </c>
    </row>
    <row r="548" spans="15:25">
      <c r="O548" s="37">
        <f t="shared" si="9"/>
        <v>4.4300000000000235E-2</v>
      </c>
      <c r="P548" s="38" t="str">
        <f>IFERROR(_xll.qlBlackFormula(IF(O548&lt;$C$4,"Put","Call"),O548,$C$4,$C$9*SQRT($C$7)),"")</f>
        <v/>
      </c>
      <c r="Q548" s="39">
        <f>IFERROR(_xll.qlBlackFormula(IF(O548&lt;$C$4,"Put","Call"),O548,$C$4,$C$10*SQRT($C$7),,$C$11),"")</f>
        <v>1.6372144984050808E-4</v>
      </c>
      <c r="R548" s="40">
        <f>IFERROR(_xll.qlBachelierBlackFormula(IF(O548&lt;$C$4,"Put","Call"),O548,$C$4,$C$12*SQRT($C$7)),"")</f>
        <v>3.8766450357941072E-5</v>
      </c>
      <c r="S548" s="41" t="str">
        <f>IFERROR((_xll.qlBlackFormula(IF(O548&lt;$C$4,"Put","Call"),O548+$C$14,$C$4,$C$9*SQRT($C$7))-
2*_xll.qlBlackFormula(IF(O548&lt;$C$4,"Put","Call"),O548,$C$4,$C$9*SQRT($C$7))+
_xll.qlBlackFormula(IF(O548&lt;$C$4,"Put","Call"),O548-$C$14,$C$4,$C$9*SQRT($C$7)))/$C$14^2,"")</f>
        <v/>
      </c>
      <c r="T548" s="42">
        <f>IFERROR((_xll.qlBlackFormula(IF(O548&lt;$C$4,"Put","Call"),O548+$C$14,$C$4,$C$10*SQRT($C$7),,$C$11)-
2*_xll.qlBlackFormula(IF(O548&lt;$C$4,"Put","Call"),O548,$C$4,$C$10*SQRT($C$7),,$C$11)+
_xll.qlBlackFormula(IF(O548&lt;$C$4,"Put","Call"),O548-$C$14,$C$4,$C$10*SQRT($C$7),,$C$11))/$C$14^2,"")</f>
        <v>1.8734631901384802</v>
      </c>
      <c r="U548" s="43">
        <f>IFERROR((_xll.qlBachelierBlackFormula(IF(O548&lt;$C$4,"Put","Call"),O548+$C$14,$C$4,$C$12*SQRT($C$7))-
2*_xll.qlBachelierBlackFormula(IF(O548&lt;$C$4,"Put","Call"),O548,$C$4,$C$12*SQRT($C$7))+
_xll.qlBachelierBlackFormula(IF(O548&lt;$C$4,"Put","Call"),O548-$C$14,$C$4,$C$12*SQRT($C$7)))/$C$14^2,"")</f>
        <v>1.2611857630288881</v>
      </c>
      <c r="V548" s="61" t="str">
        <f>IFERROR(_xll.qlBachelierBlackFormulaImpliedVol(IF(O548&lt;$C$4,"Put","Call"),O548,$C$4,$C$7,P548),"")</f>
        <v/>
      </c>
      <c r="W548" s="61">
        <f>IFERROR(_xll.qlBachelierBlackFormulaImpliedVol(IF(O548&lt;$C$4,"Put","Call"),O548,$C$4,$C$7,Q548),"")</f>
        <v>8.7617429782089595E-3</v>
      </c>
      <c r="X548" s="61">
        <f>IFERROR(_xll.qlBachelierBlackFormulaImpliedVol(IF(O548&lt;$C$4,"Put","Call"),O548,$C$4,$C$7,R548),"")</f>
        <v>7.2019999998545513E-3</v>
      </c>
      <c r="Y548" s="96">
        <f>_xll.qlSmileSectionVolatility($C$40,O548+$C$31)</f>
        <v>1.0092467830015543E-2</v>
      </c>
    </row>
    <row r="549" spans="15:25">
      <c r="O549" s="37">
        <f t="shared" si="9"/>
        <v>4.4400000000000238E-2</v>
      </c>
      <c r="P549" s="38" t="str">
        <f>IFERROR(_xll.qlBlackFormula(IF(O549&lt;$C$4,"Put","Call"),O549,$C$4,$C$9*SQRT($C$7)),"")</f>
        <v/>
      </c>
      <c r="Q549" s="39">
        <f>IFERROR(_xll.qlBlackFormula(IF(O549&lt;$C$4,"Put","Call"),O549,$C$4,$C$10*SQRT($C$7),,$C$11),"")</f>
        <v>1.6193467636369148E-4</v>
      </c>
      <c r="R549" s="40">
        <f>IFERROR(_xll.qlBachelierBlackFormula(IF(O549&lt;$C$4,"Put","Call"),O549,$C$4,$C$12*SQRT($C$7)),"")</f>
        <v>3.8039099030617006E-5</v>
      </c>
      <c r="S549" s="41" t="str">
        <f>IFERROR((_xll.qlBlackFormula(IF(O549&lt;$C$4,"Put","Call"),O549+$C$14,$C$4,$C$9*SQRT($C$7))-
2*_xll.qlBlackFormula(IF(O549&lt;$C$4,"Put","Call"),O549,$C$4,$C$9*SQRT($C$7))+
_xll.qlBlackFormula(IF(O549&lt;$C$4,"Put","Call"),O549-$C$14,$C$4,$C$9*SQRT($C$7)))/$C$14^2,"")</f>
        <v/>
      </c>
      <c r="T549" s="42">
        <f>IFERROR((_xll.qlBlackFormula(IF(O549&lt;$C$4,"Put","Call"),O549+$C$14,$C$4,$C$10*SQRT($C$7),,$C$11)-
2*_xll.qlBlackFormula(IF(O549&lt;$C$4,"Put","Call"),O549,$C$4,$C$10*SQRT($C$7),,$C$11)+
_xll.qlBlackFormula(IF(O549&lt;$C$4,"Put","Call"),O549-$C$14,$C$4,$C$10*SQRT($C$7),,$C$11))/$C$14^2,"")</f>
        <v>1.8553886725614088</v>
      </c>
      <c r="U549" s="43">
        <f>IFERROR((_xll.qlBachelierBlackFormula(IF(O549&lt;$C$4,"Put","Call"),O549+$C$14,$C$4,$C$12*SQRT($C$7))-
2*_xll.qlBachelierBlackFormula(IF(O549&lt;$C$4,"Put","Call"),O549,$C$4,$C$12*SQRT($C$7))+
_xll.qlBachelierBlackFormula(IF(O549&lt;$C$4,"Put","Call"),O549-$C$14,$C$4,$C$12*SQRT($C$7)))/$C$14^2,"")</f>
        <v>1.2421947693554147</v>
      </c>
      <c r="V549" s="61" t="str">
        <f>IFERROR(_xll.qlBachelierBlackFormulaImpliedVol(IF(O549&lt;$C$4,"Put","Call"),O549,$C$4,$C$7,P549),"")</f>
        <v/>
      </c>
      <c r="W549" s="61">
        <f>IFERROR(_xll.qlBachelierBlackFormulaImpliedVol(IF(O549&lt;$C$4,"Put","Call"),O549,$C$4,$C$7,Q549),"")</f>
        <v>8.7654897136878272E-3</v>
      </c>
      <c r="X549" s="61">
        <f>IFERROR(_xll.qlBachelierBlackFormulaImpliedVol(IF(O549&lt;$C$4,"Put","Call"),O549,$C$4,$C$7,R549),"")</f>
        <v>7.2019999998663882E-3</v>
      </c>
      <c r="Y549" s="96">
        <f>_xll.qlSmileSectionVolatility($C$40,O549+$C$31)</f>
        <v>1.0101311078216111E-2</v>
      </c>
    </row>
    <row r="550" spans="15:25">
      <c r="O550" s="37">
        <f t="shared" si="9"/>
        <v>4.4500000000000241E-2</v>
      </c>
      <c r="P550" s="38" t="str">
        <f>IFERROR(_xll.qlBlackFormula(IF(O550&lt;$C$4,"Put","Call"),O550,$C$4,$C$9*SQRT($C$7)),"")</f>
        <v/>
      </c>
      <c r="Q550" s="39">
        <f>IFERROR(_xll.qlBlackFormula(IF(O550&lt;$C$4,"Put","Call"),O550,$C$4,$C$10*SQRT($C$7),,$C$11),"")</f>
        <v>1.6016645686585222E-4</v>
      </c>
      <c r="R550" s="40">
        <f>IFERROR(_xll.qlBachelierBlackFormula(IF(O550&lt;$C$4,"Put","Call"),O550,$C$4,$C$12*SQRT($C$7)),"")</f>
        <v>3.7324169856936876E-5</v>
      </c>
      <c r="S550" s="41" t="str">
        <f>IFERROR((_xll.qlBlackFormula(IF(O550&lt;$C$4,"Put","Call"),O550+$C$14,$C$4,$C$9*SQRT($C$7))-
2*_xll.qlBlackFormula(IF(O550&lt;$C$4,"Put","Call"),O550,$C$4,$C$9*SQRT($C$7))+
_xll.qlBlackFormula(IF(O550&lt;$C$4,"Put","Call"),O550-$C$14,$C$4,$C$9*SQRT($C$7)))/$C$14^2,"")</f>
        <v/>
      </c>
      <c r="T550" s="42">
        <f>IFERROR((_xll.qlBlackFormula(IF(O550&lt;$C$4,"Put","Call"),O550+$C$14,$C$4,$C$10*SQRT($C$7),,$C$11)-
2*_xll.qlBlackFormula(IF(O550&lt;$C$4,"Put","Call"),O550,$C$4,$C$10*SQRT($C$7),,$C$11)+
_xll.qlBlackFormula(IF(O550&lt;$C$4,"Put","Call"),O550-$C$14,$C$4,$C$10*SQRT($C$7),,$C$11))/$C$14^2,"")</f>
        <v>1.8374442592450357</v>
      </c>
      <c r="U550" s="43">
        <f>IFERROR((_xll.qlBachelierBlackFormula(IF(O550&lt;$C$4,"Put","Call"),O550+$C$14,$C$4,$C$12*SQRT($C$7))-
2*_xll.qlBachelierBlackFormula(IF(O550&lt;$C$4,"Put","Call"),O550,$C$4,$C$12*SQRT($C$7))+
_xll.qlBachelierBlackFormula(IF(O550&lt;$C$4,"Put","Call"),O550-$C$14,$C$4,$C$12*SQRT($C$7)))/$C$14^2,"")</f>
        <v>1.2234411617476071</v>
      </c>
      <c r="V550" s="61" t="str">
        <f>IFERROR(_xll.qlBachelierBlackFormulaImpliedVol(IF(O550&lt;$C$4,"Put","Call"),O550,$C$4,$C$7,P550),"")</f>
        <v/>
      </c>
      <c r="W550" s="61">
        <f>IFERROR(_xll.qlBachelierBlackFormulaImpliedVol(IF(O550&lt;$C$4,"Put","Call"),O550,$C$4,$C$7,Q550),"")</f>
        <v>8.769235507557132E-3</v>
      </c>
      <c r="X550" s="61">
        <f>IFERROR(_xll.qlBachelierBlackFormulaImpliedVol(IF(O550&lt;$C$4,"Put","Call"),O550,$C$4,$C$7,R550),"")</f>
        <v>7.2019999998787767E-3</v>
      </c>
      <c r="Y550" s="96">
        <f>_xll.qlSmileSectionVolatility($C$40,O550+$C$31)</f>
        <v>1.0110156837994927E-2</v>
      </c>
    </row>
    <row r="551" spans="15:25">
      <c r="O551" s="37">
        <f t="shared" si="9"/>
        <v>4.4600000000000244E-2</v>
      </c>
      <c r="P551" s="38" t="str">
        <f>IFERROR(_xll.qlBlackFormula(IF(O551&lt;$C$4,"Put","Call"),O551,$C$4,$C$9*SQRT($C$7)),"")</f>
        <v/>
      </c>
      <c r="Q551" s="39">
        <f>IFERROR(_xll.qlBlackFormula(IF(O551&lt;$C$4,"Put","Call"),O551,$C$4,$C$10*SQRT($C$7),,$C$11),"")</f>
        <v>1.5841661198136596E-4</v>
      </c>
      <c r="R551" s="40">
        <f>IFERROR(_xll.qlBachelierBlackFormula(IF(O551&lt;$C$4,"Put","Call"),O551,$C$4,$C$12*SQRT($C$7)),"")</f>
        <v>3.6621475308971137E-5</v>
      </c>
      <c r="S551" s="41" t="str">
        <f>IFERROR((_xll.qlBlackFormula(IF(O551&lt;$C$4,"Put","Call"),O551+$C$14,$C$4,$C$9*SQRT($C$7))-
2*_xll.qlBlackFormula(IF(O551&lt;$C$4,"Put","Call"),O551,$C$4,$C$9*SQRT($C$7))+
_xll.qlBlackFormula(IF(O551&lt;$C$4,"Put","Call"),O551-$C$14,$C$4,$C$9*SQRT($C$7)))/$C$14^2,"")</f>
        <v/>
      </c>
      <c r="T551" s="42">
        <f>IFERROR((_xll.qlBlackFormula(IF(O551&lt;$C$4,"Put","Call"),O551+$C$14,$C$4,$C$10*SQRT($C$7),,$C$11)-
2*_xll.qlBlackFormula(IF(O551&lt;$C$4,"Put","Call"),O551,$C$4,$C$10*SQRT($C$7),,$C$11)+
_xll.qlBlackFormula(IF(O551&lt;$C$4,"Put","Call"),O551-$C$14,$C$4,$C$10*SQRT($C$7),,$C$11))/$C$14^2,"")</f>
        <v>1.8196737519571293</v>
      </c>
      <c r="U551" s="43">
        <f>IFERROR((_xll.qlBachelierBlackFormula(IF(O551&lt;$C$4,"Put","Call"),O551+$C$14,$C$4,$C$12*SQRT($C$7))-
2*_xll.qlBachelierBlackFormula(IF(O551&lt;$C$4,"Put","Call"),O551,$C$4,$C$12*SQRT($C$7))+
_xll.qlBachelierBlackFormula(IF(O551&lt;$C$4,"Put","Call"),O551-$C$14,$C$4,$C$12*SQRT($C$7)))/$C$14^2,"")</f>
        <v>1.204927271240136</v>
      </c>
      <c r="V551" s="61" t="str">
        <f>IFERROR(_xll.qlBachelierBlackFormulaImpliedVol(IF(O551&lt;$C$4,"Put","Call"),O551,$C$4,$C$7,P551),"")</f>
        <v/>
      </c>
      <c r="W551" s="61">
        <f>IFERROR(_xll.qlBachelierBlackFormulaImpliedVol(IF(O551&lt;$C$4,"Put","Call"),O551,$C$4,$C$7,Q551),"")</f>
        <v>8.7729803609366153E-3</v>
      </c>
      <c r="X551" s="61">
        <f>IFERROR(_xll.qlBachelierBlackFormulaImpliedVol(IF(O551&lt;$C$4,"Put","Call"),O551,$C$4,$C$7,R551),"")</f>
        <v>7.201999999891795E-3</v>
      </c>
      <c r="Y551" s="96">
        <f>_xll.qlSmileSectionVolatility($C$40,O551+$C$31)</f>
        <v>1.0119005089551141E-2</v>
      </c>
    </row>
    <row r="552" spans="15:25">
      <c r="O552" s="37">
        <f t="shared" si="9"/>
        <v>4.4700000000000246E-2</v>
      </c>
      <c r="P552" s="38" t="str">
        <f>IFERROR(_xll.qlBlackFormula(IF(O552&lt;$C$4,"Put","Call"),O552,$C$4,$C$9*SQRT($C$7)),"")</f>
        <v/>
      </c>
      <c r="Q552" s="39">
        <f>IFERROR(_xll.qlBlackFormula(IF(O552&lt;$C$4,"Put","Call"),O552,$C$4,$C$10*SQRT($C$7),,$C$11),"")</f>
        <v>1.5668496389457292E-4</v>
      </c>
      <c r="R552" s="40">
        <f>IFERROR(_xll.qlBachelierBlackFormula(IF(O552&lt;$C$4,"Put","Call"),O552,$C$4,$C$12*SQRT($C$7)),"")</f>
        <v>3.593083022514188E-5</v>
      </c>
      <c r="S552" s="41" t="str">
        <f>IFERROR((_xll.qlBlackFormula(IF(O552&lt;$C$4,"Put","Call"),O552+$C$14,$C$4,$C$9*SQRT($C$7))-
2*_xll.qlBlackFormula(IF(O552&lt;$C$4,"Put","Call"),O552,$C$4,$C$9*SQRT($C$7))+
_xll.qlBlackFormula(IF(O552&lt;$C$4,"Put","Call"),O552-$C$14,$C$4,$C$9*SQRT($C$7)))/$C$14^2,"")</f>
        <v/>
      </c>
      <c r="T552" s="42">
        <f>IFERROR((_xll.qlBlackFormula(IF(O552&lt;$C$4,"Put","Call"),O552+$C$14,$C$4,$C$10*SQRT($C$7),,$C$11)-
2*_xll.qlBlackFormula(IF(O552&lt;$C$4,"Put","Call"),O552,$C$4,$C$10*SQRT($C$7),,$C$11)+
_xll.qlBlackFormula(IF(O552&lt;$C$4,"Put","Call"),O552-$C$14,$C$4,$C$10*SQRT($C$7),,$C$11))/$C$14^2,"")</f>
        <v>1.8020294458021002</v>
      </c>
      <c r="U552" s="43">
        <f>IFERROR((_xll.qlBachelierBlackFormula(IF(O552&lt;$C$4,"Put","Call"),O552+$C$14,$C$4,$C$12*SQRT($C$7))-
2*_xll.qlBachelierBlackFormula(IF(O552&lt;$C$4,"Put","Call"),O552,$C$4,$C$12*SQRT($C$7))+
_xll.qlBachelierBlackFormula(IF(O552&lt;$C$4,"Put","Call"),O552-$C$14,$C$4,$C$12*SQRT($C$7)))/$C$14^2,"")</f>
        <v>1.1866458878885544</v>
      </c>
      <c r="V552" s="61" t="str">
        <f>IFERROR(_xll.qlBachelierBlackFormulaImpliedVol(IF(O552&lt;$C$4,"Put","Call"),O552,$C$4,$C$7,P552),"")</f>
        <v/>
      </c>
      <c r="W552" s="61">
        <f>IFERROR(_xll.qlBachelierBlackFormulaImpliedVol(IF(O552&lt;$C$4,"Put","Call"),O552,$C$4,$C$7,Q552),"")</f>
        <v>8.7767242749439856E-3</v>
      </c>
      <c r="X552" s="61">
        <f>IFERROR(_xll.qlBachelierBlackFormulaImpliedVol(IF(O552&lt;$C$4,"Put","Call"),O552,$C$4,$C$7,R552),"")</f>
        <v>7.2019999999054125E-3</v>
      </c>
      <c r="Y552" s="96">
        <f>_xll.qlSmileSectionVolatility($C$40,O552+$C$31)</f>
        <v>1.0127855813209017E-2</v>
      </c>
    </row>
    <row r="553" spans="15:25">
      <c r="O553" s="37">
        <f t="shared" si="9"/>
        <v>4.4800000000000249E-2</v>
      </c>
      <c r="P553" s="38" t="str">
        <f>IFERROR(_xll.qlBlackFormula(IF(O553&lt;$C$4,"Put","Call"),O553,$C$4,$C$9*SQRT($C$7)),"")</f>
        <v/>
      </c>
      <c r="Q553" s="39">
        <f>IFERROR(_xll.qlBlackFormula(IF(O553&lt;$C$4,"Put","Call"),O553,$C$4,$C$10*SQRT($C$7),,$C$11),"")</f>
        <v>1.5497133632886217E-4</v>
      </c>
      <c r="R553" s="40">
        <f>IFERROR(_xll.qlBachelierBlackFormula(IF(O553&lt;$C$4,"Put","Call"),O553,$C$4,$C$12*SQRT($C$7)),"")</f>
        <v>3.5252051788573695E-5</v>
      </c>
      <c r="S553" s="41" t="str">
        <f>IFERROR((_xll.qlBlackFormula(IF(O553&lt;$C$4,"Put","Call"),O553+$C$14,$C$4,$C$9*SQRT($C$7))-
2*_xll.qlBlackFormula(IF(O553&lt;$C$4,"Put","Call"),O553,$C$4,$C$9*SQRT($C$7))+
_xll.qlBlackFormula(IF(O553&lt;$C$4,"Put","Call"),O553-$C$14,$C$4,$C$9*SQRT($C$7)))/$C$14^2,"")</f>
        <v/>
      </c>
      <c r="T553" s="42">
        <f>IFERROR((_xll.qlBlackFormula(IF(O553&lt;$C$4,"Put","Call"),O553+$C$14,$C$4,$C$10*SQRT($C$7),,$C$11)-
2*_xll.qlBlackFormula(IF(O553&lt;$C$4,"Put","Call"),O553,$C$4,$C$10*SQRT($C$7),,$C$11)+
_xll.qlBlackFormula(IF(O553&lt;$C$4,"Put","Call"),O553-$C$14,$C$4,$C$10*SQRT($C$7),,$C$11))/$C$14^2,"")</f>
        <v>1.7845664182503107</v>
      </c>
      <c r="U553" s="43">
        <f>IFERROR((_xll.qlBachelierBlackFormula(IF(O553&lt;$C$4,"Put","Call"),O553+$C$14,$C$4,$C$12*SQRT($C$7))-
2*_xll.qlBachelierBlackFormula(IF(O553&lt;$C$4,"Put","Call"),O553,$C$4,$C$12*SQRT($C$7))+
_xll.qlBachelierBlackFormula(IF(O553&lt;$C$4,"Put","Call"),O553-$C$14,$C$4,$C$12*SQRT($C$7)))/$C$14^2,"")</f>
        <v>1.1685976080040572</v>
      </c>
      <c r="V553" s="61" t="str">
        <f>IFERROR(_xll.qlBachelierBlackFormulaImpliedVol(IF(O553&lt;$C$4,"Put","Call"),O553,$C$4,$C$7,P553),"")</f>
        <v/>
      </c>
      <c r="W553" s="61">
        <f>IFERROR(_xll.qlBachelierBlackFormulaImpliedVol(IF(O553&lt;$C$4,"Put","Call"),O553,$C$4,$C$7,Q553),"")</f>
        <v>8.7804672506944462E-3</v>
      </c>
      <c r="X553" s="61">
        <f>IFERROR(_xll.qlBachelierBlackFormulaImpliedVol(IF(O553&lt;$C$4,"Put","Call"),O553,$C$4,$C$7,R553),"")</f>
        <v>7.2019999999195462E-3</v>
      </c>
      <c r="Y553" s="96">
        <f>_xll.qlSmileSectionVolatility($C$40,O553+$C$31)</f>
        <v>1.0136708989417122E-2</v>
      </c>
    </row>
    <row r="554" spans="15:25">
      <c r="O554" s="37">
        <f t="shared" si="9"/>
        <v>4.4900000000000252E-2</v>
      </c>
      <c r="P554" s="38" t="str">
        <f>IFERROR(_xll.qlBlackFormula(IF(O554&lt;$C$4,"Put","Call"),O554,$C$4,$C$9*SQRT($C$7)),"")</f>
        <v/>
      </c>
      <c r="Q554" s="39">
        <f>IFERROR(_xll.qlBlackFormula(IF(O554&lt;$C$4,"Put","Call"),O554,$C$4,$C$10*SQRT($C$7),,$C$11),"")</f>
        <v>1.5327555453591287E-4</v>
      </c>
      <c r="R554" s="40">
        <f>IFERROR(_xll.qlBachelierBlackFormula(IF(O554&lt;$C$4,"Put","Call"),O554,$C$4,$C$12*SQRT($C$7)),"")</f>
        <v>3.4584959505519844E-5</v>
      </c>
      <c r="S554" s="41" t="str">
        <f>IFERROR((_xll.qlBlackFormula(IF(O554&lt;$C$4,"Put","Call"),O554+$C$14,$C$4,$C$9*SQRT($C$7))-
2*_xll.qlBlackFormula(IF(O554&lt;$C$4,"Put","Call"),O554,$C$4,$C$9*SQRT($C$7))+
_xll.qlBlackFormula(IF(O554&lt;$C$4,"Put","Call"),O554-$C$14,$C$4,$C$9*SQRT($C$7)))/$C$14^2,"")</f>
        <v/>
      </c>
      <c r="T554" s="42">
        <f>IFERROR((_xll.qlBlackFormula(IF(O554&lt;$C$4,"Put","Call"),O554+$C$14,$C$4,$C$10*SQRT($C$7),,$C$11)-
2*_xll.qlBlackFormula(IF(O554&lt;$C$4,"Put","Call"),O554,$C$4,$C$10*SQRT($C$7),,$C$11)+
_xll.qlBlackFormula(IF(O554&lt;$C$4,"Put","Call"),O554-$C$14,$C$4,$C$10*SQRT($C$7),,$C$11))/$C$14^2,"")</f>
        <v>1.7672360970444334</v>
      </c>
      <c r="U554" s="43">
        <f>IFERROR((_xll.qlBachelierBlackFormula(IF(O554&lt;$C$4,"Put","Call"),O554+$C$14,$C$4,$C$12*SQRT($C$7))-
2*_xll.qlBachelierBlackFormula(IF(O554&lt;$C$4,"Put","Call"),O554,$C$4,$C$12*SQRT($C$7))+
_xll.qlBachelierBlackFormula(IF(O554&lt;$C$4,"Put","Call"),O554-$C$14,$C$4,$C$12*SQRT($C$7)))/$C$14^2,"")</f>
        <v>1.1507780405678458</v>
      </c>
      <c r="V554" s="61" t="str">
        <f>IFERROR(_xll.qlBachelierBlackFormulaImpliedVol(IF(O554&lt;$C$4,"Put","Call"),O554,$C$4,$C$7,P554),"")</f>
        <v/>
      </c>
      <c r="W554" s="61">
        <f>IFERROR(_xll.qlBachelierBlackFormulaImpliedVol(IF(O554&lt;$C$4,"Put","Call"),O554,$C$4,$C$7,Q554),"")</f>
        <v>8.7842092893011779E-3</v>
      </c>
      <c r="X554" s="61">
        <f>IFERROR(_xll.qlBachelierBlackFormulaImpliedVol(IF(O554&lt;$C$4,"Put","Call"),O554,$C$4,$C$7,R554),"")</f>
        <v>7.201999999934261E-3</v>
      </c>
      <c r="Y554" s="96">
        <f>_xll.qlSmileSectionVolatility($C$40,O554+$C$31)</f>
        <v>1.0145564598747646E-2</v>
      </c>
    </row>
    <row r="555" spans="15:25">
      <c r="O555" s="37">
        <f t="shared" si="9"/>
        <v>4.5000000000000255E-2</v>
      </c>
      <c r="P555" s="38" t="str">
        <f>IFERROR(_xll.qlBlackFormula(IF(O555&lt;$C$4,"Put","Call"),O555,$C$4,$C$9*SQRT($C$7)),"")</f>
        <v/>
      </c>
      <c r="Q555" s="39">
        <f>IFERROR(_xll.qlBlackFormula(IF(O555&lt;$C$4,"Put","Call"),O555,$C$4,$C$10*SQRT($C$7),,$C$11),"")</f>
        <v>1.5159744528485094E-4</v>
      </c>
      <c r="R555" s="40">
        <f>IFERROR(_xll.qlBachelierBlackFormula(IF(O555&lt;$C$4,"Put","Call"),O555,$C$4,$C$12*SQRT($C$7)),"")</f>
        <v>3.3929375183835151E-5</v>
      </c>
      <c r="S555" s="41" t="str">
        <f>IFERROR((_xll.qlBlackFormula(IF(O555&lt;$C$4,"Put","Call"),O555+$C$14,$C$4,$C$9*SQRT($C$7))-
2*_xll.qlBlackFormula(IF(O555&lt;$C$4,"Put","Call"),O555,$C$4,$C$9*SQRT($C$7))+
_xll.qlBlackFormula(IF(O555&lt;$C$4,"Put","Call"),O555-$C$14,$C$4,$C$9*SQRT($C$7)))/$C$14^2,"")</f>
        <v/>
      </c>
      <c r="T555" s="42">
        <f>IFERROR((_xll.qlBlackFormula(IF(O555&lt;$C$4,"Put","Call"),O555+$C$14,$C$4,$C$10*SQRT($C$7),,$C$11)-
2*_xll.qlBlackFormula(IF(O555&lt;$C$4,"Put","Call"),O555,$C$4,$C$10*SQRT($C$7),,$C$11)+
_xll.qlBlackFormula(IF(O555&lt;$C$4,"Put","Call"),O555-$C$14,$C$4,$C$10*SQRT($C$7),,$C$11))/$C$14^2,"")</f>
        <v>1.7500701408879049</v>
      </c>
      <c r="U555" s="43">
        <f>IFERROR((_xll.qlBachelierBlackFormula(IF(O555&lt;$C$4,"Put","Call"),O555+$C$14,$C$4,$C$12*SQRT($C$7))-
2*_xll.qlBachelierBlackFormula(IF(O555&lt;$C$4,"Put","Call"),O555,$C$4,$C$12*SQRT($C$7))+
_xll.qlBachelierBlackFormula(IF(O555&lt;$C$4,"Put","Call"),O555-$C$14,$C$4,$C$12*SQRT($C$7)))/$C$14^2,"")</f>
        <v>1.1331852882261184</v>
      </c>
      <c r="V555" s="61" t="str">
        <f>IFERROR(_xll.qlBachelierBlackFormulaImpliedVol(IF(O555&lt;$C$4,"Put","Call"),O555,$C$4,$C$7,P555),"")</f>
        <v/>
      </c>
      <c r="W555" s="61">
        <f>IFERROR(_xll.qlBachelierBlackFormulaImpliedVol(IF(O555&lt;$C$4,"Put","Call"),O555,$C$4,$C$7,Q555),"")</f>
        <v>8.7879503918750299E-3</v>
      </c>
      <c r="X555" s="61">
        <f>IFERROR(_xll.qlBachelierBlackFormulaImpliedVol(IF(O555&lt;$C$4,"Put","Call"),O555,$C$4,$C$7,R555),"")</f>
        <v>7.2019999999494528E-3</v>
      </c>
      <c r="Y555" s="96">
        <f>_xll.qlSmileSectionVolatility($C$40,O555+$C$31)</f>
        <v>1.0154422621895547E-2</v>
      </c>
    </row>
    <row r="556" spans="15:25">
      <c r="O556" s="37">
        <f t="shared" si="9"/>
        <v>4.5100000000000258E-2</v>
      </c>
      <c r="P556" s="38" t="str">
        <f>IFERROR(_xll.qlBlackFormula(IF(O556&lt;$C$4,"Put","Call"),O556,$C$4,$C$9*SQRT($C$7)),"")</f>
        <v/>
      </c>
      <c r="Q556" s="39">
        <f>IFERROR(_xll.qlBlackFormula(IF(O556&lt;$C$4,"Put","Call"),O556,$C$4,$C$10*SQRT($C$7),,$C$11),"")</f>
        <v>1.49936836851528E-4</v>
      </c>
      <c r="R556" s="40">
        <f>IFERROR(_xll.qlBachelierBlackFormula(IF(O556&lt;$C$4,"Put","Call"),O556,$C$4,$C$12*SQRT($C$7)),"")</f>
        <v>3.3285122911511891E-5</v>
      </c>
      <c r="S556" s="41" t="str">
        <f>IFERROR((_xll.qlBlackFormula(IF(O556&lt;$C$4,"Put","Call"),O556+$C$14,$C$4,$C$9*SQRT($C$7))-
2*_xll.qlBlackFormula(IF(O556&lt;$C$4,"Put","Call"),O556,$C$4,$C$9*SQRT($C$7))+
_xll.qlBlackFormula(IF(O556&lt;$C$4,"Put","Call"),O556-$C$14,$C$4,$C$9*SQRT($C$7)))/$C$14^2,"")</f>
        <v/>
      </c>
      <c r="T556" s="42">
        <f>IFERROR((_xll.qlBlackFormula(IF(O556&lt;$C$4,"Put","Call"),O556+$C$14,$C$4,$C$10*SQRT($C$7),,$C$11)-
2*_xll.qlBlackFormula(IF(O556&lt;$C$4,"Put","Call"),O556,$C$4,$C$10*SQRT($C$7),,$C$11)+
_xll.qlBlackFormula(IF(O556&lt;$C$4,"Put","Call"),O556-$C$14,$C$4,$C$10*SQRT($C$7),,$C$11))/$C$14^2,"")</f>
        <v>1.7330407942051096</v>
      </c>
      <c r="U556" s="43">
        <f>IFERROR((_xll.qlBachelierBlackFormula(IF(O556&lt;$C$4,"Put","Call"),O556+$C$14,$C$4,$C$12*SQRT($C$7))-
2*_xll.qlBachelierBlackFormula(IF(O556&lt;$C$4,"Put","Call"),O556,$C$4,$C$12*SQRT($C$7))+
_xll.qlBachelierBlackFormula(IF(O556&lt;$C$4,"Put","Call"),O556-$C$14,$C$4,$C$12*SQRT($C$7)))/$C$14^2,"")</f>
        <v>1.1158231998965873</v>
      </c>
      <c r="V556" s="61" t="str">
        <f>IFERROR(_xll.qlBachelierBlackFormulaImpliedVol(IF(O556&lt;$C$4,"Put","Call"),O556,$C$4,$C$7,P556),"")</f>
        <v/>
      </c>
      <c r="W556" s="61">
        <f>IFERROR(_xll.qlBachelierBlackFormulaImpliedVol(IF(O556&lt;$C$4,"Put","Call"),O556,$C$4,$C$7,Q556),"")</f>
        <v>8.7916905595245773E-3</v>
      </c>
      <c r="X556" s="61">
        <f>IFERROR(_xll.qlBachelierBlackFormulaImpliedVol(IF(O556&lt;$C$4,"Put","Call"),O556,$C$4,$C$7,R556),"")</f>
        <v>7.201999999965218E-3</v>
      </c>
      <c r="Y556" s="96">
        <f>_xll.qlSmileSectionVolatility($C$40,O556+$C$31)</f>
        <v>1.0163283039677812E-2</v>
      </c>
    </row>
    <row r="557" spans="15:25">
      <c r="O557" s="37">
        <f t="shared" si="9"/>
        <v>4.5200000000000261E-2</v>
      </c>
      <c r="P557" s="38" t="str">
        <f>IFERROR(_xll.qlBlackFormula(IF(O557&lt;$C$4,"Put","Call"),O557,$C$4,$C$9*SQRT($C$7)),"")</f>
        <v/>
      </c>
      <c r="Q557" s="39">
        <f>IFERROR(_xll.qlBlackFormula(IF(O557&lt;$C$4,"Put","Call"),O557,$C$4,$C$10*SQRT($C$7),,$C$11),"")</f>
        <v>1.482935590078234E-4</v>
      </c>
      <c r="R557" s="40">
        <f>IFERROR(_xll.qlBachelierBlackFormula(IF(O557&lt;$C$4,"Put","Call"),O557,$C$4,$C$12*SQRT($C$7)),"")</f>
        <v>3.2652029035301763E-5</v>
      </c>
      <c r="S557" s="41" t="str">
        <f>IFERROR((_xll.qlBlackFormula(IF(O557&lt;$C$4,"Put","Call"),O557+$C$14,$C$4,$C$9*SQRT($C$7))-
2*_xll.qlBlackFormula(IF(O557&lt;$C$4,"Put","Call"),O557,$C$4,$C$9*SQRT($C$7))+
_xll.qlBlackFormula(IF(O557&lt;$C$4,"Put","Call"),O557-$C$14,$C$4,$C$9*SQRT($C$7)))/$C$14^2,"")</f>
        <v/>
      </c>
      <c r="T557" s="42">
        <f>IFERROR((_xll.qlBlackFormula(IF(O557&lt;$C$4,"Put","Call"),O557+$C$14,$C$4,$C$10*SQRT($C$7),,$C$11)-
2*_xll.qlBlackFormula(IF(O557&lt;$C$4,"Put","Call"),O557,$C$4,$C$10*SQRT($C$7),,$C$11)+
_xll.qlBlackFormula(IF(O557&lt;$C$4,"Put","Call"),O557-$C$14,$C$4,$C$10*SQRT($C$7),,$C$11))/$C$14^2,"")</f>
        <v>1.7161723431247111</v>
      </c>
      <c r="U557" s="43">
        <f>IFERROR((_xll.qlBachelierBlackFormula(IF(O557&lt;$C$4,"Put","Call"),O557+$C$14,$C$4,$C$12*SQRT($C$7))-
2*_xll.qlBachelierBlackFormula(IF(O557&lt;$C$4,"Put","Call"),O557,$C$4,$C$12*SQRT($C$7))+
_xll.qlBachelierBlackFormula(IF(O557&lt;$C$4,"Put","Call"),O557-$C$14,$C$4,$C$12*SQRT($C$7)))/$C$14^2,"")</f>
        <v>1.0986790904138344</v>
      </c>
      <c r="V557" s="61" t="str">
        <f>IFERROR(_xll.qlBachelierBlackFormulaImpliedVol(IF(O557&lt;$C$4,"Put","Call"),O557,$C$4,$C$7,P557),"")</f>
        <v/>
      </c>
      <c r="W557" s="61">
        <f>IFERROR(_xll.qlBachelierBlackFormulaImpliedVol(IF(O557&lt;$C$4,"Put","Call"),O557,$C$4,$C$7,Q557),"")</f>
        <v>8.7954297933562735E-3</v>
      </c>
      <c r="X557" s="61">
        <f>IFERROR(_xll.qlBachelierBlackFormulaImpliedVol(IF(O557&lt;$C$4,"Put","Call"),O557,$C$4,$C$7,R557),"")</f>
        <v>7.201999999981501E-3</v>
      </c>
      <c r="Y557" s="96">
        <f>_xll.qlSmileSectionVolatility($C$40,O557+$C$31)</f>
        <v>1.0172145833032695E-2</v>
      </c>
    </row>
    <row r="558" spans="15:25">
      <c r="O558" s="37">
        <f t="shared" si="9"/>
        <v>4.5300000000000264E-2</v>
      </c>
      <c r="P558" s="38" t="str">
        <f>IFERROR(_xll.qlBlackFormula(IF(O558&lt;$C$4,"Put","Call"),O558,$C$4,$C$9*SQRT($C$7)),"")</f>
        <v/>
      </c>
      <c r="Q558" s="39">
        <f>IFERROR(_xll.qlBlackFormula(IF(O558&lt;$C$4,"Put","Call"),O558,$C$4,$C$10*SQRT($C$7),,$C$11),"")</f>
        <v>1.4666744301095741E-4</v>
      </c>
      <c r="R558" s="40">
        <f>IFERROR(_xll.qlBachelierBlackFormula(IF(O558&lt;$C$4,"Put","Call"),O558,$C$4,$C$12*SQRT($C$7)),"")</f>
        <v>3.2029922139375426E-5</v>
      </c>
      <c r="S558" s="41" t="str">
        <f>IFERROR((_xll.qlBlackFormula(IF(O558&lt;$C$4,"Put","Call"),O558+$C$14,$C$4,$C$9*SQRT($C$7))-
2*_xll.qlBlackFormula(IF(O558&lt;$C$4,"Put","Call"),O558,$C$4,$C$9*SQRT($C$7))+
_xll.qlBlackFormula(IF(O558&lt;$C$4,"Put","Call"),O558-$C$14,$C$4,$C$9*SQRT($C$7)))/$C$14^2,"")</f>
        <v/>
      </c>
      <c r="T558" s="42">
        <f>IFERROR((_xll.qlBlackFormula(IF(O558&lt;$C$4,"Put","Call"),O558+$C$14,$C$4,$C$10*SQRT($C$7),,$C$11)-
2*_xll.qlBlackFormula(IF(O558&lt;$C$4,"Put","Call"),O558,$C$4,$C$10*SQRT($C$7),,$C$11)+
_xll.qlBlackFormula(IF(O558&lt;$C$4,"Put","Call"),O558-$C$14,$C$4,$C$10*SQRT($C$7),,$C$11))/$C$14^2,"")</f>
        <v>1.6994500424971637</v>
      </c>
      <c r="U558" s="43">
        <f>IFERROR((_xll.qlBachelierBlackFormula(IF(O558&lt;$C$4,"Put","Call"),O558+$C$14,$C$4,$C$12*SQRT($C$7))-
2*_xll.qlBachelierBlackFormula(IF(O558&lt;$C$4,"Put","Call"),O558,$C$4,$C$12*SQRT($C$7))+
_xll.qlBachelierBlackFormula(IF(O558&lt;$C$4,"Put","Call"),O558-$C$14,$C$4,$C$12*SQRT($C$7)))/$C$14^2,"")</f>
        <v>1.0817618502356741</v>
      </c>
      <c r="V558" s="61" t="str">
        <f>IFERROR(_xll.qlBachelierBlackFormulaImpliedVol(IF(O558&lt;$C$4,"Put","Call"),O558,$C$4,$C$7,P558),"")</f>
        <v/>
      </c>
      <c r="W558" s="61">
        <f>IFERROR(_xll.qlBachelierBlackFormulaImpliedVol(IF(O558&lt;$C$4,"Put","Call"),O558,$C$4,$C$7,Q558),"")</f>
        <v>8.7991680944742006E-3</v>
      </c>
      <c r="X558" s="61">
        <f>IFERROR(_xll.qlBachelierBlackFormulaImpliedVol(IF(O558&lt;$C$4,"Put","Call"),O558,$C$4,$C$7,R558),"")</f>
        <v>7.2019999999981691E-3</v>
      </c>
      <c r="Y558" s="96">
        <f>_xll.qlSmileSectionVolatility($C$40,O558+$C$31)</f>
        <v>1.0181010983018955E-2</v>
      </c>
    </row>
    <row r="559" spans="15:25">
      <c r="O559" s="37">
        <f t="shared" si="9"/>
        <v>4.5400000000000267E-2</v>
      </c>
      <c r="P559" s="38" t="str">
        <f>IFERROR(_xll.qlBlackFormula(IF(O559&lt;$C$4,"Put","Call"),O559,$C$4,$C$9*SQRT($C$7)),"")</f>
        <v/>
      </c>
      <c r="Q559" s="39">
        <f>IFERROR(_xll.qlBlackFormula(IF(O559&lt;$C$4,"Put","Call"),O559,$C$4,$C$10*SQRT($C$7),,$C$11),"")</f>
        <v>1.4505832159292199E-4</v>
      </c>
      <c r="R559" s="40">
        <f>IFERROR(_xll.qlBachelierBlackFormula(IF(O559&lt;$C$4,"Put","Call"),O559,$C$4,$C$12*SQRT($C$7)),"")</f>
        <v>3.1418633024079732E-5</v>
      </c>
      <c r="S559" s="41" t="str">
        <f>IFERROR((_xll.qlBlackFormula(IF(O559&lt;$C$4,"Put","Call"),O559+$C$14,$C$4,$C$9*SQRT($C$7))-
2*_xll.qlBlackFormula(IF(O559&lt;$C$4,"Put","Call"),O559,$C$4,$C$9*SQRT($C$7))+
_xll.qlBlackFormula(IF(O559&lt;$C$4,"Put","Call"),O559-$C$14,$C$4,$C$9*SQRT($C$7)))/$C$14^2,"")</f>
        <v/>
      </c>
      <c r="T559" s="42">
        <f>IFERROR((_xll.qlBlackFormula(IF(O559&lt;$C$4,"Put","Call"),O559+$C$14,$C$4,$C$10*SQRT($C$7),,$C$11)-
2*_xll.qlBlackFormula(IF(O559&lt;$C$4,"Put","Call"),O559,$C$4,$C$10*SQRT($C$7),,$C$11)+
_xll.qlBlackFormula(IF(O559&lt;$C$4,"Put","Call"),O559-$C$14,$C$4,$C$10*SQRT($C$7),,$C$11))/$C$14^2,"")</f>
        <v>1.6828582798111835</v>
      </c>
      <c r="U559" s="43">
        <f>IFERROR((_xll.qlBachelierBlackFormula(IF(O559&lt;$C$4,"Put","Call"),O559+$C$14,$C$4,$C$12*SQRT($C$7))-
2*_xll.qlBachelierBlackFormula(IF(O559&lt;$C$4,"Put","Call"),O559,$C$4,$C$12*SQRT($C$7))+
_xll.qlBachelierBlackFormula(IF(O559&lt;$C$4,"Put","Call"),O559-$C$14,$C$4,$C$12*SQRT($C$7)))/$C$14^2,"")</f>
        <v>1.0650616131223367</v>
      </c>
      <c r="V559" s="61" t="str">
        <f>IFERROR(_xll.qlBachelierBlackFormulaImpliedVol(IF(O559&lt;$C$4,"Put","Call"),O559,$C$4,$C$7,P559),"")</f>
        <v/>
      </c>
      <c r="W559" s="61">
        <f>IFERROR(_xll.qlBachelierBlackFormulaImpliedVol(IF(O559&lt;$C$4,"Put","Call"),O559,$C$4,$C$7,Q559),"")</f>
        <v>8.8029054639804823E-3</v>
      </c>
      <c r="X559" s="61">
        <f>IFERROR(_xll.qlBachelierBlackFormulaImpliedVol(IF(O559&lt;$C$4,"Put","Call"),O559,$C$4,$C$7,R559),"")</f>
        <v>7.2020000000154001E-3</v>
      </c>
      <c r="Y559" s="96">
        <f>_xll.qlSmileSectionVolatility($C$40,O559+$C$31)</f>
        <v>1.0189878470815091E-2</v>
      </c>
    </row>
    <row r="560" spans="15:25">
      <c r="O560" s="37">
        <f t="shared" si="9"/>
        <v>4.5500000000000269E-2</v>
      </c>
      <c r="P560" s="38" t="str">
        <f>IFERROR(_xll.qlBlackFormula(IF(O560&lt;$C$4,"Put","Call"),O560,$C$4,$C$9*SQRT($C$7)),"")</f>
        <v/>
      </c>
      <c r="Q560" s="39">
        <f>IFERROR(_xll.qlBlackFormula(IF(O560&lt;$C$4,"Put","Call"),O560,$C$4,$C$10*SQRT($C$7),,$C$11),"")</f>
        <v>1.4346602894984E-4</v>
      </c>
      <c r="R560" s="40">
        <f>IFERROR(_xll.qlBachelierBlackFormula(IF(O560&lt;$C$4,"Put","Call"),O560,$C$4,$C$12*SQRT($C$7)),"")</f>
        <v>3.0817994684751435E-5</v>
      </c>
      <c r="S560" s="41" t="str">
        <f>IFERROR((_xll.qlBlackFormula(IF(O560&lt;$C$4,"Put","Call"),O560+$C$14,$C$4,$C$9*SQRT($C$7))-
2*_xll.qlBlackFormula(IF(O560&lt;$C$4,"Put","Call"),O560,$C$4,$C$9*SQRT($C$7))+
_xll.qlBlackFormula(IF(O560&lt;$C$4,"Put","Call"),O560-$C$14,$C$4,$C$9*SQRT($C$7)))/$C$14^2,"")</f>
        <v/>
      </c>
      <c r="T560" s="42">
        <f>IFERROR((_xll.qlBlackFormula(IF(O560&lt;$C$4,"Put","Call"),O560+$C$14,$C$4,$C$10*SQRT($C$7),,$C$11)-
2*_xll.qlBlackFormula(IF(O560&lt;$C$4,"Put","Call"),O560,$C$4,$C$10*SQRT($C$7),,$C$11)+
_xll.qlBlackFormula(IF(O560&lt;$C$4,"Put","Call"),O560-$C$14,$C$4,$C$10*SQRT($C$7),,$C$11))/$C$14^2,"")</f>
        <v>1.6664200401528273</v>
      </c>
      <c r="U560" s="43">
        <f>IFERROR((_xll.qlBachelierBlackFormula(IF(O560&lt;$C$4,"Put","Call"),O560+$C$14,$C$4,$C$12*SQRT($C$7))-
2*_xll.qlBachelierBlackFormula(IF(O560&lt;$C$4,"Put","Call"),O560,$C$4,$C$12*SQRT($C$7))+
_xll.qlBachelierBlackFormula(IF(O560&lt;$C$4,"Put","Call"),O560-$C$14,$C$4,$C$12*SQRT($C$7)))/$C$14^2,"")</f>
        <v>1.0485754517279566</v>
      </c>
      <c r="V560" s="61" t="str">
        <f>IFERROR(_xll.qlBachelierBlackFormulaImpliedVol(IF(O560&lt;$C$4,"Put","Call"),O560,$C$4,$C$7,P560),"")</f>
        <v/>
      </c>
      <c r="W560" s="61">
        <f>IFERROR(_xll.qlBachelierBlackFormulaImpliedVol(IF(O560&lt;$C$4,"Put","Call"),O560,$C$4,$C$7,Q560),"")</f>
        <v>8.8066419029747042E-3</v>
      </c>
      <c r="X560" s="61">
        <f>IFERROR(_xll.qlBachelierBlackFormulaImpliedVol(IF(O560&lt;$C$4,"Put","Call"),O560,$C$4,$C$7,R560),"")</f>
        <v>7.2020000000330318E-3</v>
      </c>
      <c r="Y560" s="96">
        <f>_xll.qlSmileSectionVolatility($C$40,O560+$C$31)</f>
        <v>1.0198748277718609E-2</v>
      </c>
    </row>
    <row r="561" spans="15:25">
      <c r="O561" s="37">
        <f t="shared" si="9"/>
        <v>4.5600000000000272E-2</v>
      </c>
      <c r="P561" s="38" t="str">
        <f>IFERROR(_xll.qlBlackFormula(IF(O561&lt;$C$4,"Put","Call"),O561,$C$4,$C$9*SQRT($C$7)),"")</f>
        <v/>
      </c>
      <c r="Q561" s="39">
        <f>IFERROR(_xll.qlBlackFormula(IF(O561&lt;$C$4,"Put","Call"),O561,$C$4,$C$10*SQRT($C$7),,$C$11),"")</f>
        <v>1.4189040073148704E-4</v>
      </c>
      <c r="R561" s="40">
        <f>IFERROR(_xll.qlBachelierBlackFormula(IF(O561&lt;$C$4,"Put","Call"),O561,$C$4,$C$12*SQRT($C$7)),"")</f>
        <v>3.022784229060664E-5</v>
      </c>
      <c r="S561" s="41" t="str">
        <f>IFERROR((_xll.qlBlackFormula(IF(O561&lt;$C$4,"Put","Call"),O561+$C$14,$C$4,$C$9*SQRT($C$7))-
2*_xll.qlBlackFormula(IF(O561&lt;$C$4,"Put","Call"),O561,$C$4,$C$9*SQRT($C$7))+
_xll.qlBlackFormula(IF(O561&lt;$C$4,"Put","Call"),O561-$C$14,$C$4,$C$9*SQRT($C$7)))/$C$14^2,"")</f>
        <v/>
      </c>
      <c r="T561" s="42">
        <f>IFERROR((_xll.qlBlackFormula(IF(O561&lt;$C$4,"Put","Call"),O561+$C$14,$C$4,$C$10*SQRT($C$7),,$C$11)-
2*_xll.qlBlackFormula(IF(O561&lt;$C$4,"Put","Call"),O561,$C$4,$C$10*SQRT($C$7),,$C$11)+
_xll.qlBlackFormula(IF(O561&lt;$C$4,"Put","Call"),O561-$C$14,$C$4,$C$10*SQRT($C$7),,$C$11))/$C$14^2,"")</f>
        <v>1.6501513697142478</v>
      </c>
      <c r="U561" s="43">
        <f>IFERROR((_xll.qlBachelierBlackFormula(IF(O561&lt;$C$4,"Put","Call"),O561+$C$14,$C$4,$C$12*SQRT($C$7))-
2*_xll.qlBachelierBlackFormula(IF(O561&lt;$C$4,"Put","Call"),O561,$C$4,$C$12*SQRT($C$7))+
_xll.qlBachelierBlackFormula(IF(O561&lt;$C$4,"Put","Call"),O561-$C$14,$C$4,$C$12*SQRT($C$7)))/$C$14^2,"")</f>
        <v>1.0323122023002396</v>
      </c>
      <c r="V561" s="61" t="str">
        <f>IFERROR(_xll.qlBachelierBlackFormulaImpliedVol(IF(O561&lt;$C$4,"Put","Call"),O561,$C$4,$C$7,P561),"")</f>
        <v/>
      </c>
      <c r="W561" s="61">
        <f>IFERROR(_xll.qlBachelierBlackFormulaImpliedVol(IF(O561&lt;$C$4,"Put","Call"),O561,$C$4,$C$7,Q561),"")</f>
        <v>8.8103774125543807E-3</v>
      </c>
      <c r="X561" s="61">
        <f>IFERROR(_xll.qlBachelierBlackFormulaImpliedVol(IF(O561&lt;$C$4,"Put","Call"),O561,$C$4,$C$7,R561),"")</f>
        <v>7.202000000051066E-3</v>
      </c>
      <c r="Y561" s="96">
        <f>_xll.qlSmileSectionVolatility($C$40,O561+$C$31)</f>
        <v>1.0207620385145262E-2</v>
      </c>
    </row>
    <row r="562" spans="15:25">
      <c r="O562" s="37">
        <f t="shared" si="9"/>
        <v>4.5700000000000275E-2</v>
      </c>
      <c r="P562" s="38" t="str">
        <f>IFERROR(_xll.qlBlackFormula(IF(O562&lt;$C$4,"Put","Call"),O562,$C$4,$C$9*SQRT($C$7)),"")</f>
        <v/>
      </c>
      <c r="Q562" s="39">
        <f>IFERROR(_xll.qlBlackFormula(IF(O562&lt;$C$4,"Put","Call"),O562,$C$4,$C$10*SQRT($C$7),,$C$11),"")</f>
        <v>1.4033127403081437E-4</v>
      </c>
      <c r="R562" s="40">
        <f>IFERROR(_xll.qlBachelierBlackFormula(IF(O562&lt;$C$4,"Put","Call"),O562,$C$4,$C$12*SQRT($C$7)),"")</f>
        <v>2.9648013163722944E-5</v>
      </c>
      <c r="S562" s="41" t="str">
        <f>IFERROR((_xll.qlBlackFormula(IF(O562&lt;$C$4,"Put","Call"),O562+$C$14,$C$4,$C$9*SQRT($C$7))-
2*_xll.qlBlackFormula(IF(O562&lt;$C$4,"Put","Call"),O562,$C$4,$C$9*SQRT($C$7))+
_xll.qlBlackFormula(IF(O562&lt;$C$4,"Put","Call"),O562-$C$14,$C$4,$C$9*SQRT($C$7)))/$C$14^2,"")</f>
        <v/>
      </c>
      <c r="T562" s="42">
        <f>IFERROR((_xll.qlBlackFormula(IF(O562&lt;$C$4,"Put","Call"),O562+$C$14,$C$4,$C$10*SQRT($C$7),,$C$11)-
2*_xll.qlBlackFormula(IF(O562&lt;$C$4,"Put","Call"),O562,$C$4,$C$10*SQRT($C$7),,$C$11)+
_xll.qlBlackFormula(IF(O562&lt;$C$4,"Put","Call"),O562-$C$14,$C$4,$C$10*SQRT($C$7),,$C$11))/$C$14^2,"")</f>
        <v>1.6339974078655173</v>
      </c>
      <c r="U562" s="43">
        <f>IFERROR((_xll.qlBachelierBlackFormula(IF(O562&lt;$C$4,"Put","Call"),O562+$C$14,$C$4,$C$12*SQRT($C$7))-
2*_xll.qlBachelierBlackFormula(IF(O562&lt;$C$4,"Put","Call"),O562,$C$4,$C$12*SQRT($C$7))+
_xll.qlBachelierBlackFormula(IF(O562&lt;$C$4,"Put","Call"),O562-$C$14,$C$4,$C$12*SQRT($C$7)))/$C$14^2,"")</f>
        <v>1.0162543820791543</v>
      </c>
      <c r="V562" s="61" t="str">
        <f>IFERROR(_xll.qlBachelierBlackFormulaImpliedVol(IF(O562&lt;$C$4,"Put","Call"),O562,$C$4,$C$7,P562),"")</f>
        <v/>
      </c>
      <c r="W562" s="61">
        <f>IFERROR(_xll.qlBachelierBlackFormulaImpliedVol(IF(O562&lt;$C$4,"Put","Call"),O562,$C$4,$C$7,Q562),"")</f>
        <v>8.8141119938150644E-3</v>
      </c>
      <c r="X562" s="61">
        <f>IFERROR(_xll.qlBachelierBlackFormulaImpliedVol(IF(O562&lt;$C$4,"Put","Call"),O562,$C$4,$C$7,R562),"")</f>
        <v>7.2020000000695963E-3</v>
      </c>
      <c r="Y562" s="96">
        <f>_xll.qlSmileSectionVolatility($C$40,O562+$C$31)</f>
        <v>1.0216494774628311E-2</v>
      </c>
    </row>
    <row r="563" spans="15:25">
      <c r="O563" s="37">
        <f t="shared" si="9"/>
        <v>4.5800000000000278E-2</v>
      </c>
      <c r="P563" s="38" t="str">
        <f>IFERROR(_xll.qlBlackFormula(IF(O563&lt;$C$4,"Put","Call"),O563,$C$4,$C$9*SQRT($C$7)),"")</f>
        <v/>
      </c>
      <c r="Q563" s="39">
        <f>IFERROR(_xll.qlBlackFormula(IF(O563&lt;$C$4,"Put","Call"),O563,$C$4,$C$10*SQRT($C$7),,$C$11),"")</f>
        <v>1.387884873734395E-4</v>
      </c>
      <c r="R563" s="40">
        <f>IFERROR(_xll.qlBachelierBlackFormula(IF(O563&lt;$C$4,"Put","Call"),O563,$C$4,$C$12*SQRT($C$7)),"")</f>
        <v>2.9078346758071105E-5</v>
      </c>
      <c r="S563" s="41" t="str">
        <f>IFERROR((_xll.qlBlackFormula(IF(O563&lt;$C$4,"Put","Call"),O563+$C$14,$C$4,$C$9*SQRT($C$7))-
2*_xll.qlBlackFormula(IF(O563&lt;$C$4,"Put","Call"),O563,$C$4,$C$9*SQRT($C$7))+
_xll.qlBlackFormula(IF(O563&lt;$C$4,"Put","Call"),O563-$C$14,$C$4,$C$9*SQRT($C$7)))/$C$14^2,"")</f>
        <v/>
      </c>
      <c r="T563" s="42">
        <f>IFERROR((_xll.qlBlackFormula(IF(O563&lt;$C$4,"Put","Call"),O563+$C$14,$C$4,$C$10*SQRT($C$7),,$C$11)-
2*_xll.qlBlackFormula(IF(O563&lt;$C$4,"Put","Call"),O563,$C$4,$C$10*SQRT($C$7),,$C$11)+
_xll.qlBlackFormula(IF(O563&lt;$C$4,"Put","Call"),O563-$C$14,$C$4,$C$10*SQRT($C$7),,$C$11))/$C$14^2,"")</f>
        <v>1.6179932827570243</v>
      </c>
      <c r="U563" s="43">
        <f>IFERROR((_xll.qlBachelierBlackFormula(IF(O563&lt;$C$4,"Put","Call"),O563+$C$14,$C$4,$C$12*SQRT($C$7))-
2*_xll.qlBachelierBlackFormula(IF(O563&lt;$C$4,"Put","Call"),O563,$C$4,$C$12*SQRT($C$7))+
_xll.qlBachelierBlackFormula(IF(O563&lt;$C$4,"Put","Call"),O563-$C$14,$C$4,$C$12*SQRT($C$7)))/$C$14^2,"")</f>
        <v>1.0004124807207193</v>
      </c>
      <c r="V563" s="61" t="str">
        <f>IFERROR(_xll.qlBachelierBlackFormulaImpliedVol(IF(O563&lt;$C$4,"Put","Call"),O563,$C$4,$C$7,P563),"")</f>
        <v/>
      </c>
      <c r="W563" s="61">
        <f>IFERROR(_xll.qlBachelierBlackFormulaImpliedVol(IF(O563&lt;$C$4,"Put","Call"),O563,$C$4,$C$7,Q563),"")</f>
        <v>8.8178456478497143E-3</v>
      </c>
      <c r="X563" s="61">
        <f>IFERROR(_xll.qlBachelierBlackFormulaImpliedVol(IF(O563&lt;$C$4,"Put","Call"),O563,$C$4,$C$7,R563),"")</f>
        <v>7.2020000000884762E-3</v>
      </c>
      <c r="Y563" s="96">
        <f>_xll.qlSmileSectionVolatility($C$40,O563+$C$31)</f>
        <v>1.0225371427817782E-2</v>
      </c>
    </row>
    <row r="564" spans="15:25">
      <c r="O564" s="37">
        <f t="shared" si="9"/>
        <v>4.5900000000000281E-2</v>
      </c>
      <c r="P564" s="38" t="str">
        <f>IFERROR(_xll.qlBlackFormula(IF(O564&lt;$C$4,"Put","Call"),O564,$C$4,$C$9*SQRT($C$7)),"")</f>
        <v/>
      </c>
      <c r="Q564" s="39">
        <f>IFERROR(_xll.qlBlackFormula(IF(O564&lt;$C$4,"Put","Call"),O564,$C$4,$C$10*SQRT($C$7),,$C$11),"")</f>
        <v>1.3726188070732029E-4</v>
      </c>
      <c r="R564" s="40">
        <f>IFERROR(_xll.qlBachelierBlackFormula(IF(O564&lt;$C$4,"Put","Call"),O564,$C$4,$C$12*SQRT($C$7)),"")</f>
        <v>2.8518684638659567E-5</v>
      </c>
      <c r="S564" s="41" t="str">
        <f>IFERROR((_xll.qlBlackFormula(IF(O564&lt;$C$4,"Put","Call"),O564+$C$14,$C$4,$C$9*SQRT($C$7))-
2*_xll.qlBlackFormula(IF(O564&lt;$C$4,"Put","Call"),O564,$C$4,$C$9*SQRT($C$7))+
_xll.qlBlackFormula(IF(O564&lt;$C$4,"Put","Call"),O564-$C$14,$C$4,$C$9*SQRT($C$7)))/$C$14^2,"")</f>
        <v/>
      </c>
      <c r="T564" s="42">
        <f>IFERROR((_xll.qlBlackFormula(IF(O564&lt;$C$4,"Put","Call"),O564+$C$14,$C$4,$C$10*SQRT($C$7),,$C$11)-
2*_xll.qlBlackFormula(IF(O564&lt;$C$4,"Put","Call"),O564,$C$4,$C$10*SQRT($C$7),,$C$11)+
_xll.qlBlackFormula(IF(O564&lt;$C$4,"Put","Call"),O564-$C$14,$C$4,$C$10*SQRT($C$7),,$C$11))/$C$14^2,"")</f>
        <v>1.60212121347314</v>
      </c>
      <c r="U564" s="43">
        <f>IFERROR((_xll.qlBachelierBlackFormula(IF(O564&lt;$C$4,"Put","Call"),O564+$C$14,$C$4,$C$12*SQRT($C$7))-
2*_xll.qlBachelierBlackFormula(IF(O564&lt;$C$4,"Put","Call"),O564,$C$4,$C$12*SQRT($C$7))+
_xll.qlBachelierBlackFormula(IF(O564&lt;$C$4,"Put","Call"),O564-$C$14,$C$4,$C$12*SQRT($C$7)))/$C$14^2,"")</f>
        <v>0.98477682172054548</v>
      </c>
      <c r="V564" s="61" t="str">
        <f>IFERROR(_xll.qlBachelierBlackFormulaImpliedVol(IF(O564&lt;$C$4,"Put","Call"),O564,$C$4,$C$7,P564),"")</f>
        <v/>
      </c>
      <c r="W564" s="61">
        <f>IFERROR(_xll.qlBachelierBlackFormulaImpliedVol(IF(O564&lt;$C$4,"Put","Call"),O564,$C$4,$C$7,Q564),"")</f>
        <v>8.8215783757494316E-3</v>
      </c>
      <c r="X564" s="61">
        <f>IFERROR(_xll.qlBachelierBlackFormulaImpliedVol(IF(O564&lt;$C$4,"Put","Call"),O564,$C$4,$C$7,R564),"")</f>
        <v>7.2020000001076214E-3</v>
      </c>
      <c r="Y564" s="96">
        <f>_xll.qlSmileSectionVolatility($C$40,O564+$C$31)</f>
        <v>1.0234250326479722E-2</v>
      </c>
    </row>
    <row r="565" spans="15:25">
      <c r="O565" s="37">
        <f t="shared" si="9"/>
        <v>4.6000000000000284E-2</v>
      </c>
      <c r="P565" s="38" t="str">
        <f>IFERROR(_xll.qlBlackFormula(IF(O565&lt;$C$4,"Put","Call"),O565,$C$4,$C$9*SQRT($C$7)),"")</f>
        <v/>
      </c>
      <c r="Q565" s="39">
        <f>IFERROR(_xll.qlBlackFormula(IF(O565&lt;$C$4,"Put","Call"),O565,$C$4,$C$10*SQRT($C$7),,$C$11),"")</f>
        <v>1.3575129539234506E-4</v>
      </c>
      <c r="R565" s="40">
        <f>IFERROR(_xll.qlBachelierBlackFormula(IF(O565&lt;$C$4,"Put","Call"),O565,$C$4,$C$12*SQRT($C$7)),"")</f>
        <v>2.7968870460735922E-5</v>
      </c>
      <c r="S565" s="41" t="str">
        <f>IFERROR((_xll.qlBlackFormula(IF(O565&lt;$C$4,"Put","Call"),O565+$C$14,$C$4,$C$9*SQRT($C$7))-
2*_xll.qlBlackFormula(IF(O565&lt;$C$4,"Put","Call"),O565,$C$4,$C$9*SQRT($C$7))+
_xll.qlBlackFormula(IF(O565&lt;$C$4,"Put","Call"),O565-$C$14,$C$4,$C$9*SQRT($C$7)))/$C$14^2,"")</f>
        <v/>
      </c>
      <c r="T565" s="42">
        <f>IFERROR((_xll.qlBlackFormula(IF(O565&lt;$C$4,"Put","Call"),O565+$C$14,$C$4,$C$10*SQRT($C$7),,$C$11)-
2*_xll.qlBlackFormula(IF(O565&lt;$C$4,"Put","Call"),O565,$C$4,$C$10*SQRT($C$7),,$C$11)+
_xll.qlBlackFormula(IF(O565&lt;$C$4,"Put","Call"),O565-$C$14,$C$4,$C$10*SQRT($C$7),,$C$11))/$C$14^2,"")</f>
        <v>1.5863972462060172</v>
      </c>
      <c r="U565" s="43">
        <f>IFERROR((_xll.qlBachelierBlackFormula(IF(O565&lt;$C$4,"Put","Call"),O565+$C$14,$C$4,$C$12*SQRT($C$7))-
2*_xll.qlBachelierBlackFormula(IF(O565&lt;$C$4,"Put","Call"),O565,$C$4,$C$12*SQRT($C$7))+
_xll.qlBachelierBlackFormula(IF(O565&lt;$C$4,"Put","Call"),O565-$C$14,$C$4,$C$12*SQRT($C$7)))/$C$14^2,"")</f>
        <v>0.96934846217575088</v>
      </c>
      <c r="V565" s="61" t="str">
        <f>IFERROR(_xll.qlBachelierBlackFormulaImpliedVol(IF(O565&lt;$C$4,"Put","Call"),O565,$C$4,$C$7,P565),"")</f>
        <v/>
      </c>
      <c r="W565" s="61">
        <f>IFERROR(_xll.qlBachelierBlackFormulaImpliedVol(IF(O565&lt;$C$4,"Put","Call"),O565,$C$4,$C$7,Q565),"")</f>
        <v>8.8253101786029253E-3</v>
      </c>
      <c r="X565" s="61">
        <f>IFERROR(_xll.qlBachelierBlackFormulaImpliedVol(IF(O565&lt;$C$4,"Put","Call"),O565,$C$4,$C$7,R565),"")</f>
        <v>7.2020000001271588E-3</v>
      </c>
      <c r="Y565" s="96">
        <f>_xll.qlSmileSectionVolatility($C$40,O565+$C$31)</f>
        <v>1.0243131452495502E-2</v>
      </c>
    </row>
    <row r="566" spans="15:25">
      <c r="O566" s="37">
        <f t="shared" si="9"/>
        <v>4.6100000000000287E-2</v>
      </c>
      <c r="P566" s="38" t="str">
        <f>IFERROR(_xll.qlBlackFormula(IF(O566&lt;$C$4,"Put","Call"),O566,$C$4,$C$9*SQRT($C$7)),"")</f>
        <v/>
      </c>
      <c r="Q566" s="39">
        <f>IFERROR(_xll.qlBlackFormula(IF(O566&lt;$C$4,"Put","Call"),O566,$C$4,$C$10*SQRT($C$7),,$C$11),"")</f>
        <v>1.3425657419008255E-4</v>
      </c>
      <c r="R566" s="40">
        <f>IFERROR(_xll.qlBachelierBlackFormula(IF(O566&lt;$C$4,"Put","Call"),O566,$C$4,$C$12*SQRT($C$7)),"")</f>
        <v>2.7428749949087635E-5</v>
      </c>
      <c r="S566" s="41" t="str">
        <f>IFERROR((_xll.qlBlackFormula(IF(O566&lt;$C$4,"Put","Call"),O566+$C$14,$C$4,$C$9*SQRT($C$7))-
2*_xll.qlBlackFormula(IF(O566&lt;$C$4,"Put","Call"),O566,$C$4,$C$9*SQRT($C$7))+
_xll.qlBlackFormula(IF(O566&lt;$C$4,"Put","Call"),O566-$C$14,$C$4,$C$9*SQRT($C$7)))/$C$14^2,"")</f>
        <v/>
      </c>
      <c r="T566" s="42">
        <f>IFERROR((_xll.qlBlackFormula(IF(O566&lt;$C$4,"Put","Call"),O566+$C$14,$C$4,$C$10*SQRT($C$7),,$C$11)-
2*_xll.qlBlackFormula(IF(O566&lt;$C$4,"Put","Call"),O566,$C$4,$C$10*SQRT($C$7),,$C$11)+
_xll.qlBlackFormula(IF(O566&lt;$C$4,"Put","Call"),O566-$C$14,$C$4,$C$10*SQRT($C$7),,$C$11))/$C$14^2,"")</f>
        <v>1.570814875742621</v>
      </c>
      <c r="U566" s="43">
        <f>IFERROR((_xll.qlBachelierBlackFormula(IF(O566&lt;$C$4,"Put","Call"),O566+$C$14,$C$4,$C$12*SQRT($C$7))-
2*_xll.qlBachelierBlackFormula(IF(O566&lt;$C$4,"Put","Call"),O566,$C$4,$C$12*SQRT($C$7))+
_xll.qlBachelierBlackFormula(IF(O566&lt;$C$4,"Put","Call"),O566-$C$14,$C$4,$C$12*SQRT($C$7)))/$C$14^2,"")</f>
        <v>0.95412891996937699</v>
      </c>
      <c r="V566" s="61" t="str">
        <f>IFERROR(_xll.qlBachelierBlackFormulaImpliedVol(IF(O566&lt;$C$4,"Put","Call"),O566,$C$4,$C$7,P566),"")</f>
        <v/>
      </c>
      <c r="W566" s="61">
        <f>IFERROR(_xll.qlBachelierBlackFormulaImpliedVol(IF(O566&lt;$C$4,"Put","Call"),O566,$C$4,$C$7,Q566),"")</f>
        <v>8.8290410574969318E-3</v>
      </c>
      <c r="X566" s="61">
        <f>IFERROR(_xll.qlBachelierBlackFormulaImpliedVol(IF(O566&lt;$C$4,"Put","Call"),O566,$C$4,$C$7,R566),"")</f>
        <v>7.2020000001469693E-3</v>
      </c>
      <c r="Y566" s="96">
        <f>_xll.qlSmileSectionVolatility($C$40,O566+$C$31)</f>
        <v>1.0252014787861056E-2</v>
      </c>
    </row>
    <row r="567" spans="15:25">
      <c r="O567" s="37">
        <f t="shared" si="9"/>
        <v>4.6200000000000289E-2</v>
      </c>
      <c r="P567" s="38" t="str">
        <f>IFERROR(_xll.qlBlackFormula(IF(O567&lt;$C$4,"Put","Call"),O567,$C$4,$C$9*SQRT($C$7)),"")</f>
        <v/>
      </c>
      <c r="Q567" s="39">
        <f>IFERROR(_xll.qlBlackFormula(IF(O567&lt;$C$4,"Put","Call"),O567,$C$4,$C$10*SQRT($C$7),,$C$11),"")</f>
        <v>1.3277756125344839E-4</v>
      </c>
      <c r="R567" s="40">
        <f>IFERROR(_xll.qlBachelierBlackFormula(IF(O567&lt;$C$4,"Put","Call"),O567,$C$4,$C$12*SQRT($C$7)),"")</f>
        <v>2.689817087743045E-5</v>
      </c>
      <c r="S567" s="41" t="str">
        <f>IFERROR((_xll.qlBlackFormula(IF(O567&lt;$C$4,"Put","Call"),O567+$C$14,$C$4,$C$9*SQRT($C$7))-
2*_xll.qlBlackFormula(IF(O567&lt;$C$4,"Put","Call"),O567,$C$4,$C$9*SQRT($C$7))+
_xll.qlBlackFormula(IF(O567&lt;$C$4,"Put","Call"),O567-$C$14,$C$4,$C$9*SQRT($C$7)))/$C$14^2,"")</f>
        <v/>
      </c>
      <c r="T567" s="42">
        <f>IFERROR((_xll.qlBlackFormula(IF(O567&lt;$C$4,"Put","Call"),O567+$C$14,$C$4,$C$10*SQRT($C$7),,$C$11)-
2*_xll.qlBlackFormula(IF(O567&lt;$C$4,"Put","Call"),O567,$C$4,$C$10*SQRT($C$7),,$C$11)+
_xll.qlBlackFormula(IF(O567&lt;$C$4,"Put","Call"),O567-$C$14,$C$4,$C$10*SQRT($C$7),,$C$11))/$C$14^2,"")</f>
        <v>1.5553649947847026</v>
      </c>
      <c r="U567" s="43">
        <f>IFERROR((_xll.qlBachelierBlackFormula(IF(O567&lt;$C$4,"Put","Call"),O567+$C$14,$C$4,$C$12*SQRT($C$7))-
2*_xll.qlBachelierBlackFormula(IF(O567&lt;$C$4,"Put","Call"),O567,$C$4,$C$12*SQRT($C$7))+
_xll.qlBachelierBlackFormula(IF(O567&lt;$C$4,"Put","Call"),O567-$C$14,$C$4,$C$12*SQRT($C$7)))/$C$14^2,"")</f>
        <v>0.93910518467535398</v>
      </c>
      <c r="V567" s="61" t="str">
        <f>IFERROR(_xll.qlBachelierBlackFormulaImpliedVol(IF(O567&lt;$C$4,"Put","Call"),O567,$C$4,$C$7,P567),"")</f>
        <v/>
      </c>
      <c r="W567" s="61">
        <f>IFERROR(_xll.qlBachelierBlackFormulaImpliedVol(IF(O567&lt;$C$4,"Put","Call"),O567,$C$4,$C$7,Q567),"")</f>
        <v>8.8327710135157281E-3</v>
      </c>
      <c r="X567" s="61">
        <f>IFERROR(_xll.qlBachelierBlackFormulaImpliedVol(IF(O567&lt;$C$4,"Put","Call"),O567,$C$4,$C$7,R567),"")</f>
        <v>7.2020000001671329E-3</v>
      </c>
      <c r="Y567" s="96">
        <f>_xll.qlSmileSectionVolatility($C$40,O567+$C$31)</f>
        <v>1.0260900314686162E-2</v>
      </c>
    </row>
    <row r="568" spans="15:25">
      <c r="O568" s="37">
        <f t="shared" si="9"/>
        <v>4.6300000000000292E-2</v>
      </c>
      <c r="P568" s="38" t="str">
        <f>IFERROR(_xll.qlBlackFormula(IF(O568&lt;$C$4,"Put","Call"),O568,$C$4,$C$9*SQRT($C$7)),"")</f>
        <v/>
      </c>
      <c r="Q568" s="39">
        <f>IFERROR(_xll.qlBlackFormula(IF(O568&lt;$C$4,"Put","Call"),O568,$C$4,$C$10*SQRT($C$7),,$C$11),"")</f>
        <v>1.3131410211656021E-4</v>
      </c>
      <c r="R568" s="40">
        <f>IFERROR(_xll.qlBachelierBlackFormula(IF(O568&lt;$C$4,"Put","Call"),O568,$C$4,$C$12*SQRT($C$7)),"")</f>
        <v>2.6376983047863455E-5</v>
      </c>
      <c r="S568" s="41" t="str">
        <f>IFERROR((_xll.qlBlackFormula(IF(O568&lt;$C$4,"Put","Call"),O568+$C$14,$C$4,$C$9*SQRT($C$7))-
2*_xll.qlBlackFormula(IF(O568&lt;$C$4,"Put","Call"),O568,$C$4,$C$9*SQRT($C$7))+
_xll.qlBlackFormula(IF(O568&lt;$C$4,"Put","Call"),O568-$C$14,$C$4,$C$9*SQRT($C$7)))/$C$14^2,"")</f>
        <v/>
      </c>
      <c r="T568" s="42">
        <f>IFERROR((_xll.qlBlackFormula(IF(O568&lt;$C$4,"Put","Call"),O568+$C$14,$C$4,$C$10*SQRT($C$7),,$C$11)-
2*_xll.qlBlackFormula(IF(O568&lt;$C$4,"Put","Call"),O568,$C$4,$C$10*SQRT($C$7),,$C$11)+
_xll.qlBlackFormula(IF(O568&lt;$C$4,"Put","Call"),O568-$C$14,$C$4,$C$10*SQRT($C$7),,$C$11))/$C$14^2,"")</f>
        <v>1.5400521569813863</v>
      </c>
      <c r="U568" s="43">
        <f>IFERROR((_xll.qlBachelierBlackFormula(IF(O568&lt;$C$4,"Put","Call"),O568+$C$14,$C$4,$C$12*SQRT($C$7))-
2*_xll.qlBachelierBlackFormula(IF(O568&lt;$C$4,"Put","Call"),O568,$C$4,$C$12*SQRT($C$7))+
_xll.qlBachelierBlackFormula(IF(O568&lt;$C$4,"Put","Call"),O568-$C$14,$C$4,$C$12*SQRT($C$7)))/$C$14^2,"")</f>
        <v>0.92428939935801369</v>
      </c>
      <c r="V568" s="61" t="str">
        <f>IFERROR(_xll.qlBachelierBlackFormulaImpliedVol(IF(O568&lt;$C$4,"Put","Call"),O568,$C$4,$C$7,P568),"")</f>
        <v/>
      </c>
      <c r="W568" s="61">
        <f>IFERROR(_xll.qlBachelierBlackFormulaImpliedVol(IF(O568&lt;$C$4,"Put","Call"),O568,$C$4,$C$7,Q568),"")</f>
        <v>8.8365000477418146E-3</v>
      </c>
      <c r="X568" s="61">
        <f>IFERROR(_xll.qlBachelierBlackFormulaImpliedVol(IF(O568&lt;$C$4,"Put","Call"),O568,$C$4,$C$7,R568),"")</f>
        <v>7.2020000001874473E-3</v>
      </c>
      <c r="Y568" s="96">
        <f>_xll.qlSmileSectionVolatility($C$40,O568+$C$31)</f>
        <v>1.0269788015193746E-2</v>
      </c>
    </row>
    <row r="569" spans="15:25">
      <c r="O569" s="37">
        <f t="shared" si="9"/>
        <v>4.6400000000000295E-2</v>
      </c>
      <c r="P569" s="38" t="str">
        <f>IFERROR(_xll.qlBlackFormula(IF(O569&lt;$C$4,"Put","Call"),O569,$C$4,$C$9*SQRT($C$7)),"")</f>
        <v/>
      </c>
      <c r="Q569" s="39">
        <f>IFERROR(_xll.qlBlackFormula(IF(O569&lt;$C$4,"Put","Call"),O569,$C$4,$C$10*SQRT($C$7),,$C$11),"")</f>
        <v>1.2986604368450368E-4</v>
      </c>
      <c r="R569" s="40">
        <f>IFERROR(_xll.qlBachelierBlackFormula(IF(O569&lt;$C$4,"Put","Call"),O569,$C$4,$C$12*SQRT($C$7)),"")</f>
        <v>2.5865038270451529E-5</v>
      </c>
      <c r="S569" s="41" t="str">
        <f>IFERROR((_xll.qlBlackFormula(IF(O569&lt;$C$4,"Put","Call"),O569+$C$14,$C$4,$C$9*SQRT($C$7))-
2*_xll.qlBlackFormula(IF(O569&lt;$C$4,"Put","Call"),O569,$C$4,$C$9*SQRT($C$7))+
_xll.qlBlackFormula(IF(O569&lt;$C$4,"Put","Call"),O569-$C$14,$C$4,$C$9*SQRT($C$7)))/$C$14^2,"")</f>
        <v/>
      </c>
      <c r="T569" s="42">
        <f>IFERROR((_xll.qlBlackFormula(IF(O569&lt;$C$4,"Put","Call"),O569+$C$14,$C$4,$C$10*SQRT($C$7),,$C$11)-
2*_xll.qlBlackFormula(IF(O569&lt;$C$4,"Put","Call"),O569,$C$4,$C$10*SQRT($C$7),,$C$11)+
_xll.qlBlackFormula(IF(O569&lt;$C$4,"Put","Call"),O569-$C$14,$C$4,$C$10*SQRT($C$7),,$C$11))/$C$14^2,"")</f>
        <v>1.5248867706735281</v>
      </c>
      <c r="U569" s="43">
        <f>IFERROR((_xll.qlBachelierBlackFormula(IF(O569&lt;$C$4,"Put","Call"),O569+$C$14,$C$4,$C$12*SQRT($C$7))-
2*_xll.qlBachelierBlackFormula(IF(O569&lt;$C$4,"Put","Call"),O569,$C$4,$C$12*SQRT($C$7))+
_xll.qlBachelierBlackFormula(IF(O569&lt;$C$4,"Put","Call"),O569-$C$14,$C$4,$C$12*SQRT($C$7)))/$C$14^2,"")</f>
        <v>0.90967004436927346</v>
      </c>
      <c r="V569" s="61" t="str">
        <f>IFERROR(_xll.qlBachelierBlackFormulaImpliedVol(IF(O569&lt;$C$4,"Put","Call"),O569,$C$4,$C$7,P569),"")</f>
        <v/>
      </c>
      <c r="W569" s="61">
        <f>IFERROR(_xll.qlBachelierBlackFormulaImpliedVol(IF(O569&lt;$C$4,"Put","Call"),O569,$C$4,$C$7,Q569),"")</f>
        <v>8.8402281612551935E-3</v>
      </c>
      <c r="X569" s="61">
        <f>IFERROR(_xll.qlBachelierBlackFormulaImpliedVol(IF(O569&lt;$C$4,"Put","Call"),O569,$C$4,$C$7,R569),"")</f>
        <v>7.2020000002080272E-3</v>
      </c>
      <c r="Y569" s="96">
        <f>_xll.qlSmileSectionVolatility($C$40,O569+$C$31)</f>
        <v>1.0278677871719141E-2</v>
      </c>
    </row>
    <row r="570" spans="15:25">
      <c r="O570" s="37">
        <f t="shared" si="9"/>
        <v>4.6500000000000298E-2</v>
      </c>
      <c r="P570" s="38" t="str">
        <f>IFERROR(_xll.qlBlackFormula(IF(O570&lt;$C$4,"Put","Call"),O570,$C$4,$C$9*SQRT($C$7)),"")</f>
        <v/>
      </c>
      <c r="Q570" s="39">
        <f>IFERROR(_xll.qlBlackFormula(IF(O570&lt;$C$4,"Put","Call"),O570,$C$4,$C$10*SQRT($C$7),,$C$11),"")</f>
        <v>1.2843323422325023E-4</v>
      </c>
      <c r="R570" s="40">
        <f>IFERROR(_xll.qlBachelierBlackFormula(IF(O570&lt;$C$4,"Put","Call"),O570,$C$4,$C$12*SQRT($C$7)),"")</f>
        <v>2.5362190342863018E-5</v>
      </c>
      <c r="S570" s="41" t="str">
        <f>IFERROR((_xll.qlBlackFormula(IF(O570&lt;$C$4,"Put","Call"),O570+$C$14,$C$4,$C$9*SQRT($C$7))-
2*_xll.qlBlackFormula(IF(O570&lt;$C$4,"Put","Call"),O570,$C$4,$C$9*SQRT($C$7))+
_xll.qlBlackFormula(IF(O570&lt;$C$4,"Put","Call"),O570-$C$14,$C$4,$C$9*SQRT($C$7)))/$C$14^2,"")</f>
        <v/>
      </c>
      <c r="T570" s="42">
        <f>IFERROR((_xll.qlBlackFormula(IF(O570&lt;$C$4,"Put","Call"),O570+$C$14,$C$4,$C$10*SQRT($C$7),,$C$11)-
2*_xll.qlBlackFormula(IF(O570&lt;$C$4,"Put","Call"),O570,$C$4,$C$10*SQRT($C$7),,$C$11)+
_xll.qlBlackFormula(IF(O570&lt;$C$4,"Put","Call"),O570-$C$14,$C$4,$C$10*SQRT($C$7),,$C$11))/$C$14^2,"")</f>
        <v>1.5098445497324642</v>
      </c>
      <c r="U570" s="43">
        <f>IFERROR((_xll.qlBachelierBlackFormula(IF(O570&lt;$C$4,"Put","Call"),O570+$C$14,$C$4,$C$12*SQRT($C$7))-
2*_xll.qlBachelierBlackFormula(IF(O570&lt;$C$4,"Put","Call"),O570,$C$4,$C$12*SQRT($C$7))+
_xll.qlBachelierBlackFormula(IF(O570&lt;$C$4,"Put","Call"),O570-$C$14,$C$4,$C$12*SQRT($C$7)))/$C$14^2,"")</f>
        <v>0.89524495130478832</v>
      </c>
      <c r="V570" s="61" t="str">
        <f>IFERROR(_xll.qlBachelierBlackFormulaImpliedVol(IF(O570&lt;$C$4,"Put","Call"),O570,$C$4,$C$7,P570),"")</f>
        <v/>
      </c>
      <c r="W570" s="61">
        <f>IFERROR(_xll.qlBachelierBlackFormulaImpliedVol(IF(O570&lt;$C$4,"Put","Call"),O570,$C$4,$C$7,Q570),"")</f>
        <v>8.8439553551338985E-3</v>
      </c>
      <c r="X570" s="61">
        <f>IFERROR(_xll.qlBachelierBlackFormulaImpliedVol(IF(O570&lt;$C$4,"Put","Call"),O570,$C$4,$C$7,R570),"")</f>
        <v>7.2020000002288179E-3</v>
      </c>
      <c r="Y570" s="96">
        <f>_xll.qlSmileSectionVolatility($C$40,O570+$C$31)</f>
        <v>1.0287569866709386E-2</v>
      </c>
    </row>
    <row r="571" spans="15:25">
      <c r="O571" s="37">
        <f t="shared" si="9"/>
        <v>4.6600000000000301E-2</v>
      </c>
      <c r="P571" s="38" t="str">
        <f>IFERROR(_xll.qlBlackFormula(IF(O571&lt;$C$4,"Put","Call"),O571,$C$4,$C$9*SQRT($C$7)),"")</f>
        <v/>
      </c>
      <c r="Q571" s="39">
        <f>IFERROR(_xll.qlBlackFormula(IF(O571&lt;$C$4,"Put","Call"),O571,$C$4,$C$10*SQRT($C$7),,$C$11),"")</f>
        <v>1.2701552334955994E-4</v>
      </c>
      <c r="R571" s="40">
        <f>IFERROR(_xll.qlBachelierBlackFormula(IF(O571&lt;$C$4,"Put","Call"),O571,$C$4,$C$12*SQRT($C$7)),"")</f>
        <v>2.4868295030117165E-5</v>
      </c>
      <c r="S571" s="41" t="str">
        <f>IFERROR((_xll.qlBlackFormula(IF(O571&lt;$C$4,"Put","Call"),O571+$C$14,$C$4,$C$9*SQRT($C$7))-
2*_xll.qlBlackFormula(IF(O571&lt;$C$4,"Put","Call"),O571,$C$4,$C$9*SQRT($C$7))+
_xll.qlBlackFormula(IF(O571&lt;$C$4,"Put","Call"),O571-$C$14,$C$4,$C$9*SQRT($C$7)))/$C$14^2,"")</f>
        <v/>
      </c>
      <c r="T571" s="42">
        <f>IFERROR((_xll.qlBlackFormula(IF(O571&lt;$C$4,"Put","Call"),O571+$C$14,$C$4,$C$10*SQRT($C$7),,$C$11)-
2*_xll.qlBlackFormula(IF(O571&lt;$C$4,"Put","Call"),O571,$C$4,$C$10*SQRT($C$7),,$C$11)+
_xll.qlBlackFormula(IF(O571&lt;$C$4,"Put","Call"),O571-$C$14,$C$4,$C$10*SQRT($C$7),,$C$11))/$C$14^2,"")</f>
        <v>1.4949367698607885</v>
      </c>
      <c r="U571" s="43">
        <f>IFERROR((_xll.qlBachelierBlackFormula(IF(O571&lt;$C$4,"Put","Call"),O571+$C$14,$C$4,$C$12*SQRT($C$7))-
2*_xll.qlBachelierBlackFormula(IF(O571&lt;$C$4,"Put","Call"),O571,$C$4,$C$12*SQRT($C$7))+
_xll.qlBachelierBlackFormula(IF(O571&lt;$C$4,"Put","Call"),O571-$C$14,$C$4,$C$12*SQRT($C$7)))/$C$14^2,"")</f>
        <v>0.8810155296273825</v>
      </c>
      <c r="V571" s="61" t="str">
        <f>IFERROR(_xll.qlBachelierBlackFormulaImpliedVol(IF(O571&lt;$C$4,"Put","Call"),O571,$C$4,$C$7,P571),"")</f>
        <v/>
      </c>
      <c r="W571" s="61">
        <f>IFERROR(_xll.qlBachelierBlackFormulaImpliedVol(IF(O571&lt;$C$4,"Put","Call"),O571,$C$4,$C$7,Q571),"")</f>
        <v>8.8476816304538675E-3</v>
      </c>
      <c r="X571" s="61">
        <f>IFERROR(_xll.qlBachelierBlackFormulaImpliedVol(IF(O571&lt;$C$4,"Put","Call"),O571,$C$4,$C$7,R571),"")</f>
        <v>7.2020000002495669E-3</v>
      </c>
      <c r="Y571" s="96">
        <f>_xll.qlSmileSectionVolatility($C$40,O571+$C$31)</f>
        <v>1.0296463982722546E-2</v>
      </c>
    </row>
    <row r="572" spans="15:25">
      <c r="O572" s="37">
        <f t="shared" si="9"/>
        <v>4.6700000000000304E-2</v>
      </c>
      <c r="P572" s="38" t="str">
        <f>IFERROR(_xll.qlBlackFormula(IF(O572&lt;$C$4,"Put","Call"),O572,$C$4,$C$9*SQRT($C$7)),"")</f>
        <v/>
      </c>
      <c r="Q572" s="39">
        <f>IFERROR(_xll.qlBlackFormula(IF(O572&lt;$C$4,"Put","Call"),O572,$C$4,$C$10*SQRT($C$7),,$C$11),"")</f>
        <v>1.2561276202093809E-4</v>
      </c>
      <c r="R572" s="40">
        <f>IFERROR(_xll.qlBachelierBlackFormula(IF(O572&lt;$C$4,"Put","Call"),O572,$C$4,$C$12*SQRT($C$7)),"")</f>
        <v>2.4383210044433751E-5</v>
      </c>
      <c r="S572" s="41" t="str">
        <f>IFERROR((_xll.qlBlackFormula(IF(O572&lt;$C$4,"Put","Call"),O572+$C$14,$C$4,$C$9*SQRT($C$7))-
2*_xll.qlBlackFormula(IF(O572&lt;$C$4,"Put","Call"),O572,$C$4,$C$9*SQRT($C$7))+
_xll.qlBlackFormula(IF(O572&lt;$C$4,"Put","Call"),O572-$C$14,$C$4,$C$9*SQRT($C$7)))/$C$14^2,"")</f>
        <v/>
      </c>
      <c r="T572" s="42">
        <f>IFERROR((_xll.qlBlackFormula(IF(O572&lt;$C$4,"Put","Call"),O572+$C$14,$C$4,$C$10*SQRT($C$7),,$C$11)-
2*_xll.qlBlackFormula(IF(O572&lt;$C$4,"Put","Call"),O572,$C$4,$C$10*SQRT($C$7),,$C$11)+
_xll.qlBlackFormula(IF(O572&lt;$C$4,"Put","Call"),O572-$C$14,$C$4,$C$10*SQRT($C$7),,$C$11))/$C$14^2,"")</f>
        <v>1.4801684183884944</v>
      </c>
      <c r="U572" s="43">
        <f>IFERROR((_xll.qlBachelierBlackFormula(IF(O572&lt;$C$4,"Put","Call"),O572+$C$14,$C$4,$C$12*SQRT($C$7))-
2*_xll.qlBachelierBlackFormula(IF(O572&lt;$C$4,"Put","Call"),O572,$C$4,$C$12*SQRT($C$7))+
_xll.qlBachelierBlackFormula(IF(O572&lt;$C$4,"Put","Call"),O572-$C$14,$C$4,$C$12*SQRT($C$7)))/$C$14^2,"")</f>
        <v>0.86697980066809122</v>
      </c>
      <c r="V572" s="61" t="str">
        <f>IFERROR(_xll.qlBachelierBlackFormulaImpliedVol(IF(O572&lt;$C$4,"Put","Call"),O572,$C$4,$C$7,P572),"")</f>
        <v/>
      </c>
      <c r="W572" s="61">
        <f>IFERROR(_xll.qlBachelierBlackFormulaImpliedVol(IF(O572&lt;$C$4,"Put","Call"),O572,$C$4,$C$7,Q572),"")</f>
        <v>8.8514069882886862E-3</v>
      </c>
      <c r="X572" s="61">
        <f>IFERROR(_xll.qlBachelierBlackFormulaImpliedVol(IF(O572&lt;$C$4,"Put","Call"),O572,$C$4,$C$7,R572),"")</f>
        <v>7.2020000002706403E-3</v>
      </c>
      <c r="Y572" s="96">
        <f>_xll.qlSmileSectionVolatility($C$40,O572+$C$31)</f>
        <v>1.0305360202426946E-2</v>
      </c>
    </row>
    <row r="573" spans="15:25">
      <c r="O573" s="37">
        <f t="shared" si="9"/>
        <v>4.6800000000000307E-2</v>
      </c>
      <c r="P573" s="38" t="str">
        <f>IFERROR(_xll.qlBlackFormula(IF(O573&lt;$C$4,"Put","Call"),O573,$C$4,$C$9*SQRT($C$7)),"")</f>
        <v/>
      </c>
      <c r="Q573" s="39">
        <f>IFERROR(_xll.qlBlackFormula(IF(O573&lt;$C$4,"Put","Call"),O573,$C$4,$C$10*SQRT($C$7),,$C$11),"")</f>
        <v>1.242248025256703E-4</v>
      </c>
      <c r="R573" s="40">
        <f>IFERROR(_xll.qlBachelierBlackFormula(IF(O573&lt;$C$4,"Put","Call"),O573,$C$4,$C$12*SQRT($C$7)),"")</f>
        <v>2.3906795025164027E-5</v>
      </c>
      <c r="S573" s="41" t="str">
        <f>IFERROR((_xll.qlBlackFormula(IF(O573&lt;$C$4,"Put","Call"),O573+$C$14,$C$4,$C$9*SQRT($C$7))-
2*_xll.qlBlackFormula(IF(O573&lt;$C$4,"Put","Call"),O573,$C$4,$C$9*SQRT($C$7))+
_xll.qlBlackFormula(IF(O573&lt;$C$4,"Put","Call"),O573-$C$14,$C$4,$C$9*SQRT($C$7)))/$C$14^2,"")</f>
        <v/>
      </c>
      <c r="T573" s="42">
        <f>IFERROR((_xll.qlBlackFormula(IF(O573&lt;$C$4,"Put","Call"),O573+$C$14,$C$4,$C$10*SQRT($C$7),,$C$11)-
2*_xll.qlBlackFormula(IF(O573&lt;$C$4,"Put","Call"),O573,$C$4,$C$10*SQRT($C$7),,$C$11)+
_xll.qlBlackFormula(IF(O573&lt;$C$4,"Put","Call"),O573-$C$14,$C$4,$C$10*SQRT($C$7),,$C$11))/$C$14^2,"")</f>
        <v>1.4655310385386366</v>
      </c>
      <c r="U573" s="43">
        <f>IFERROR((_xll.qlBachelierBlackFormula(IF(O573&lt;$C$4,"Put","Call"),O573+$C$14,$C$4,$C$12*SQRT($C$7))-
2*_xll.qlBachelierBlackFormula(IF(O573&lt;$C$4,"Put","Call"),O573,$C$4,$C$12*SQRT($C$7))+
_xll.qlBachelierBlackFormula(IF(O573&lt;$C$4,"Put","Call"),O573-$C$14,$C$4,$C$12*SQRT($C$7)))/$C$14^2,"")</f>
        <v>0.85313708680055667</v>
      </c>
      <c r="V573" s="61" t="str">
        <f>IFERROR(_xll.qlBachelierBlackFormulaImpliedVol(IF(O573&lt;$C$4,"Put","Call"),O573,$C$4,$C$7,P573),"")</f>
        <v/>
      </c>
      <c r="W573" s="61">
        <f>IFERROR(_xll.qlBachelierBlackFormulaImpliedVol(IF(O573&lt;$C$4,"Put","Call"),O573,$C$4,$C$7,Q573),"")</f>
        <v>8.8551314297100406E-3</v>
      </c>
      <c r="X573" s="61">
        <f>IFERROR(_xll.qlBachelierBlackFormulaImpliedVol(IF(O573&lt;$C$4,"Put","Call"),O573,$C$4,$C$7,R573),"")</f>
        <v>7.202000000291706E-3</v>
      </c>
      <c r="Y573" s="96">
        <f>_xll.qlSmileSectionVolatility($C$40,O573+$C$31)</f>
        <v>1.031425850860055E-2</v>
      </c>
    </row>
    <row r="574" spans="15:25">
      <c r="O574" s="37">
        <f t="shared" si="9"/>
        <v>4.6900000000000309E-2</v>
      </c>
      <c r="P574" s="38" t="str">
        <f>IFERROR(_xll.qlBlackFormula(IF(O574&lt;$C$4,"Put","Call"),O574,$C$4,$C$9*SQRT($C$7)),"")</f>
        <v/>
      </c>
      <c r="Q574" s="39">
        <f>IFERROR(_xll.qlBlackFormula(IF(O574&lt;$C$4,"Put","Call"),O574,$C$4,$C$10*SQRT($C$7),,$C$11),"")</f>
        <v>1.2285149847287191E-4</v>
      </c>
      <c r="R574" s="40">
        <f>IFERROR(_xll.qlBachelierBlackFormula(IF(O574&lt;$C$4,"Put","Call"),O574,$C$4,$C$12*SQRT($C$7)),"")</f>
        <v>2.3438911518830334E-5</v>
      </c>
      <c r="S574" s="41" t="str">
        <f>IFERROR((_xll.qlBlackFormula(IF(O574&lt;$C$4,"Put","Call"),O574+$C$14,$C$4,$C$9*SQRT($C$7))-
2*_xll.qlBlackFormula(IF(O574&lt;$C$4,"Put","Call"),O574,$C$4,$C$9*SQRT($C$7))+
_xll.qlBlackFormula(IF(O574&lt;$C$4,"Put","Call"),O574-$C$14,$C$4,$C$9*SQRT($C$7)))/$C$14^2,"")</f>
        <v/>
      </c>
      <c r="T574" s="42">
        <f>IFERROR((_xll.qlBlackFormula(IF(O574&lt;$C$4,"Put","Call"),O574+$C$14,$C$4,$C$10*SQRT($C$7),,$C$11)-
2*_xll.qlBlackFormula(IF(O574&lt;$C$4,"Put","Call"),O574,$C$4,$C$10*SQRT($C$7),,$C$11)+
_xll.qlBlackFormula(IF(O574&lt;$C$4,"Put","Call"),O574-$C$14,$C$4,$C$10*SQRT($C$7),,$C$11))/$C$14^2,"")</f>
        <v>1.4510330870881605</v>
      </c>
      <c r="U574" s="43">
        <f>IFERROR((_xll.qlBachelierBlackFormula(IF(O574&lt;$C$4,"Put","Call"),O574+$C$14,$C$4,$C$12*SQRT($C$7))-
2*_xll.qlBachelierBlackFormula(IF(O574&lt;$C$4,"Put","Call"),O574,$C$4,$C$12*SQRT($C$7))+
_xll.qlBachelierBlackFormula(IF(O574&lt;$C$4,"Put","Call"),O574-$C$14,$C$4,$C$12*SQRT($C$7)))/$C$14^2,"")</f>
        <v>0.83947996123989732</v>
      </c>
      <c r="V574" s="61" t="str">
        <f>IFERROR(_xll.qlBachelierBlackFormulaImpliedVol(IF(O574&lt;$C$4,"Put","Call"),O574,$C$4,$C$7,P574),"")</f>
        <v/>
      </c>
      <c r="W574" s="61">
        <f>IFERROR(_xll.qlBachelierBlackFormulaImpliedVol(IF(O574&lt;$C$4,"Put","Call"),O574,$C$4,$C$7,Q574),"")</f>
        <v>8.8588549557873583E-3</v>
      </c>
      <c r="X574" s="61">
        <f>IFERROR(_xll.qlBachelierBlackFormulaImpliedVol(IF(O574&lt;$C$4,"Put","Call"),O574,$C$4,$C$7,R574),"")</f>
        <v>7.20200000031286E-3</v>
      </c>
      <c r="Y574" s="96">
        <f>_xll.qlSmileSectionVolatility($C$40,O574+$C$31)</f>
        <v>1.0323158884130209E-2</v>
      </c>
    </row>
    <row r="575" spans="15:25">
      <c r="O575" s="37">
        <f t="shared" si="9"/>
        <v>4.7000000000000312E-2</v>
      </c>
      <c r="P575" s="38" t="str">
        <f>IFERROR(_xll.qlBlackFormula(IF(O575&lt;$C$4,"Put","Call"),O575,$C$4,$C$9*SQRT($C$7)),"")</f>
        <v/>
      </c>
      <c r="Q575" s="39">
        <f>IFERROR(_xll.qlBlackFormula(IF(O575&lt;$C$4,"Put","Call"),O575,$C$4,$C$10*SQRT($C$7),,$C$11),"")</f>
        <v>1.2149270478259877E-4</v>
      </c>
      <c r="R575" s="40">
        <f>IFERROR(_xll.qlBachelierBlackFormula(IF(O575&lt;$C$4,"Put","Call"),O575,$C$4,$C$12*SQRT($C$7)),"")</f>
        <v>2.2979422959255874E-5</v>
      </c>
      <c r="S575" s="41" t="str">
        <f>IFERROR((_xll.qlBlackFormula(IF(O575&lt;$C$4,"Put","Call"),O575+$C$14,$C$4,$C$9*SQRT($C$7))-
2*_xll.qlBlackFormula(IF(O575&lt;$C$4,"Put","Call"),O575,$C$4,$C$9*SQRT($C$7))+
_xll.qlBlackFormula(IF(O575&lt;$C$4,"Put","Call"),O575-$C$14,$C$4,$C$9*SQRT($C$7)))/$C$14^2,"")</f>
        <v/>
      </c>
      <c r="T575" s="42">
        <f>IFERROR((_xll.qlBlackFormula(IF(O575&lt;$C$4,"Put","Call"),O575+$C$14,$C$4,$C$10*SQRT($C$7),,$C$11)-
2*_xll.qlBlackFormula(IF(O575&lt;$C$4,"Put","Call"),O575,$C$4,$C$10*SQRT($C$7),,$C$11)+
_xll.qlBlackFormula(IF(O575&lt;$C$4,"Put","Call"),O575-$C$14,$C$4,$C$10*SQRT($C$7),,$C$11))/$C$14^2,"")</f>
        <v>1.4366461579401468</v>
      </c>
      <c r="U575" s="43">
        <f>IFERROR((_xll.qlBachelierBlackFormula(IF(O575&lt;$C$4,"Put","Call"),O575+$C$14,$C$4,$C$12*SQRT($C$7))-
2*_xll.qlBachelierBlackFormula(IF(O575&lt;$C$4,"Put","Call"),O575,$C$4,$C$12*SQRT($C$7))+
_xll.qlBachelierBlackFormula(IF(O575&lt;$C$4,"Put","Call"),O575-$C$14,$C$4,$C$12*SQRT($C$7)))/$C$14^2,"")</f>
        <v>0.82601051107529522</v>
      </c>
      <c r="V575" s="61" t="str">
        <f>IFERROR(_xll.qlBachelierBlackFormulaImpliedVol(IF(O575&lt;$C$4,"Put","Call"),O575,$C$4,$C$7,P575),"")</f>
        <v/>
      </c>
      <c r="W575" s="61">
        <f>IFERROR(_xll.qlBachelierBlackFormulaImpliedVol(IF(O575&lt;$C$4,"Put","Call"),O575,$C$4,$C$7,Q575),"")</f>
        <v>8.8625775675880529E-3</v>
      </c>
      <c r="X575" s="61">
        <f>IFERROR(_xll.qlBachelierBlackFormulaImpliedVol(IF(O575&lt;$C$4,"Put","Call"),O575,$C$4,$C$7,R575),"")</f>
        <v>7.2020000003340792E-3</v>
      </c>
      <c r="Y575" s="96">
        <f>_xll.qlSmileSectionVolatility($C$40,O575+$C$31)</f>
        <v>1.0332061312010978E-2</v>
      </c>
    </row>
    <row r="576" spans="15:25">
      <c r="O576" s="37">
        <f t="shared" si="9"/>
        <v>4.7100000000000315E-2</v>
      </c>
      <c r="P576" s="38" t="str">
        <f>IFERROR(_xll.qlBlackFormula(IF(O576&lt;$C$4,"Put","Call"),O576,$C$4,$C$9*SQRT($C$7)),"")</f>
        <v/>
      </c>
      <c r="Q576" s="39">
        <f>IFERROR(_xll.qlBlackFormula(IF(O576&lt;$C$4,"Put","Call"),O576,$C$4,$C$10*SQRT($C$7),,$C$11),"")</f>
        <v>1.2014827767598316E-4</v>
      </c>
      <c r="R576" s="40">
        <f>IFERROR(_xll.qlBachelierBlackFormula(IF(O576&lt;$C$4,"Put","Call"),O576,$C$4,$C$12*SQRT($C$7)),"")</f>
        <v>2.2528194647809764E-5</v>
      </c>
      <c r="S576" s="41" t="str">
        <f>IFERROR((_xll.qlBlackFormula(IF(O576&lt;$C$4,"Put","Call"),O576+$C$14,$C$4,$C$9*SQRT($C$7))-
2*_xll.qlBlackFormula(IF(O576&lt;$C$4,"Put","Call"),O576,$C$4,$C$9*SQRT($C$7))+
_xll.qlBlackFormula(IF(O576&lt;$C$4,"Put","Call"),O576-$C$14,$C$4,$C$9*SQRT($C$7)))/$C$14^2,"")</f>
        <v/>
      </c>
      <c r="T576" s="42">
        <f>IFERROR((_xll.qlBlackFormula(IF(O576&lt;$C$4,"Put","Call"),O576+$C$14,$C$4,$C$10*SQRT($C$7),,$C$11)-
2*_xll.qlBlackFormula(IF(O576&lt;$C$4,"Put","Call"),O576,$C$4,$C$10*SQRT($C$7),,$C$11)+
_xll.qlBlackFormula(IF(O576&lt;$C$4,"Put","Call"),O576-$C$14,$C$4,$C$10*SQRT($C$7),,$C$11))/$C$14^2,"")</f>
        <v>1.4224038613619427</v>
      </c>
      <c r="U576" s="43">
        <f>IFERROR((_xll.qlBachelierBlackFormula(IF(O576&lt;$C$4,"Put","Call"),O576+$C$14,$C$4,$C$12*SQRT($C$7))-
2*_xll.qlBachelierBlackFormula(IF(O576&lt;$C$4,"Put","Call"),O576,$C$4,$C$12*SQRT($C$7))+
_xll.qlBachelierBlackFormula(IF(O576&lt;$C$4,"Put","Call"),O576-$C$14,$C$4,$C$12*SQRT($C$7)))/$C$14^2,"")</f>
        <v>0.81272353213632242</v>
      </c>
      <c r="V576" s="61" t="str">
        <f>IFERROR(_xll.qlBachelierBlackFormulaImpliedVol(IF(O576&lt;$C$4,"Put","Call"),O576,$C$4,$C$7,P576),"")</f>
        <v/>
      </c>
      <c r="W576" s="61">
        <f>IFERROR(_xll.qlBachelierBlackFormulaImpliedVol(IF(O576&lt;$C$4,"Put","Call"),O576,$C$4,$C$7,Q576),"")</f>
        <v>8.8662992661772324E-3</v>
      </c>
      <c r="X576" s="61">
        <f>IFERROR(_xll.qlBachelierBlackFormulaImpliedVol(IF(O576&lt;$C$4,"Put","Call"),O576,$C$4,$C$7,R576),"")</f>
        <v>7.2020000003552281E-3</v>
      </c>
      <c r="Y576" s="96">
        <f>_xll.qlSmileSectionVolatility($C$40,O576+$C$31)</f>
        <v>1.0340965775345464E-2</v>
      </c>
    </row>
    <row r="577" spans="15:25">
      <c r="O577" s="37">
        <f t="shared" si="9"/>
        <v>4.7200000000000318E-2</v>
      </c>
      <c r="P577" s="38" t="str">
        <f>IFERROR(_xll.qlBlackFormula(IF(O577&lt;$C$4,"Put","Call"),O577,$C$4,$C$9*SQRT($C$7)),"")</f>
        <v/>
      </c>
      <c r="Q577" s="39">
        <f>IFERROR(_xll.qlBlackFormula(IF(O577&lt;$C$4,"Put","Call"),O577,$C$4,$C$10*SQRT($C$7),,$C$11),"")</f>
        <v>1.1881807466548183E-4</v>
      </c>
      <c r="R577" s="40">
        <f>IFERROR(_xll.qlBachelierBlackFormula(IF(O577&lt;$C$4,"Put","Call"),O577,$C$4,$C$12*SQRT($C$7)),"")</f>
        <v>2.2085093733734129E-5</v>
      </c>
      <c r="S577" s="41" t="str">
        <f>IFERROR((_xll.qlBlackFormula(IF(O577&lt;$C$4,"Put","Call"),O577+$C$14,$C$4,$C$9*SQRT($C$7))-
2*_xll.qlBlackFormula(IF(O577&lt;$C$4,"Put","Call"),O577,$C$4,$C$9*SQRT($C$7))+
_xll.qlBlackFormula(IF(O577&lt;$C$4,"Put","Call"),O577-$C$14,$C$4,$C$9*SQRT($C$7)))/$C$14^2,"")</f>
        <v/>
      </c>
      <c r="T577" s="42">
        <f>IFERROR((_xll.qlBlackFormula(IF(O577&lt;$C$4,"Put","Call"),O577+$C$14,$C$4,$C$10*SQRT($C$7),,$C$11)-
2*_xll.qlBlackFormula(IF(O577&lt;$C$4,"Put","Call"),O577,$C$4,$C$10*SQRT($C$7),,$C$11)+
_xll.qlBlackFormula(IF(O577&lt;$C$4,"Put","Call"),O577-$C$14,$C$4,$C$10*SQRT($C$7),,$C$11))/$C$14^2,"")</f>
        <v>1.4082736712883737</v>
      </c>
      <c r="U577" s="43">
        <f>IFERROR((_xll.qlBachelierBlackFormula(IF(O577&lt;$C$4,"Put","Call"),O577+$C$14,$C$4,$C$12*SQRT($C$7))-
2*_xll.qlBachelierBlackFormula(IF(O577&lt;$C$4,"Put","Call"),O577,$C$4,$C$12*SQRT($C$7))+
_xll.qlBachelierBlackFormula(IF(O577&lt;$C$4,"Put","Call"),O577-$C$14,$C$4,$C$12*SQRT($C$7)))/$C$14^2,"")</f>
        <v>0.79962035257064024</v>
      </c>
      <c r="V577" s="61" t="str">
        <f>IFERROR(_xll.qlBachelierBlackFormulaImpliedVol(IF(O577&lt;$C$4,"Put","Call"),O577,$C$4,$C$7,P577),"")</f>
        <v/>
      </c>
      <c r="W577" s="61">
        <f>IFERROR(_xll.qlBachelierBlackFormulaImpliedVol(IF(O577&lt;$C$4,"Put","Call"),O577,$C$4,$C$7,Q577),"")</f>
        <v>8.8700200526181452E-3</v>
      </c>
      <c r="X577" s="61">
        <f>IFERROR(_xll.qlBachelierBlackFormulaImpliedVol(IF(O577&lt;$C$4,"Put","Call"),O577,$C$4,$C$7,R577),"")</f>
        <v>7.2020000003763483E-3</v>
      </c>
      <c r="Y577" s="96">
        <f>_xll.qlSmileSectionVolatility($C$40,O577+$C$31)</f>
        <v>1.0349872257343112E-2</v>
      </c>
    </row>
    <row r="578" spans="15:25">
      <c r="O578" s="37">
        <f t="shared" si="9"/>
        <v>4.7300000000000321E-2</v>
      </c>
      <c r="P578" s="38" t="str">
        <f>IFERROR(_xll.qlBlackFormula(IF(O578&lt;$C$4,"Put","Call"),O578,$C$4,$C$9*SQRT($C$7)),"")</f>
        <v/>
      </c>
      <c r="Q578" s="39">
        <f>IFERROR(_xll.qlBlackFormula(IF(O578&lt;$C$4,"Put","Call"),O578,$C$4,$C$10*SQRT($C$7),,$C$11),"")</f>
        <v>1.1750195454507308E-4</v>
      </c>
      <c r="R578" s="40">
        <f>IFERROR(_xll.qlBachelierBlackFormula(IF(O578&lt;$C$4,"Put","Call"),O578,$C$4,$C$12*SQRT($C$7)),"")</f>
        <v>2.1649989194600359E-5</v>
      </c>
      <c r="S578" s="41" t="str">
        <f>IFERROR((_xll.qlBlackFormula(IF(O578&lt;$C$4,"Put","Call"),O578+$C$14,$C$4,$C$9*SQRT($C$7))-
2*_xll.qlBlackFormula(IF(O578&lt;$C$4,"Put","Call"),O578,$C$4,$C$9*SQRT($C$7))+
_xll.qlBlackFormula(IF(O578&lt;$C$4,"Put","Call"),O578-$C$14,$C$4,$C$9*SQRT($C$7)))/$C$14^2,"")</f>
        <v/>
      </c>
      <c r="T578" s="42">
        <f>IFERROR((_xll.qlBlackFormula(IF(O578&lt;$C$4,"Put","Call"),O578+$C$14,$C$4,$C$10*SQRT($C$7),,$C$11)-
2*_xll.qlBlackFormula(IF(O578&lt;$C$4,"Put","Call"),O578,$C$4,$C$10*SQRT($C$7),,$C$11)+
_xll.qlBlackFormula(IF(O578&lt;$C$4,"Put","Call"),O578-$C$14,$C$4,$C$10*SQRT($C$7),,$C$11))/$C$14^2,"")</f>
        <v>1.3942857285398347</v>
      </c>
      <c r="U578" s="43">
        <f>IFERROR((_xll.qlBachelierBlackFormula(IF(O578&lt;$C$4,"Put","Call"),O578+$C$14,$C$4,$C$12*SQRT($C$7))-
2*_xll.qlBachelierBlackFormula(IF(O578&lt;$C$4,"Put","Call"),O578,$C$4,$C$12*SQRT($C$7))+
_xll.qlBachelierBlackFormula(IF(O578&lt;$C$4,"Put","Call"),O578-$C$14,$C$4,$C$12*SQRT($C$7)))/$C$14^2,"")</f>
        <v>0.78670146026922627</v>
      </c>
      <c r="V578" s="61" t="str">
        <f>IFERROR(_xll.qlBachelierBlackFormulaImpliedVol(IF(O578&lt;$C$4,"Put","Call"),O578,$C$4,$C$7,P578),"")</f>
        <v/>
      </c>
      <c r="W578" s="61">
        <f>IFERROR(_xll.qlBachelierBlackFormulaImpliedVol(IF(O578&lt;$C$4,"Put","Call"),O578,$C$4,$C$7,Q578),"")</f>
        <v>8.8737399279718264E-3</v>
      </c>
      <c r="X578" s="61">
        <f>IFERROR(_xll.qlBachelierBlackFormulaImpliedVol(IF(O578&lt;$C$4,"Put","Call"),O578,$C$4,$C$7,R578),"")</f>
        <v>7.2020000003973489E-3</v>
      </c>
      <c r="Y578" s="96">
        <f>_xll.qlSmileSectionVolatility($C$40,O578+$C$31)</f>
        <v>1.0358780741319542E-2</v>
      </c>
    </row>
    <row r="579" spans="15:25">
      <c r="O579" s="37">
        <f t="shared" si="9"/>
        <v>4.7400000000000324E-2</v>
      </c>
      <c r="P579" s="38" t="str">
        <f>IFERROR(_xll.qlBlackFormula(IF(O579&lt;$C$4,"Put","Call"),O579,$C$4,$C$9*SQRT($C$7)),"")</f>
        <v/>
      </c>
      <c r="Q579" s="39">
        <f>IFERROR(_xll.qlBlackFormula(IF(O579&lt;$C$4,"Put","Call"),O579,$C$4,$C$10*SQRT($C$7),,$C$11),"")</f>
        <v>1.1619977738057982E-4</v>
      </c>
      <c r="R579" s="40">
        <f>IFERROR(_xll.qlBachelierBlackFormula(IF(O579&lt;$C$4,"Put","Call"),O579,$C$4,$C$12*SQRT($C$7)),"")</f>
        <v>2.1222751816851932E-5</v>
      </c>
      <c r="S579" s="41" t="str">
        <f>IFERROR((_xll.qlBlackFormula(IF(O579&lt;$C$4,"Put","Call"),O579+$C$14,$C$4,$C$9*SQRT($C$7))-
2*_xll.qlBlackFormula(IF(O579&lt;$C$4,"Put","Call"),O579,$C$4,$C$9*SQRT($C$7))+
_xll.qlBlackFormula(IF(O579&lt;$C$4,"Put","Call"),O579-$C$14,$C$4,$C$9*SQRT($C$7)))/$C$14^2,"")</f>
        <v/>
      </c>
      <c r="T579" s="42">
        <f>IFERROR((_xll.qlBlackFormula(IF(O579&lt;$C$4,"Put","Call"),O579+$C$14,$C$4,$C$10*SQRT($C$7),,$C$11)-
2*_xll.qlBlackFormula(IF(O579&lt;$C$4,"Put","Call"),O579,$C$4,$C$10*SQRT($C$7),,$C$11)+
_xll.qlBlackFormula(IF(O579&lt;$C$4,"Put","Call"),O579-$C$14,$C$4,$C$10*SQRT($C$7),,$C$11))/$C$14^2,"")</f>
        <v>1.3804163975089656</v>
      </c>
      <c r="U579" s="43">
        <f>IFERROR((_xll.qlBachelierBlackFormula(IF(O579&lt;$C$4,"Put","Call"),O579+$C$14,$C$4,$C$12*SQRT($C$7))-
2*_xll.qlBachelierBlackFormula(IF(O579&lt;$C$4,"Put","Call"),O579,$C$4,$C$12*SQRT($C$7))+
_xll.qlBachelierBlackFormula(IF(O579&lt;$C$4,"Put","Call"),O579-$C$14,$C$4,$C$12*SQRT($C$7)))/$C$14^2,"")</f>
        <v>0.77395839845513514</v>
      </c>
      <c r="V579" s="61" t="str">
        <f>IFERROR(_xll.qlBachelierBlackFormulaImpliedVol(IF(O579&lt;$C$4,"Put","Call"),O579,$C$4,$C$7,P579),"")</f>
        <v/>
      </c>
      <c r="W579" s="61">
        <f>IFERROR(_xll.qlBachelierBlackFormulaImpliedVol(IF(O579&lt;$C$4,"Put","Call"),O579,$C$4,$C$7,Q579),"")</f>
        <v>8.8774588932970834E-3</v>
      </c>
      <c r="X579" s="61">
        <f>IFERROR(_xll.qlBachelierBlackFormulaImpliedVol(IF(O579&lt;$C$4,"Put","Call"),O579,$C$4,$C$7,R579),"")</f>
        <v>7.2020000004183104E-3</v>
      </c>
      <c r="Y579" s="96">
        <f>_xll.qlSmileSectionVolatility($C$40,O579+$C$31)</f>
        <v>1.036769121069585E-2</v>
      </c>
    </row>
    <row r="580" spans="15:25">
      <c r="O580" s="37">
        <f t="shared" si="9"/>
        <v>4.7500000000000327E-2</v>
      </c>
      <c r="P580" s="38" t="str">
        <f>IFERROR(_xll.qlBlackFormula(IF(O580&lt;$C$4,"Put","Call"),O580,$C$4,$C$9*SQRT($C$7)),"")</f>
        <v/>
      </c>
      <c r="Q580" s="39">
        <f>IFERROR(_xll.qlBlackFormula(IF(O580&lt;$C$4,"Put","Call"),O580,$C$4,$C$10*SQRT($C$7),,$C$11),"")</f>
        <v>1.149114045000258E-4</v>
      </c>
      <c r="R580" s="40">
        <f>IFERROR(_xll.qlBachelierBlackFormula(IF(O580&lt;$C$4,"Put","Call"),O580,$C$4,$C$12*SQRT($C$7)),"")</f>
        <v>2.0803254176449647E-5</v>
      </c>
      <c r="S580" s="41" t="str">
        <f>IFERROR((_xll.qlBlackFormula(IF(O580&lt;$C$4,"Put","Call"),O580+$C$14,$C$4,$C$9*SQRT($C$7))-
2*_xll.qlBlackFormula(IF(O580&lt;$C$4,"Put","Call"),O580,$C$4,$C$9*SQRT($C$7))+
_xll.qlBlackFormula(IF(O580&lt;$C$4,"Put","Call"),O580-$C$14,$C$4,$C$9*SQRT($C$7)))/$C$14^2,"")</f>
        <v/>
      </c>
      <c r="T580" s="42">
        <f>IFERROR((_xll.qlBlackFormula(IF(O580&lt;$C$4,"Put","Call"),O580+$C$14,$C$4,$C$10*SQRT($C$7),,$C$11)-
2*_xll.qlBlackFormula(IF(O580&lt;$C$4,"Put","Call"),O580,$C$4,$C$10*SQRT($C$7),,$C$11)+
_xll.qlBlackFormula(IF(O580&lt;$C$4,"Put","Call"),O580-$C$14,$C$4,$C$10*SQRT($C$7),,$C$11))/$C$14^2,"")</f>
        <v>1.3666890969626921</v>
      </c>
      <c r="U580" s="43">
        <f>IFERROR((_xll.qlBachelierBlackFormula(IF(O580&lt;$C$4,"Put","Call"),O580+$C$14,$C$4,$C$12*SQRT($C$7))-
2*_xll.qlBachelierBlackFormula(IF(O580&lt;$C$4,"Put","Call"),O580,$C$4,$C$12*SQRT($C$7))+
_xll.qlBachelierBlackFormula(IF(O580&lt;$C$4,"Put","Call"),O580-$C$14,$C$4,$C$12*SQRT($C$7)))/$C$14^2,"")</f>
        <v>0.76139577498759992</v>
      </c>
      <c r="V580" s="61" t="str">
        <f>IFERROR(_xll.qlBachelierBlackFormulaImpliedVol(IF(O580&lt;$C$4,"Put","Call"),O580,$C$4,$C$7,P580),"")</f>
        <v/>
      </c>
      <c r="W580" s="61">
        <f>IFERROR(_xll.qlBachelierBlackFormulaImpliedVol(IF(O580&lt;$C$4,"Put","Call"),O580,$C$4,$C$7,Q580),"")</f>
        <v>8.8811769496508312E-3</v>
      </c>
      <c r="X580" s="61">
        <f>IFERROR(_xll.qlBachelierBlackFormulaImpliedVol(IF(O580&lt;$C$4,"Put","Call"),O580,$C$4,$C$7,R580),"")</f>
        <v>7.2020000004390091E-3</v>
      </c>
      <c r="Y580" s="96">
        <f>_xll.qlSmileSectionVolatility($C$40,O580+$C$31)</f>
        <v>1.0376603648997968E-2</v>
      </c>
    </row>
    <row r="581" spans="15:25">
      <c r="O581" s="37">
        <f t="shared" si="9"/>
        <v>4.760000000000033E-2</v>
      </c>
      <c r="P581" s="38" t="str">
        <f>IFERROR(_xll.qlBlackFormula(IF(O581&lt;$C$4,"Put","Call"),O581,$C$4,$C$9*SQRT($C$7)),"")</f>
        <v/>
      </c>
      <c r="Q581" s="39">
        <f>IFERROR(_xll.qlBlackFormula(IF(O581&lt;$C$4,"Put","Call"),O581,$C$4,$C$10*SQRT($C$7),,$C$11),"")</f>
        <v>1.1363669848401528E-4</v>
      </c>
      <c r="R581" s="40">
        <f>IFERROR(_xll.qlBachelierBlackFormula(IF(O581&lt;$C$4,"Put","Call"),O581,$C$4,$C$12*SQRT($C$7)),"")</f>
        <v>2.0391370619650043E-5</v>
      </c>
      <c r="S581" s="41" t="str">
        <f>IFERROR((_xll.qlBlackFormula(IF(O581&lt;$C$4,"Put","Call"),O581+$C$14,$C$4,$C$9*SQRT($C$7))-
2*_xll.qlBlackFormula(IF(O581&lt;$C$4,"Put","Call"),O581,$C$4,$C$9*SQRT($C$7))+
_xll.qlBlackFormula(IF(O581&lt;$C$4,"Put","Call"),O581-$C$14,$C$4,$C$9*SQRT($C$7)))/$C$14^2,"")</f>
        <v/>
      </c>
      <c r="T581" s="42">
        <f>IFERROR((_xll.qlBlackFormula(IF(O581&lt;$C$4,"Put","Call"),O581+$C$14,$C$4,$C$10*SQRT($C$7),,$C$11)-
2*_xll.qlBlackFormula(IF(O581&lt;$C$4,"Put","Call"),O581,$C$4,$C$10*SQRT($C$7),,$C$11)+
_xll.qlBlackFormula(IF(O581&lt;$C$4,"Put","Call"),O581-$C$14,$C$4,$C$10*SQRT($C$7),,$C$11))/$C$14^2,"")</f>
        <v>1.3530626272184598</v>
      </c>
      <c r="U581" s="43">
        <f>IFERROR((_xll.qlBachelierBlackFormula(IF(O581&lt;$C$4,"Put","Call"),O581+$C$14,$C$4,$C$12*SQRT($C$7))-
2*_xll.qlBachelierBlackFormula(IF(O581&lt;$C$4,"Put","Call"),O581,$C$4,$C$12*SQRT($C$7))+
_xll.qlBachelierBlackFormula(IF(O581&lt;$C$4,"Put","Call"),O581-$C$14,$C$4,$C$12*SQRT($C$7)))/$C$14^2,"")</f>
        <v>0.74900467230375189</v>
      </c>
      <c r="V581" s="61" t="str">
        <f>IFERROR(_xll.qlBachelierBlackFormulaImpliedVol(IF(O581&lt;$C$4,"Put","Call"),O581,$C$4,$C$7,P581),"")</f>
        <v/>
      </c>
      <c r="W581" s="61">
        <f>IFERROR(_xll.qlBachelierBlackFormulaImpliedVol(IF(O581&lt;$C$4,"Put","Call"),O581,$C$4,$C$7,Q581),"")</f>
        <v>8.8848940980879032E-3</v>
      </c>
      <c r="X581" s="61">
        <f>IFERROR(_xll.qlBachelierBlackFormulaImpliedVol(IF(O581&lt;$C$4,"Put","Call"),O581,$C$4,$C$7,R581),"")</f>
        <v>7.2020000004596324E-3</v>
      </c>
      <c r="Y581" s="96">
        <f>_xll.qlSmileSectionVolatility($C$40,O581+$C$31)</f>
        <v>1.0385518039855979E-2</v>
      </c>
    </row>
    <row r="582" spans="15:25">
      <c r="O582" s="37">
        <f t="shared" si="9"/>
        <v>4.7700000000000332E-2</v>
      </c>
      <c r="P582" s="38" t="str">
        <f>IFERROR(_xll.qlBlackFormula(IF(O582&lt;$C$4,"Put","Call"),O582,$C$4,$C$9*SQRT($C$7)),"")</f>
        <v/>
      </c>
      <c r="Q582" s="39">
        <f>IFERROR(_xll.qlBlackFormula(IF(O582&lt;$C$4,"Put","Call"),O582,$C$4,$C$10*SQRT($C$7),,$C$11),"")</f>
        <v>1.123755231561658E-4</v>
      </c>
      <c r="R582" s="40">
        <f>IFERROR(_xll.qlBachelierBlackFormula(IF(O582&lt;$C$4,"Put","Call"),O582,$C$4,$C$12*SQRT($C$7)),"")</f>
        <v>1.9986977243860996E-5</v>
      </c>
      <c r="S582" s="41" t="str">
        <f>IFERROR((_xll.qlBlackFormula(IF(O582&lt;$C$4,"Put","Call"),O582+$C$14,$C$4,$C$9*SQRT($C$7))-
2*_xll.qlBlackFormula(IF(O582&lt;$C$4,"Put","Call"),O582,$C$4,$C$9*SQRT($C$7))+
_xll.qlBlackFormula(IF(O582&lt;$C$4,"Put","Call"),O582-$C$14,$C$4,$C$9*SQRT($C$7)))/$C$14^2,"")</f>
        <v/>
      </c>
      <c r="T582" s="42">
        <f>IFERROR((_xll.qlBlackFormula(IF(O582&lt;$C$4,"Put","Call"),O582+$C$14,$C$4,$C$10*SQRT($C$7),,$C$11)-
2*_xll.qlBlackFormula(IF(O582&lt;$C$4,"Put","Call"),O582,$C$4,$C$10*SQRT($C$7),,$C$11)+
_xll.qlBlackFormula(IF(O582&lt;$C$4,"Put","Call"),O582-$C$14,$C$4,$C$10*SQRT($C$7),,$C$11))/$C$14^2,"")</f>
        <v>1.3395764532353471</v>
      </c>
      <c r="U582" s="43">
        <f>IFERROR((_xll.qlBachelierBlackFormula(IF(O582&lt;$C$4,"Put","Call"),O582+$C$14,$C$4,$C$12*SQRT($C$7))-
2*_xll.qlBachelierBlackFormula(IF(O582&lt;$C$4,"Put","Call"),O582,$C$4,$C$12*SQRT($C$7))+
_xll.qlBachelierBlackFormula(IF(O582&lt;$C$4,"Put","Call"),O582-$C$14,$C$4,$C$12*SQRT($C$7)))/$C$14^2,"")</f>
        <v>0.73678861406065166</v>
      </c>
      <c r="V582" s="61" t="str">
        <f>IFERROR(_xll.qlBachelierBlackFormulaImpliedVol(IF(O582&lt;$C$4,"Put","Call"),O582,$C$4,$C$7,P582),"")</f>
        <v/>
      </c>
      <c r="W582" s="61">
        <f>IFERROR(_xll.qlBachelierBlackFormulaImpliedVol(IF(O582&lt;$C$4,"Put","Call"),O582,$C$4,$C$7,Q582),"")</f>
        <v>8.8886103396609208E-3</v>
      </c>
      <c r="X582" s="61">
        <f>IFERROR(_xll.qlBachelierBlackFormulaImpliedVol(IF(O582&lt;$C$4,"Put","Call"),O582,$C$4,$C$7,R582),"")</f>
        <v>7.2020000004799105E-3</v>
      </c>
      <c r="Y582" s="96">
        <f>_xll.qlSmileSectionVolatility($C$40,O582+$C$31)</f>
        <v>1.0394434367003477E-2</v>
      </c>
    </row>
    <row r="583" spans="15:25">
      <c r="O583" s="37">
        <f t="shared" si="9"/>
        <v>4.7800000000000335E-2</v>
      </c>
      <c r="P583" s="38" t="str">
        <f>IFERROR(_xll.qlBlackFormula(IF(O583&lt;$C$4,"Put","Call"),O583,$C$4,$C$9*SQRT($C$7)),"")</f>
        <v/>
      </c>
      <c r="Q583" s="39">
        <f>IFERROR(_xll.qlBlackFormula(IF(O583&lt;$C$4,"Put","Call"),O583,$C$4,$C$10*SQRT($C$7),,$C$11),"")</f>
        <v>1.1112774357362036E-4</v>
      </c>
      <c r="R583" s="40">
        <f>IFERROR(_xll.qlBachelierBlackFormula(IF(O583&lt;$C$4,"Put","Call"),O583,$C$4,$C$12*SQRT($C$7)),"")</f>
        <v>1.9589951878634594E-5</v>
      </c>
      <c r="S583" s="41" t="str">
        <f>IFERROR((_xll.qlBlackFormula(IF(O583&lt;$C$4,"Put","Call"),O583+$C$14,$C$4,$C$9*SQRT($C$7))-
2*_xll.qlBlackFormula(IF(O583&lt;$C$4,"Put","Call"),O583,$C$4,$C$9*SQRT($C$7))+
_xll.qlBlackFormula(IF(O583&lt;$C$4,"Put","Call"),O583-$C$14,$C$4,$C$9*SQRT($C$7)))/$C$14^2,"")</f>
        <v/>
      </c>
      <c r="T583" s="42">
        <f>IFERROR((_xll.qlBlackFormula(IF(O583&lt;$C$4,"Put","Call"),O583+$C$14,$C$4,$C$10*SQRT($C$7),,$C$11)-
2*_xll.qlBlackFormula(IF(O583&lt;$C$4,"Put","Call"),O583,$C$4,$C$10*SQRT($C$7),,$C$11)+
_xll.qlBlackFormula(IF(O583&lt;$C$4,"Put","Call"),O583-$C$14,$C$4,$C$10*SQRT($C$7),,$C$11))/$C$14^2,"")</f>
        <v>1.3261989163099175</v>
      </c>
      <c r="U583" s="43">
        <f>IFERROR((_xll.qlBachelierBlackFormula(IF(O583&lt;$C$4,"Put","Call"),O583+$C$14,$C$4,$C$12*SQRT($C$7))-
2*_xll.qlBachelierBlackFormula(IF(O583&lt;$C$4,"Put","Call"),O583,$C$4,$C$12*SQRT($C$7))+
_xll.qlBachelierBlackFormula(IF(O583&lt;$C$4,"Put","Call"),O583-$C$14,$C$4,$C$12*SQRT($C$7)))/$C$14^2,"")</f>
        <v>0.72474071557450392</v>
      </c>
      <c r="V583" s="61" t="str">
        <f>IFERROR(_xll.qlBachelierBlackFormulaImpliedVol(IF(O583&lt;$C$4,"Put","Call"),O583,$C$4,$C$7,P583),"")</f>
        <v/>
      </c>
      <c r="W583" s="61">
        <f>IFERROR(_xll.qlBachelierBlackFormulaImpliedVol(IF(O583&lt;$C$4,"Put","Call"),O583,$C$4,$C$7,Q583),"")</f>
        <v>8.8923256754205506E-3</v>
      </c>
      <c r="X583" s="61">
        <f>IFERROR(_xll.qlBachelierBlackFormulaImpliedVol(IF(O583&lt;$C$4,"Put","Call"),O583,$C$4,$C$7,R583),"")</f>
        <v>7.2020000004999812E-3</v>
      </c>
      <c r="Y583" s="96">
        <f>_xll.qlSmileSectionVolatility($C$40,O583+$C$31)</f>
        <v>1.0403352614276867E-2</v>
      </c>
    </row>
    <row r="584" spans="15:25">
      <c r="O584" s="37">
        <f t="shared" si="9"/>
        <v>4.7900000000000338E-2</v>
      </c>
      <c r="P584" s="38" t="str">
        <f>IFERROR(_xll.qlBlackFormula(IF(O584&lt;$C$4,"Put","Call"),O584,$C$4,$C$9*SQRT($C$7)),"")</f>
        <v/>
      </c>
      <c r="Q584" s="39">
        <f>IFERROR(_xll.qlBlackFormula(IF(O584&lt;$C$4,"Put","Call"),O584,$C$4,$C$10*SQRT($C$7),,$C$11),"")</f>
        <v>1.0989322601757424E-4</v>
      </c>
      <c r="R584" s="40">
        <f>IFERROR(_xll.qlBachelierBlackFormula(IF(O584&lt;$C$4,"Put","Call"),O584,$C$4,$C$12*SQRT($C$7)),"")</f>
        <v>1.9200174066745344E-5</v>
      </c>
      <c r="S584" s="41" t="str">
        <f>IFERROR((_xll.qlBlackFormula(IF(O584&lt;$C$4,"Put","Call"),O584+$C$14,$C$4,$C$9*SQRT($C$7))-
2*_xll.qlBlackFormula(IF(O584&lt;$C$4,"Put","Call"),O584,$C$4,$C$9*SQRT($C$7))+
_xll.qlBlackFormula(IF(O584&lt;$C$4,"Put","Call"),O584-$C$14,$C$4,$C$9*SQRT($C$7)))/$C$14^2,"")</f>
        <v/>
      </c>
      <c r="T584" s="42">
        <f>IFERROR((_xll.qlBlackFormula(IF(O584&lt;$C$4,"Put","Call"),O584+$C$14,$C$4,$C$10*SQRT($C$7),,$C$11)-
2*_xll.qlBlackFormula(IF(O584&lt;$C$4,"Put","Call"),O584,$C$4,$C$10*SQRT($C$7),,$C$11)+
_xll.qlBlackFormula(IF(O584&lt;$C$4,"Put","Call"),O584-$C$14,$C$4,$C$10*SQRT($C$7),,$C$11))/$C$14^2,"")</f>
        <v>1.3129360879743368</v>
      </c>
      <c r="U584" s="43">
        <f>IFERROR((_xll.qlBachelierBlackFormula(IF(O584&lt;$C$4,"Put","Call"),O584+$C$14,$C$4,$C$12*SQRT($C$7))-
2*_xll.qlBachelierBlackFormula(IF(O584&lt;$C$4,"Put","Call"),O584,$C$4,$C$12*SQRT($C$7))+
_xll.qlBachelierBlackFormula(IF(O584&lt;$C$4,"Put","Call"),O584-$C$14,$C$4,$C$12*SQRT($C$7)))/$C$14^2,"")</f>
        <v>0.71286582865003056</v>
      </c>
      <c r="V584" s="61" t="str">
        <f>IFERROR(_xll.qlBachelierBlackFormulaImpliedVol(IF(O584&lt;$C$4,"Put","Call"),O584,$C$4,$C$7,P584),"")</f>
        <v/>
      </c>
      <c r="W584" s="61">
        <f>IFERROR(_xll.qlBachelierBlackFormulaImpliedVol(IF(O584&lt;$C$4,"Put","Call"),O584,$C$4,$C$7,Q584),"")</f>
        <v>8.8960401064152976E-3</v>
      </c>
      <c r="X584" s="61">
        <f>IFERROR(_xll.qlBachelierBlackFormulaImpliedVol(IF(O584&lt;$C$4,"Put","Call"),O584,$C$4,$C$7,R584),"")</f>
        <v>7.2020000005196018E-3</v>
      </c>
      <c r="Y584" s="96">
        <f>_xll.qlSmileSectionVolatility($C$40,O584+$C$31)</f>
        <v>1.0412272765614747E-2</v>
      </c>
    </row>
    <row r="585" spans="15:25">
      <c r="O585" s="37">
        <f t="shared" si="9"/>
        <v>4.8000000000000341E-2</v>
      </c>
      <c r="P585" s="38" t="str">
        <f>IFERROR(_xll.qlBlackFormula(IF(O585&lt;$C$4,"Put","Call"),O585,$C$4,$C$9*SQRT($C$7)),"")</f>
        <v/>
      </c>
      <c r="Q585" s="39">
        <f>IFERROR(_xll.qlBlackFormula(IF(O585&lt;$C$4,"Put","Call"),O585,$C$4,$C$10*SQRT($C$7),,$C$11),"")</f>
        <v>1.0867183798385122E-4</v>
      </c>
      <c r="R585" s="40">
        <f>IFERROR(_xll.qlBachelierBlackFormula(IF(O585&lt;$C$4,"Put","Call"),O585,$C$4,$C$12*SQRT($C$7)),"")</f>
        <v>1.8817525045414175E-5</v>
      </c>
      <c r="S585" s="41" t="str">
        <f>IFERROR((_xll.qlBlackFormula(IF(O585&lt;$C$4,"Put","Call"),O585+$C$14,$C$4,$C$9*SQRT($C$7))-
2*_xll.qlBlackFormula(IF(O585&lt;$C$4,"Put","Call"),O585,$C$4,$C$9*SQRT($C$7))+
_xll.qlBlackFormula(IF(O585&lt;$C$4,"Put","Call"),O585-$C$14,$C$4,$C$9*SQRT($C$7)))/$C$14^2,"")</f>
        <v/>
      </c>
      <c r="T585" s="42">
        <f>IFERROR((_xll.qlBlackFormula(IF(O585&lt;$C$4,"Put","Call"),O585+$C$14,$C$4,$C$10*SQRT($C$7),,$C$11)-
2*_xll.qlBlackFormula(IF(O585&lt;$C$4,"Put","Call"),O585,$C$4,$C$10*SQRT($C$7),,$C$11)+
_xll.qlBlackFormula(IF(O585&lt;$C$4,"Put","Call"),O585-$C$14,$C$4,$C$10*SQRT($C$7),,$C$11))/$C$14^2,"")</f>
        <v>1.2998042312611924</v>
      </c>
      <c r="U585" s="43">
        <f>IFERROR((_xll.qlBachelierBlackFormula(IF(O585&lt;$C$4,"Put","Call"),O585+$C$14,$C$4,$C$12*SQRT($C$7))-
2*_xll.qlBachelierBlackFormula(IF(O585&lt;$C$4,"Put","Call"),O585,$C$4,$C$12*SQRT($C$7))+
_xll.qlBachelierBlackFormula(IF(O585&lt;$C$4,"Put","Call"),O585-$C$14,$C$4,$C$12*SQRT($C$7)))/$C$14^2,"")</f>
        <v>0.70115514414458013</v>
      </c>
      <c r="V585" s="61" t="str">
        <f>IFERROR(_xll.qlBachelierBlackFormulaImpliedVol(IF(O585&lt;$C$4,"Put","Call"),O585,$C$4,$C$7,P585),"")</f>
        <v/>
      </c>
      <c r="W585" s="61">
        <f>IFERROR(_xll.qlBachelierBlackFormulaImpliedVol(IF(O585&lt;$C$4,"Put","Call"),O585,$C$4,$C$7,Q585),"")</f>
        <v>8.8997536336916667E-3</v>
      </c>
      <c r="X585" s="61">
        <f>IFERROR(_xll.qlBachelierBlackFormulaImpliedVol(IF(O585&lt;$C$4,"Put","Call"),O585,$C$4,$C$7,R585),"")</f>
        <v>7.2020000005390637E-3</v>
      </c>
      <c r="Y585" s="96">
        <f>_xll.qlSmileSectionVolatility($C$40,O585+$C$31)</f>
        <v>1.0421194805057234E-2</v>
      </c>
    </row>
    <row r="586" spans="15:25">
      <c r="O586" s="37">
        <f t="shared" si="9"/>
        <v>4.8100000000000344E-2</v>
      </c>
      <c r="P586" s="38" t="str">
        <f>IFERROR(_xll.qlBlackFormula(IF(O586&lt;$C$4,"Put","Call"),O586,$C$4,$C$9*SQRT($C$7)),"")</f>
        <v/>
      </c>
      <c r="Q586" s="39">
        <f>IFERROR(_xll.qlBlackFormula(IF(O586&lt;$C$4,"Put","Call"),O586,$C$4,$C$10*SQRT($C$7),,$C$11),"")</f>
        <v>1.0746344817356155E-4</v>
      </c>
      <c r="R586" s="40">
        <f>IFERROR(_xll.qlBachelierBlackFormula(IF(O586&lt;$C$4,"Put","Call"),O586,$C$4,$C$12*SQRT($C$7)),"")</f>
        <v>1.8441887727604054E-5</v>
      </c>
      <c r="S586" s="41" t="str">
        <f>IFERROR((_xll.qlBlackFormula(IF(O586&lt;$C$4,"Put","Call"),O586+$C$14,$C$4,$C$9*SQRT($C$7))-
2*_xll.qlBlackFormula(IF(O586&lt;$C$4,"Put","Call"),O586,$C$4,$C$9*SQRT($C$7))+
_xll.qlBlackFormula(IF(O586&lt;$C$4,"Put","Call"),O586-$C$14,$C$4,$C$9*SQRT($C$7)))/$C$14^2,"")</f>
        <v/>
      </c>
      <c r="T586" s="42">
        <f>IFERROR((_xll.qlBlackFormula(IF(O586&lt;$C$4,"Put","Call"),O586+$C$14,$C$4,$C$10*SQRT($C$7),,$C$11)-
2*_xll.qlBlackFormula(IF(O586&lt;$C$4,"Put","Call"),O586,$C$4,$C$10*SQRT($C$7),,$C$11)+
_xll.qlBlackFormula(IF(O586&lt;$C$4,"Put","Call"),O586-$C$14,$C$4,$C$10*SQRT($C$7),,$C$11))/$C$14^2,"")</f>
        <v>1.2868046472130912</v>
      </c>
      <c r="U586" s="43">
        <f>IFERROR((_xll.qlBachelierBlackFormula(IF(O586&lt;$C$4,"Put","Call"),O586+$C$14,$C$4,$C$12*SQRT($C$7))-
2*_xll.qlBachelierBlackFormula(IF(O586&lt;$C$4,"Put","Call"),O586,$C$4,$C$12*SQRT($C$7))+
_xll.qlBachelierBlackFormula(IF(O586&lt;$C$4,"Put","Call"),O586-$C$14,$C$4,$C$12*SQRT($C$7)))/$C$14^2,"")</f>
        <v>0.68961150808885541</v>
      </c>
      <c r="V586" s="61" t="str">
        <f>IFERROR(_xll.qlBachelierBlackFormulaImpliedVol(IF(O586&lt;$C$4,"Put","Call"),O586,$C$4,$C$7,P586),"")</f>
        <v/>
      </c>
      <c r="W586" s="61">
        <f>IFERROR(_xll.qlBachelierBlackFormulaImpliedVol(IF(O586&lt;$C$4,"Put","Call"),O586,$C$4,$C$7,Q586),"")</f>
        <v>8.9034662582940394E-3</v>
      </c>
      <c r="X586" s="61">
        <f>IFERROR(_xll.qlBachelierBlackFormulaImpliedVol(IF(O586&lt;$C$4,"Put","Call"),O586,$C$4,$C$7,R586),"")</f>
        <v>7.2020000005581187E-3</v>
      </c>
      <c r="Y586" s="96">
        <f>_xll.qlSmileSectionVolatility($C$40,O586+$C$31)</f>
        <v>1.0430118716745358E-2</v>
      </c>
    </row>
    <row r="587" spans="15:25">
      <c r="O587" s="37">
        <f t="shared" si="9"/>
        <v>4.8200000000000347E-2</v>
      </c>
      <c r="P587" s="38" t="str">
        <f>IFERROR(_xll.qlBlackFormula(IF(O587&lt;$C$4,"Put","Call"),O587,$C$4,$C$9*SQRT($C$7)),"")</f>
        <v/>
      </c>
      <c r="Q587" s="39">
        <f>IFERROR(_xll.qlBlackFormula(IF(O587&lt;$C$4,"Put","Call"),O587,$C$4,$C$10*SQRT($C$7),,$C$11),"")</f>
        <v>1.0626792648378417E-4</v>
      </c>
      <c r="R587" s="40">
        <f>IFERROR(_xll.qlBachelierBlackFormula(IF(O587&lt;$C$4,"Put","Call"),O587,$C$4,$C$12*SQRT($C$7)),"")</f>
        <v>1.8073146683466712E-5</v>
      </c>
      <c r="S587" s="41" t="str">
        <f>IFERROR((_xll.qlBlackFormula(IF(O587&lt;$C$4,"Put","Call"),O587+$C$14,$C$4,$C$9*SQRT($C$7))-
2*_xll.qlBlackFormula(IF(O587&lt;$C$4,"Put","Call"),O587,$C$4,$C$9*SQRT($C$7))+
_xll.qlBlackFormula(IF(O587&lt;$C$4,"Put","Call"),O587-$C$14,$C$4,$C$9*SQRT($C$7)))/$C$14^2,"")</f>
        <v/>
      </c>
      <c r="T587" s="42">
        <f>IFERROR((_xll.qlBlackFormula(IF(O587&lt;$C$4,"Put","Call"),O587+$C$14,$C$4,$C$10*SQRT($C$7),,$C$11)-
2*_xll.qlBlackFormula(IF(O587&lt;$C$4,"Put","Call"),O587,$C$4,$C$10*SQRT($C$7),,$C$11)+
_xll.qlBlackFormula(IF(O587&lt;$C$4,"Put","Call"),O587-$C$14,$C$4,$C$10*SQRT($C$7),,$C$11))/$C$14^2,"")</f>
        <v>1.2739130497013695</v>
      </c>
      <c r="U587" s="43">
        <f>IFERROR((_xll.qlBachelierBlackFormula(IF(O587&lt;$C$4,"Put","Call"),O587+$C$14,$C$4,$C$12*SQRT($C$7))-
2*_xll.qlBachelierBlackFormula(IF(O587&lt;$C$4,"Put","Call"),O587,$C$4,$C$12*SQRT($C$7))+
_xll.qlBachelierBlackFormula(IF(O587&lt;$C$4,"Put","Call"),O587-$C$14,$C$4,$C$12*SQRT($C$7)))/$C$14^2,"")</f>
        <v>0.67823253523807692</v>
      </c>
      <c r="V587" s="61" t="str">
        <f>IFERROR(_xll.qlBachelierBlackFormulaImpliedVol(IF(O587&lt;$C$4,"Put","Call"),O587,$C$4,$C$7,P587),"")</f>
        <v/>
      </c>
      <c r="W587" s="61">
        <f>IFERROR(_xll.qlBachelierBlackFormulaImpliedVol(IF(O587&lt;$C$4,"Put","Call"),O587,$C$4,$C$7,Q587),"")</f>
        <v>8.9071779812648858E-3</v>
      </c>
      <c r="X587" s="61">
        <f>IFERROR(_xll.qlBachelierBlackFormulaImpliedVol(IF(O587&lt;$C$4,"Put","Call"),O587,$C$4,$C$7,R587),"")</f>
        <v>7.20200000057678E-3</v>
      </c>
      <c r="Y587" s="96">
        <f>_xll.qlSmileSectionVolatility($C$40,O587+$C$31)</f>
        <v>1.0439044484920328E-2</v>
      </c>
    </row>
    <row r="588" spans="15:25">
      <c r="O588" s="37">
        <f t="shared" si="9"/>
        <v>4.830000000000035E-2</v>
      </c>
      <c r="P588" s="38" t="str">
        <f>IFERROR(_xll.qlBlackFormula(IF(O588&lt;$C$4,"Put","Call"),O588,$C$4,$C$9*SQRT($C$7)),"")</f>
        <v/>
      </c>
      <c r="Q588" s="39">
        <f>IFERROR(_xll.qlBlackFormula(IF(O588&lt;$C$4,"Put","Call"),O588,$C$4,$C$10*SQRT($C$7),,$C$11),"")</f>
        <v>1.050851439982829E-4</v>
      </c>
      <c r="R588" s="40">
        <f>IFERROR(_xll.qlBachelierBlackFormula(IF(O588&lt;$C$4,"Put","Call"),O588,$C$4,$C$12*SQRT($C$7)),"")</f>
        <v>1.7711188121883123E-5</v>
      </c>
      <c r="S588" s="41" t="str">
        <f>IFERROR((_xll.qlBlackFormula(IF(O588&lt;$C$4,"Put","Call"),O588+$C$14,$C$4,$C$9*SQRT($C$7))-
2*_xll.qlBlackFormula(IF(O588&lt;$C$4,"Put","Call"),O588,$C$4,$C$9*SQRT($C$7))+
_xll.qlBlackFormula(IF(O588&lt;$C$4,"Put","Call"),O588-$C$14,$C$4,$C$9*SQRT($C$7)))/$C$14^2,"")</f>
        <v/>
      </c>
      <c r="T588" s="42">
        <f>IFERROR((_xll.qlBlackFormula(IF(O588&lt;$C$4,"Put","Call"),O588+$C$14,$C$4,$C$10*SQRT($C$7),,$C$11)-
2*_xll.qlBlackFormula(IF(O588&lt;$C$4,"Put","Call"),O588,$C$4,$C$10*SQRT($C$7),,$C$11)+
_xll.qlBlackFormula(IF(O588&lt;$C$4,"Put","Call"),O588-$C$14,$C$4,$C$10*SQRT($C$7),,$C$11))/$C$14^2,"")</f>
        <v>1.2611417986307938</v>
      </c>
      <c r="U588" s="43">
        <f>IFERROR((_xll.qlBachelierBlackFormula(IF(O588&lt;$C$4,"Put","Call"),O588+$C$14,$C$4,$C$12*SQRT($C$7))-
2*_xll.qlBachelierBlackFormula(IF(O588&lt;$C$4,"Put","Call"),O588,$C$4,$C$12*SQRT($C$7))+
_xll.qlBachelierBlackFormula(IF(O588&lt;$C$4,"Put","Call"),O588-$C$14,$C$4,$C$12*SQRT($C$7)))/$C$14^2,"")</f>
        <v>0.66701621981822556</v>
      </c>
      <c r="V588" s="61" t="str">
        <f>IFERROR(_xll.qlBachelierBlackFormulaImpliedVol(IF(O588&lt;$C$4,"Put","Call"),O588,$C$4,$C$7,P588),"")</f>
        <v/>
      </c>
      <c r="W588" s="61">
        <f>IFERROR(_xll.qlBachelierBlackFormulaImpliedVol(IF(O588&lt;$C$4,"Put","Call"),O588,$C$4,$C$7,Q588),"")</f>
        <v>8.9108888036444848E-3</v>
      </c>
      <c r="X588" s="61">
        <f>IFERROR(_xll.qlBachelierBlackFormulaImpliedVol(IF(O588&lt;$C$4,"Put","Call"),O588,$C$4,$C$7,R588),"")</f>
        <v>7.2020000005948185E-3</v>
      </c>
      <c r="Y588" s="96">
        <f>_xll.qlSmileSectionVolatility($C$40,O588+$C$31)</f>
        <v>1.0447972093923025E-2</v>
      </c>
    </row>
    <row r="589" spans="15:25">
      <c r="O589" s="37">
        <f t="shared" si="9"/>
        <v>4.8400000000000352E-2</v>
      </c>
      <c r="P589" s="38" t="str">
        <f>IFERROR(_xll.qlBlackFormula(IF(O589&lt;$C$4,"Put","Call"),O589,$C$4,$C$9*SQRT($C$7)),"")</f>
        <v/>
      </c>
      <c r="Q589" s="39">
        <f>IFERROR(_xll.qlBlackFormula(IF(O589&lt;$C$4,"Put","Call"),O589,$C$4,$C$10*SQRT($C$7),,$C$11),"")</f>
        <v>1.0391497297830695E-4</v>
      </c>
      <c r="R589" s="40">
        <f>IFERROR(_xll.qlBachelierBlackFormula(IF(O589&lt;$C$4,"Put","Call"),O589,$C$4,$C$12*SQRT($C$7)),"")</f>
        <v>1.7355899872128756E-5</v>
      </c>
      <c r="S589" s="41" t="str">
        <f>IFERROR((_xll.qlBlackFormula(IF(O589&lt;$C$4,"Put","Call"),O589+$C$14,$C$4,$C$9*SQRT($C$7))-
2*_xll.qlBlackFormula(IF(O589&lt;$C$4,"Put","Call"),O589,$C$4,$C$9*SQRT($C$7))+
_xll.qlBlackFormula(IF(O589&lt;$C$4,"Put","Call"),O589-$C$14,$C$4,$C$9*SQRT($C$7)))/$C$14^2,"")</f>
        <v/>
      </c>
      <c r="T589" s="42">
        <f>IFERROR((_xll.qlBlackFormula(IF(O589&lt;$C$4,"Put","Call"),O589+$C$14,$C$4,$C$10*SQRT($C$7),,$C$11)-
2*_xll.qlBlackFormula(IF(O589&lt;$C$4,"Put","Call"),O589,$C$4,$C$10*SQRT($C$7),,$C$11)+
_xll.qlBlackFormula(IF(O589&lt;$C$4,"Put","Call"),O589-$C$14,$C$4,$C$10*SQRT($C$7),,$C$11))/$C$14^2,"")</f>
        <v>1.2484744141283421</v>
      </c>
      <c r="U589" s="43">
        <f>IFERROR((_xll.qlBachelierBlackFormula(IF(O589&lt;$C$4,"Put","Call"),O589+$C$14,$C$4,$C$12*SQRT($C$7))-
2*_xll.qlBachelierBlackFormula(IF(O589&lt;$C$4,"Put","Call"),O589,$C$4,$C$12*SQRT($C$7))+
_xll.qlBachelierBlackFormula(IF(O589&lt;$C$4,"Put","Call"),O589-$C$14,$C$4,$C$12*SQRT($C$7)))/$C$14^2,"")</f>
        <v>0.65596042053001069</v>
      </c>
      <c r="V589" s="61" t="str">
        <f>IFERROR(_xll.qlBachelierBlackFormulaImpliedVol(IF(O589&lt;$C$4,"Put","Call"),O589,$C$4,$C$7,P589),"")</f>
        <v/>
      </c>
      <c r="W589" s="61">
        <f>IFERROR(_xll.qlBachelierBlackFormulaImpliedVol(IF(O589&lt;$C$4,"Put","Call"),O589,$C$4,$C$7,Q589),"")</f>
        <v>8.9145987264712227E-3</v>
      </c>
      <c r="X589" s="61">
        <f>IFERROR(_xll.qlBachelierBlackFormulaImpliedVol(IF(O589&lt;$C$4,"Put","Call"),O589,$C$4,$C$7,R589),"")</f>
        <v>7.2020000006124806E-3</v>
      </c>
      <c r="Y589" s="96">
        <f>_xll.qlSmileSectionVolatility($C$40,O589+$C$31)</f>
        <v>1.0456901528193206E-2</v>
      </c>
    </row>
    <row r="590" spans="15:25">
      <c r="O590" s="37">
        <f t="shared" si="9"/>
        <v>4.8500000000000355E-2</v>
      </c>
      <c r="P590" s="38" t="str">
        <f>IFERROR(_xll.qlBlackFormula(IF(O590&lt;$C$4,"Put","Call"),O590,$C$4,$C$9*SQRT($C$7)),"")</f>
        <v/>
      </c>
      <c r="Q590" s="39">
        <f>IFERROR(_xll.qlBlackFormula(IF(O590&lt;$C$4,"Put","Call"),O590,$C$4,$C$10*SQRT($C$7),,$C$11),"")</f>
        <v>1.0275728685340407E-4</v>
      </c>
      <c r="R590" s="40">
        <f>IFERROR(_xll.qlBachelierBlackFormula(IF(O590&lt;$C$4,"Put","Call"),O590,$C$4,$C$12*SQRT($C$7)),"")</f>
        <v>1.7007171365651495E-5</v>
      </c>
      <c r="S590" s="41" t="str">
        <f>IFERROR((_xll.qlBlackFormula(IF(O590&lt;$C$4,"Put","Call"),O590+$C$14,$C$4,$C$9*SQRT($C$7))-
2*_xll.qlBlackFormula(IF(O590&lt;$C$4,"Put","Call"),O590,$C$4,$C$9*SQRT($C$7))+
_xll.qlBlackFormula(IF(O590&lt;$C$4,"Put","Call"),O590-$C$14,$C$4,$C$9*SQRT($C$7)))/$C$14^2,"")</f>
        <v/>
      </c>
      <c r="T590" s="42">
        <f>IFERROR((_xll.qlBlackFormula(IF(O590&lt;$C$4,"Put","Call"),O590+$C$14,$C$4,$C$10*SQRT($C$7),,$C$11)-
2*_xll.qlBlackFormula(IF(O590&lt;$C$4,"Put","Call"),O590,$C$4,$C$10*SQRT($C$7),,$C$11)+
_xll.qlBlackFormula(IF(O590&lt;$C$4,"Put","Call"),O590-$C$14,$C$4,$C$10*SQRT($C$7),,$C$11))/$C$14^2,"")</f>
        <v>1.2359338812800713</v>
      </c>
      <c r="U590" s="43">
        <f>IFERROR((_xll.qlBachelierBlackFormula(IF(O590&lt;$C$4,"Put","Call"),O590+$C$14,$C$4,$C$12*SQRT($C$7))-
2*_xll.qlBachelierBlackFormula(IF(O590&lt;$C$4,"Put","Call"),O590,$C$4,$C$12*SQRT($C$7))+
_xll.qlBachelierBlackFormula(IF(O590&lt;$C$4,"Put","Call"),O590-$C$14,$C$4,$C$12*SQRT($C$7)))/$C$14^2,"")</f>
        <v>0.64506318580952182</v>
      </c>
      <c r="V590" s="61" t="str">
        <f>IFERROR(_xll.qlBachelierBlackFormulaImpliedVol(IF(O590&lt;$C$4,"Put","Call"),O590,$C$4,$C$7,P590),"")</f>
        <v/>
      </c>
      <c r="W590" s="61">
        <f>IFERROR(_xll.qlBachelierBlackFormulaImpliedVol(IF(O590&lt;$C$4,"Put","Call"),O590,$C$4,$C$7,Q590),"")</f>
        <v>8.918307750781302E-3</v>
      </c>
      <c r="X590" s="61">
        <f>IFERROR(_xll.qlBachelierBlackFormulaImpliedVol(IF(O590&lt;$C$4,"Put","Call"),O590,$C$4,$C$7,R590),"")</f>
        <v>7.2020000006295312E-3</v>
      </c>
      <c r="Y590" s="96">
        <f>_xll.qlSmileSectionVolatility($C$40,O590+$C$31)</f>
        <v>1.0465832772269047E-2</v>
      </c>
    </row>
    <row r="591" spans="15:25">
      <c r="O591" s="37">
        <f t="shared" si="9"/>
        <v>4.8600000000000358E-2</v>
      </c>
      <c r="P591" s="38" t="str">
        <f>IFERROR(_xll.qlBlackFormula(IF(O591&lt;$C$4,"Put","Call"),O591,$C$4,$C$9*SQRT($C$7)),"")</f>
        <v/>
      </c>
      <c r="Q591" s="39">
        <f>IFERROR(_xll.qlBlackFormula(IF(O591&lt;$C$4,"Put","Call"),O591,$C$4,$C$10*SQRT($C$7),,$C$11),"")</f>
        <v>1.0161196021232929E-4</v>
      </c>
      <c r="R591" s="40">
        <f>IFERROR(_xll.qlBachelierBlackFormula(IF(O591&lt;$C$4,"Put","Call"),O591,$C$4,$C$12*SQRT($C$7)),"")</f>
        <v>1.6664893617975355E-5</v>
      </c>
      <c r="S591" s="41" t="str">
        <f>IFERROR((_xll.qlBlackFormula(IF(O591&lt;$C$4,"Put","Call"),O591+$C$14,$C$4,$C$9*SQRT($C$7))-
2*_xll.qlBlackFormula(IF(O591&lt;$C$4,"Put","Call"),O591,$C$4,$C$9*SQRT($C$7))+
_xll.qlBlackFormula(IF(O591&lt;$C$4,"Put","Call"),O591-$C$14,$C$4,$C$9*SQRT($C$7)))/$C$14^2,"")</f>
        <v/>
      </c>
      <c r="T591" s="42">
        <f>IFERROR((_xll.qlBlackFormula(IF(O591&lt;$C$4,"Put","Call"),O591+$C$14,$C$4,$C$10*SQRT($C$7),,$C$11)-
2*_xll.qlBlackFormula(IF(O591&lt;$C$4,"Put","Call"),O591,$C$4,$C$10*SQRT($C$7),,$C$11)+
_xll.qlBlackFormula(IF(O591&lt;$C$4,"Put","Call"),O591-$C$14,$C$4,$C$10*SQRT($C$7),,$C$11))/$C$14^2,"")</f>
        <v>1.2235076233407804</v>
      </c>
      <c r="U591" s="43">
        <f>IFERROR((_xll.qlBachelierBlackFormula(IF(O591&lt;$C$4,"Put","Call"),O591+$C$14,$C$4,$C$12*SQRT($C$7))-
2*_xll.qlBachelierBlackFormula(IF(O591&lt;$C$4,"Put","Call"),O591,$C$4,$C$12*SQRT($C$7))+
_xll.qlBachelierBlackFormula(IF(O591&lt;$C$4,"Put","Call"),O591-$C$14,$C$4,$C$12*SQRT($C$7)))/$C$14^2,"")</f>
        <v>0.63431977227225433</v>
      </c>
      <c r="V591" s="61" t="str">
        <f>IFERROR(_xll.qlBachelierBlackFormulaImpliedVol(IF(O591&lt;$C$4,"Put","Call"),O591,$C$4,$C$7,P591),"")</f>
        <v/>
      </c>
      <c r="W591" s="61">
        <f>IFERROR(_xll.qlBachelierBlackFormulaImpliedVol(IF(O591&lt;$C$4,"Put","Call"),O591,$C$4,$C$7,Q591),"")</f>
        <v>8.9220158776089856E-3</v>
      </c>
      <c r="X591" s="61">
        <f>IFERROR(_xll.qlBachelierBlackFormulaImpliedVol(IF(O591&lt;$C$4,"Put","Call"),O591,$C$4,$C$7,R591),"")</f>
        <v>7.2020000006461143E-3</v>
      </c>
      <c r="Y591" s="96">
        <f>_xll.qlSmileSectionVolatility($C$40,O591+$C$31)</f>
        <v>1.0474765810786369E-2</v>
      </c>
    </row>
    <row r="592" spans="15:25">
      <c r="O592" s="37">
        <f t="shared" si="9"/>
        <v>4.8700000000000361E-2</v>
      </c>
      <c r="P592" s="38" t="str">
        <f>IFERROR(_xll.qlBlackFormula(IF(O592&lt;$C$4,"Put","Call"),O592,$C$4,$C$9*SQRT($C$7)),"")</f>
        <v/>
      </c>
      <c r="Q592" s="39">
        <f>IFERROR(_xll.qlBlackFormula(IF(O592&lt;$C$4,"Put","Call"),O592,$C$4,$C$10*SQRT($C$7),,$C$11),"")</f>
        <v>1.0047886879394367E-4</v>
      </c>
      <c r="R592" s="40">
        <f>IFERROR(_xll.qlBachelierBlackFormula(IF(O592&lt;$C$4,"Put","Call"),O592,$C$4,$C$12*SQRT($C$7)),"")</f>
        <v>1.6328959210706005E-5</v>
      </c>
      <c r="S592" s="41" t="str">
        <f>IFERROR((_xll.qlBlackFormula(IF(O592&lt;$C$4,"Put","Call"),O592+$C$14,$C$4,$C$9*SQRT($C$7))-
2*_xll.qlBlackFormula(IF(O592&lt;$C$4,"Put","Call"),O592,$C$4,$C$9*SQRT($C$7))+
_xll.qlBlackFormula(IF(O592&lt;$C$4,"Put","Call"),O592-$C$14,$C$4,$C$9*SQRT($C$7)))/$C$14^2,"")</f>
        <v/>
      </c>
      <c r="T592" s="42">
        <f>IFERROR((_xll.qlBlackFormula(IF(O592&lt;$C$4,"Put","Call"),O592+$C$14,$C$4,$C$10*SQRT($C$7),,$C$11)-
2*_xll.qlBlackFormula(IF(O592&lt;$C$4,"Put","Call"),O592,$C$4,$C$10*SQRT($C$7),,$C$11)+
_xll.qlBlackFormula(IF(O592&lt;$C$4,"Put","Call"),O592-$C$14,$C$4,$C$10*SQRT($C$7),,$C$11))/$C$14^2,"")</f>
        <v>1.2112045307682839</v>
      </c>
      <c r="U592" s="43">
        <f>IFERROR((_xll.qlBachelierBlackFormula(IF(O592&lt;$C$4,"Put","Call"),O592+$C$14,$C$4,$C$12*SQRT($C$7))-
2*_xll.qlBachelierBlackFormula(IF(O592&lt;$C$4,"Put","Call"),O592,$C$4,$C$12*SQRT($C$7))+
_xll.qlBachelierBlackFormula(IF(O592&lt;$C$4,"Put","Call"),O592-$C$14,$C$4,$C$12*SQRT($C$7)))/$C$14^2,"")</f>
        <v>0.62373551961390772</v>
      </c>
      <c r="V592" s="61" t="str">
        <f>IFERROR(_xll.qlBachelierBlackFormulaImpliedVol(IF(O592&lt;$C$4,"Put","Call"),O592,$C$4,$C$7,P592),"")</f>
        <v/>
      </c>
      <c r="W592" s="61">
        <f>IFERROR(_xll.qlBachelierBlackFormulaImpliedVol(IF(O592&lt;$C$4,"Put","Call"),O592,$C$4,$C$7,Q592),"")</f>
        <v>8.9257231079865069E-3</v>
      </c>
      <c r="X592" s="61">
        <f>IFERROR(_xll.qlBachelierBlackFormulaImpliedVol(IF(O592&lt;$C$4,"Put","Call"),O592,$C$4,$C$7,R592),"")</f>
        <v>7.2020000006620807E-3</v>
      </c>
      <c r="Y592" s="96">
        <f>_xll.qlSmileSectionVolatility($C$40,O592+$C$31)</f>
        <v>1.0483700628478093E-2</v>
      </c>
    </row>
    <row r="593" spans="15:25">
      <c r="O593" s="37">
        <f t="shared" ref="O593:O605" si="10">O592+0.01%</f>
        <v>4.8800000000000364E-2</v>
      </c>
      <c r="P593" s="38" t="str">
        <f>IFERROR(_xll.qlBlackFormula(IF(O593&lt;$C$4,"Put","Call"),O593,$C$4,$C$9*SQRT($C$7)),"")</f>
        <v/>
      </c>
      <c r="Q593" s="39">
        <f>IFERROR(_xll.qlBlackFormula(IF(O593&lt;$C$4,"Put","Call"),O593,$C$4,$C$10*SQRT($C$7),,$C$11),"")</f>
        <v>9.9357889478226538E-5</v>
      </c>
      <c r="R593" s="40">
        <f>IFERROR(_xll.qlBachelierBlackFormula(IF(O593&lt;$C$4,"Put","Call"),O593,$C$4,$C$12*SQRT($C$7)),"")</f>
        <v>1.5999262273678924E-5</v>
      </c>
      <c r="S593" s="41" t="str">
        <f>IFERROR((_xll.qlBlackFormula(IF(O593&lt;$C$4,"Put","Call"),O593+$C$14,$C$4,$C$9*SQRT($C$7))-
2*_xll.qlBlackFormula(IF(O593&lt;$C$4,"Put","Call"),O593,$C$4,$C$9*SQRT($C$7))+
_xll.qlBlackFormula(IF(O593&lt;$C$4,"Put","Call"),O593-$C$14,$C$4,$C$9*SQRT($C$7)))/$C$14^2,"")</f>
        <v/>
      </c>
      <c r="T593" s="42">
        <f>IFERROR((_xll.qlBlackFormula(IF(O593&lt;$C$4,"Put","Call"),O593+$C$14,$C$4,$C$10*SQRT($C$7),,$C$11)-
2*_xll.qlBlackFormula(IF(O593&lt;$C$4,"Put","Call"),O593,$C$4,$C$10*SQRT($C$7),,$C$11)+
_xll.qlBlackFormula(IF(O593&lt;$C$4,"Put","Call"),O593-$C$14,$C$4,$C$10*SQRT($C$7),,$C$11))/$C$14^2,"")</f>
        <v>1.1989990163913111</v>
      </c>
      <c r="U593" s="43">
        <f>IFERROR((_xll.qlBachelierBlackFormula(IF(O593&lt;$C$4,"Put","Call"),O593+$C$14,$C$4,$C$12*SQRT($C$7))-
2*_xll.qlBachelierBlackFormula(IF(O593&lt;$C$4,"Put","Call"),O593,$C$4,$C$12*SQRT($C$7))+
_xll.qlBachelierBlackFormula(IF(O593&lt;$C$4,"Put","Call"),O593-$C$14,$C$4,$C$12*SQRT($C$7)))/$C$14^2,"")</f>
        <v>0.61330018212395199</v>
      </c>
      <c r="V593" s="61" t="str">
        <f>IFERROR(_xll.qlBachelierBlackFormulaImpliedVol(IF(O593&lt;$C$4,"Put","Call"),O593,$C$4,$C$7,P593),"")</f>
        <v/>
      </c>
      <c r="W593" s="61">
        <f>IFERROR(_xll.qlBachelierBlackFormulaImpliedVol(IF(O593&lt;$C$4,"Put","Call"),O593,$C$4,$C$7,Q593),"")</f>
        <v>8.929429442944066E-3</v>
      </c>
      <c r="X593" s="61">
        <f>IFERROR(_xll.qlBachelierBlackFormulaImpliedVol(IF(O593&lt;$C$4,"Put","Call"),O593,$C$4,$C$7,R593),"")</f>
        <v>7.2020000006773003E-3</v>
      </c>
      <c r="Y593" s="96">
        <f>_xll.qlSmileSectionVolatility($C$40,O593+$C$31)</f>
        <v>1.0492637210173598E-2</v>
      </c>
    </row>
    <row r="594" spans="15:25">
      <c r="O594" s="37">
        <f t="shared" si="10"/>
        <v>4.8900000000000367E-2</v>
      </c>
      <c r="P594" s="38" t="str">
        <f>IFERROR(_xll.qlBlackFormula(IF(O594&lt;$C$4,"Put","Call"),O594,$C$4,$C$9*SQRT($C$7)),"")</f>
        <v/>
      </c>
      <c r="Q594" s="39">
        <f>IFERROR(_xll.qlBlackFormula(IF(O594&lt;$C$4,"Put","Call"),O594,$C$4,$C$10*SQRT($C$7),,$C$11),"")</f>
        <v>9.8248900277275253E-5</v>
      </c>
      <c r="R594" s="40">
        <f>IFERROR(_xll.qlBachelierBlackFormula(IF(O594&lt;$C$4,"Put","Call"),O594,$C$4,$C$12*SQRT($C$7)),"")</f>
        <v>1.5675698467204879E-5</v>
      </c>
      <c r="S594" s="41" t="str">
        <f>IFERROR((_xll.qlBlackFormula(IF(O594&lt;$C$4,"Put","Call"),O594+$C$14,$C$4,$C$9*SQRT($C$7))-
2*_xll.qlBlackFormula(IF(O594&lt;$C$4,"Put","Call"),O594,$C$4,$C$9*SQRT($C$7))+
_xll.qlBlackFormula(IF(O594&lt;$C$4,"Put","Call"),O594-$C$14,$C$4,$C$9*SQRT($C$7)))/$C$14^2,"")</f>
        <v/>
      </c>
      <c r="T594" s="42">
        <f>IFERROR((_xll.qlBlackFormula(IF(O594&lt;$C$4,"Put","Call"),O594+$C$14,$C$4,$C$10*SQRT($C$7),,$C$11)-
2*_xll.qlBlackFormula(IF(O594&lt;$C$4,"Put","Call"),O594,$C$4,$C$10*SQRT($C$7),,$C$11)+
_xll.qlBlackFormula(IF(O594&lt;$C$4,"Put","Call"),O594-$C$14,$C$4,$C$10*SQRT($C$7),,$C$11))/$C$14^2,"")</f>
        <v>1.1869175347428707</v>
      </c>
      <c r="U594" s="43">
        <f>IFERROR((_xll.qlBachelierBlackFormula(IF(O594&lt;$C$4,"Put","Call"),O594+$C$14,$C$4,$C$12*SQRT($C$7))-
2*_xll.qlBachelierBlackFormula(IF(O594&lt;$C$4,"Put","Call"),O594,$C$4,$C$12*SQRT($C$7))+
_xll.qlBachelierBlackFormula(IF(O594&lt;$C$4,"Put","Call"),O594-$C$14,$C$4,$C$12*SQRT($C$7)))/$C$14^2,"")</f>
        <v>0.60301766293020809</v>
      </c>
      <c r="V594" s="61" t="str">
        <f>IFERROR(_xll.qlBachelierBlackFormulaImpliedVol(IF(O594&lt;$C$4,"Put","Call"),O594,$C$4,$C$7,P594),"")</f>
        <v/>
      </c>
      <c r="W594" s="61">
        <f>IFERROR(_xll.qlBachelierBlackFormulaImpliedVol(IF(O594&lt;$C$4,"Put","Call"),O594,$C$4,$C$7,Q594),"")</f>
        <v>8.9331348835099897E-3</v>
      </c>
      <c r="X594" s="61">
        <f>IFERROR(_xll.qlBachelierBlackFormulaImpliedVol(IF(O594&lt;$C$4,"Put","Call"),O594,$C$4,$C$7,R594),"")</f>
        <v>7.2020000006918893E-3</v>
      </c>
      <c r="Y594" s="96">
        <f>_xll.qlSmileSectionVolatility($C$40,O594+$C$31)</f>
        <v>1.0501575540798086E-2</v>
      </c>
    </row>
    <row r="595" spans="15:25">
      <c r="O595" s="37">
        <f t="shared" si="10"/>
        <v>4.900000000000037E-2</v>
      </c>
      <c r="P595" s="38" t="str">
        <f>IFERROR(_xll.qlBlackFormula(IF(O595&lt;$C$4,"Put","Call"),O595,$C$4,$C$9*SQRT($C$7)),"")</f>
        <v/>
      </c>
      <c r="Q595" s="39">
        <f>IFERROR(_xll.qlBlackFormula(IF(O595&lt;$C$4,"Put","Call"),O595,$C$4,$C$10*SQRT($C$7),,$C$11),"")</f>
        <v>9.7151780326395262E-5</v>
      </c>
      <c r="R595" s="40">
        <f>IFERROR(_xll.qlBachelierBlackFormula(IF(O595&lt;$C$4,"Put","Call"),O595,$C$4,$C$12*SQRT($C$7)),"")</f>
        <v>1.5358164964458202E-5</v>
      </c>
      <c r="S595" s="41" t="str">
        <f>IFERROR((_xll.qlBlackFormula(IF(O595&lt;$C$4,"Put","Call"),O595+$C$14,$C$4,$C$9*SQRT($C$7))-
2*_xll.qlBlackFormula(IF(O595&lt;$C$4,"Put","Call"),O595,$C$4,$C$9*SQRT($C$7))+
_xll.qlBlackFormula(IF(O595&lt;$C$4,"Put","Call"),O595-$C$14,$C$4,$C$9*SQRT($C$7)))/$C$14^2,"")</f>
        <v/>
      </c>
      <c r="T595" s="42">
        <f>IFERROR((_xll.qlBlackFormula(IF(O595&lt;$C$4,"Put","Call"),O595+$C$14,$C$4,$C$10*SQRT($C$7),,$C$11)-
2*_xll.qlBlackFormula(IF(O595&lt;$C$4,"Put","Call"),O595,$C$4,$C$10*SQRT($C$7),,$C$11)+
_xll.qlBlackFormula(IF(O595&lt;$C$4,"Put","Call"),O595-$C$14,$C$4,$C$10*SQRT($C$7),,$C$11))/$C$14^2,"")</f>
        <v>1.1749344986516919</v>
      </c>
      <c r="U595" s="43">
        <f>IFERROR((_xll.qlBachelierBlackFormula(IF(O595&lt;$C$4,"Put","Call"),O595+$C$14,$C$4,$C$12*SQRT($C$7))-
2*_xll.qlBachelierBlackFormula(IF(O595&lt;$C$4,"Put","Call"),O595,$C$4,$C$12*SQRT($C$7))+
_xll.qlBachelierBlackFormula(IF(O595&lt;$C$4,"Put","Call"),O595-$C$14,$C$4,$C$12*SQRT($C$7)))/$C$14^2,"")</f>
        <v>0.59288731151137253</v>
      </c>
      <c r="V595" s="61" t="str">
        <f>IFERROR(_xll.qlBachelierBlackFormulaImpliedVol(IF(O595&lt;$C$4,"Put","Call"),O595,$C$4,$C$7,P595),"")</f>
        <v/>
      </c>
      <c r="W595" s="61">
        <f>IFERROR(_xll.qlBachelierBlackFormulaImpliedVol(IF(O595&lt;$C$4,"Put","Call"),O595,$C$4,$C$7,Q595),"")</f>
        <v>8.936839430710327E-3</v>
      </c>
      <c r="X595" s="61">
        <f>IFERROR(_xll.qlBachelierBlackFormulaImpliedVol(IF(O595&lt;$C$4,"Put","Call"),O595,$C$4,$C$7,R595),"")</f>
        <v>7.2020000007058643E-3</v>
      </c>
      <c r="Y595" s="96">
        <f>_xll.qlSmileSectionVolatility($C$40,O595+$C$31)</f>
        <v>1.0510515605372006E-2</v>
      </c>
    </row>
    <row r="596" spans="15:25">
      <c r="O596" s="37">
        <f t="shared" si="10"/>
        <v>4.9100000000000373E-2</v>
      </c>
      <c r="P596" s="38" t="str">
        <f>IFERROR(_xll.qlBlackFormula(IF(O596&lt;$C$4,"Put","Call"),O596,$C$4,$C$9*SQRT($C$7)),"")</f>
        <v/>
      </c>
      <c r="Q596" s="39">
        <f>IFERROR(_xll.qlBlackFormula(IF(O596&lt;$C$4,"Put","Call"),O596,$C$4,$C$10*SQRT($C$7),,$C$11),"")</f>
        <v>9.6066409875224376E-5</v>
      </c>
      <c r="R596" s="40">
        <f>IFERROR(_xll.qlBachelierBlackFormula(IF(O596&lt;$C$4,"Put","Call"),O596,$C$4,$C$12*SQRT($C$7)),"")</f>
        <v>1.5046560433968904E-5</v>
      </c>
      <c r="S596" s="41" t="str">
        <f>IFERROR((_xll.qlBlackFormula(IF(O596&lt;$C$4,"Put","Call"),O596+$C$14,$C$4,$C$9*SQRT($C$7))-
2*_xll.qlBlackFormula(IF(O596&lt;$C$4,"Put","Call"),O596,$C$4,$C$9*SQRT($C$7))+
_xll.qlBlackFormula(IF(O596&lt;$C$4,"Put","Call"),O596-$C$14,$C$4,$C$9*SQRT($C$7)))/$C$14^2,"")</f>
        <v/>
      </c>
      <c r="T596" s="42">
        <f>IFERROR((_xll.qlBlackFormula(IF(O596&lt;$C$4,"Put","Call"),O596+$C$14,$C$4,$C$10*SQRT($C$7),,$C$11)-
2*_xll.qlBlackFormula(IF(O596&lt;$C$4,"Put","Call"),O596,$C$4,$C$10*SQRT($C$7),,$C$11)+
_xll.qlBlackFormula(IF(O596&lt;$C$4,"Put","Call"),O596-$C$14,$C$4,$C$10*SQRT($C$7),,$C$11))/$C$14^2,"")</f>
        <v>1.1630880720342462</v>
      </c>
      <c r="U596" s="43">
        <f>IFERROR((_xll.qlBachelierBlackFormula(IF(O596&lt;$C$4,"Put","Call"),O596+$C$14,$C$4,$C$12*SQRT($C$7))-
2*_xll.qlBachelierBlackFormula(IF(O596&lt;$C$4,"Put","Call"),O596,$C$4,$C$12*SQRT($C$7))+
_xll.qlBachelierBlackFormula(IF(O596&lt;$C$4,"Put","Call"),O596-$C$14,$C$4,$C$12*SQRT($C$7)))/$C$14^2,"")</f>
        <v>0.5828974997991454</v>
      </c>
      <c r="V596" s="61" t="str">
        <f>IFERROR(_xll.qlBachelierBlackFormulaImpliedVol(IF(O596&lt;$C$4,"Put","Call"),O596,$C$4,$C$7,P596),"")</f>
        <v/>
      </c>
      <c r="W596" s="61">
        <f>IFERROR(_xll.qlBachelierBlackFormulaImpliedVol(IF(O596&lt;$C$4,"Put","Call"),O596,$C$4,$C$7,Q596),"")</f>
        <v>8.9405430855692344E-3</v>
      </c>
      <c r="X596" s="61">
        <f>IFERROR(_xll.qlBachelierBlackFormulaImpliedVol(IF(O596&lt;$C$4,"Put","Call"),O596,$C$4,$C$7,R596),"")</f>
        <v>7.2020000007188886E-3</v>
      </c>
      <c r="Y596" s="96">
        <f>_xll.qlSmileSectionVolatility($C$40,O596+$C$31)</f>
        <v>1.0519457389010429E-2</v>
      </c>
    </row>
    <row r="597" spans="15:25">
      <c r="O597" s="37">
        <f t="shared" si="10"/>
        <v>4.9200000000000375E-2</v>
      </c>
      <c r="P597" s="38" t="str">
        <f>IFERROR(_xll.qlBlackFormula(IF(O597&lt;$C$4,"Put","Call"),O597,$C$4,$C$9*SQRT($C$7)),"")</f>
        <v/>
      </c>
      <c r="Q597" s="39">
        <f>IFERROR(_xll.qlBlackFormula(IF(O597&lt;$C$4,"Put","Call"),O597,$C$4,$C$10*SQRT($C$7),,$C$11),"")</f>
        <v>9.4992670278930789E-5</v>
      </c>
      <c r="R597" s="40">
        <f>IFERROR(_xll.qlBachelierBlackFormula(IF(O597&lt;$C$4,"Put","Call"),O597,$C$4,$C$12*SQRT($C$7)),"")</f>
        <v>1.4740785022239472E-5</v>
      </c>
      <c r="S597" s="41" t="str">
        <f>IFERROR((_xll.qlBlackFormula(IF(O597&lt;$C$4,"Put","Call"),O597+$C$14,$C$4,$C$9*SQRT($C$7))-
2*_xll.qlBlackFormula(IF(O597&lt;$C$4,"Put","Call"),O597,$C$4,$C$9*SQRT($C$7))+
_xll.qlBlackFormula(IF(O597&lt;$C$4,"Put","Call"),O597-$C$14,$C$4,$C$9*SQRT($C$7)))/$C$14^2,"")</f>
        <v/>
      </c>
      <c r="T597" s="42">
        <f>IFERROR((_xll.qlBlackFormula(IF(O597&lt;$C$4,"Put","Call"),O597+$C$14,$C$4,$C$10*SQRT($C$7),,$C$11)-
2*_xll.qlBlackFormula(IF(O597&lt;$C$4,"Put","Call"),O597,$C$4,$C$10*SQRT($C$7),,$C$11)+
_xll.qlBlackFormula(IF(O597&lt;$C$4,"Put","Call"),O597-$C$14,$C$4,$C$10*SQRT($C$7),,$C$11))/$C$14^2,"")</f>
        <v>1.1513353204845034</v>
      </c>
      <c r="U597" s="43">
        <f>IFERROR((_xll.qlBachelierBlackFormula(IF(O597&lt;$C$4,"Put","Call"),O597+$C$14,$C$4,$C$12*SQRT($C$7))-
2*_xll.qlBachelierBlackFormula(IF(O597&lt;$C$4,"Put","Call"),O597,$C$4,$C$12*SQRT($C$7))+
_xll.qlBachelierBlackFormula(IF(O597&lt;$C$4,"Put","Call"),O597-$C$14,$C$4,$C$12*SQRT($C$7)))/$C$14^2,"")</f>
        <v>0.57305801271813339</v>
      </c>
      <c r="V597" s="61" t="str">
        <f>IFERROR(_xll.qlBachelierBlackFormulaImpliedVol(IF(O597&lt;$C$4,"Put","Call"),O597,$C$4,$C$7,P597),"")</f>
        <v/>
      </c>
      <c r="W597" s="61">
        <f>IFERROR(_xll.qlBachelierBlackFormulaImpliedVol(IF(O597&lt;$C$4,"Put","Call"),O597,$C$4,$C$7,Q597),"")</f>
        <v>8.9442458491091181E-3</v>
      </c>
      <c r="X597" s="61">
        <f>IFERROR(_xll.qlBachelierBlackFormulaImpliedVol(IF(O597&lt;$C$4,"Put","Call"),O597,$C$4,$C$7,R597),"")</f>
        <v>7.2020000007313725E-3</v>
      </c>
      <c r="Y597" s="96">
        <f>_xll.qlSmileSectionVolatility($C$40,O597+$C$31)</f>
        <v>1.0528400876922427E-2</v>
      </c>
    </row>
    <row r="598" spans="15:25">
      <c r="O598" s="37">
        <f t="shared" si="10"/>
        <v>4.9300000000000378E-2</v>
      </c>
      <c r="P598" s="38" t="str">
        <f>IFERROR(_xll.qlBlackFormula(IF(O598&lt;$C$4,"Put","Call"),O598,$C$4,$C$9*SQRT($C$7)),"")</f>
        <v/>
      </c>
      <c r="Q598" s="39">
        <f>IFERROR(_xll.qlBlackFormula(IF(O598&lt;$C$4,"Put","Call"),O598,$C$4,$C$10*SQRT($C$7),,$C$11),"")</f>
        <v>9.3930443989412174E-5</v>
      </c>
      <c r="R598" s="40">
        <f>IFERROR(_xll.qlBachelierBlackFormula(IF(O598&lt;$C$4,"Put","Call"),O598,$C$4,$C$12*SQRT($C$7)),"")</f>
        <v>1.4440740336498951E-5</v>
      </c>
      <c r="S598" s="41" t="str">
        <f>IFERROR((_xll.qlBlackFormula(IF(O598&lt;$C$4,"Put","Call"),O598+$C$14,$C$4,$C$9*SQRT($C$7))-
2*_xll.qlBlackFormula(IF(O598&lt;$C$4,"Put","Call"),O598,$C$4,$C$9*SQRT($C$7))+
_xll.qlBlackFormula(IF(O598&lt;$C$4,"Put","Call"),O598-$C$14,$C$4,$C$9*SQRT($C$7)))/$C$14^2,"")</f>
        <v/>
      </c>
      <c r="T598" s="42">
        <f>IFERROR((_xll.qlBlackFormula(IF(O598&lt;$C$4,"Put","Call"),O598+$C$14,$C$4,$C$10*SQRT($C$7),,$C$11)-
2*_xll.qlBlackFormula(IF(O598&lt;$C$4,"Put","Call"),O598,$C$4,$C$10*SQRT($C$7),,$C$11)+
_xll.qlBlackFormula(IF(O598&lt;$C$4,"Put","Call"),O598-$C$14,$C$4,$C$10*SQRT($C$7),,$C$11))/$C$14^2,"")</f>
        <v>1.1396805808111532</v>
      </c>
      <c r="U598" s="43">
        <f>IFERROR((_xll.qlBachelierBlackFormula(IF(O598&lt;$C$4,"Put","Call"),O598+$C$14,$C$4,$C$12*SQRT($C$7))-
2*_xll.qlBachelierBlackFormula(IF(O598&lt;$C$4,"Put","Call"),O598,$C$4,$C$12*SQRT($C$7))+
_xll.qlBachelierBlackFormula(IF(O598&lt;$C$4,"Put","Call"),O598-$C$14,$C$4,$C$12*SQRT($C$7)))/$C$14^2,"")</f>
        <v>0.56336673607410015</v>
      </c>
      <c r="V598" s="61" t="str">
        <f>IFERROR(_xll.qlBachelierBlackFormulaImpliedVol(IF(O598&lt;$C$4,"Put","Call"),O598,$C$4,$C$7,P598),"")</f>
        <v/>
      </c>
      <c r="W598" s="61">
        <f>IFERROR(_xll.qlBachelierBlackFormulaImpliedVol(IF(O598&lt;$C$4,"Put","Call"),O598,$C$4,$C$7,Q598),"")</f>
        <v>8.9479477223501115E-3</v>
      </c>
      <c r="X598" s="61">
        <f>IFERROR(_xll.qlBachelierBlackFormulaImpliedVol(IF(O598&lt;$C$4,"Put","Call"),O598,$C$4,$C$7,R598),"")</f>
        <v>7.2020000007427774E-3</v>
      </c>
      <c r="Y598" s="96">
        <f>_xll.qlSmileSectionVolatility($C$40,O598+$C$31)</f>
        <v>1.0537346054410477E-2</v>
      </c>
    </row>
    <row r="599" spans="15:25">
      <c r="O599" s="37">
        <f t="shared" si="10"/>
        <v>4.9400000000000381E-2</v>
      </c>
      <c r="P599" s="38" t="str">
        <f>IFERROR(_xll.qlBlackFormula(IF(O599&lt;$C$4,"Put","Call"),O599,$C$4,$C$9*SQRT($C$7)),"")</f>
        <v/>
      </c>
      <c r="Q599" s="39">
        <f>IFERROR(_xll.qlBlackFormula(IF(O599&lt;$C$4,"Put","Call"),O599,$C$4,$C$10*SQRT($C$7),,$C$11),"")</f>
        <v>9.2879614546571756E-5</v>
      </c>
      <c r="R599" s="40">
        <f>IFERROR(_xll.qlBachelierBlackFormula(IF(O599&lt;$C$4,"Put","Call"),O599,$C$4,$C$12*SQRT($C$7)),"")</f>
        <v>1.4146329427566751E-5</v>
      </c>
      <c r="S599" s="41" t="str">
        <f>IFERROR((_xll.qlBlackFormula(IF(O599&lt;$C$4,"Put","Call"),O599+$C$14,$C$4,$C$9*SQRT($C$7))-
2*_xll.qlBlackFormula(IF(O599&lt;$C$4,"Put","Call"),O599,$C$4,$C$9*SQRT($C$7))+
_xll.qlBlackFormula(IF(O599&lt;$C$4,"Put","Call"),O599-$C$14,$C$4,$C$9*SQRT($C$7)))/$C$14^2,"")</f>
        <v/>
      </c>
      <c r="T599" s="42">
        <f>IFERROR((_xll.qlBlackFormula(IF(O599&lt;$C$4,"Put","Call"),O599+$C$14,$C$4,$C$10*SQRT($C$7),,$C$11)-
2*_xll.qlBlackFormula(IF(O599&lt;$C$4,"Put","Call"),O599,$C$4,$C$10*SQRT($C$7),,$C$11)+
_xll.qlBlackFormula(IF(O599&lt;$C$4,"Put","Call"),O599-$C$14,$C$4,$C$10*SQRT($C$7),,$C$11))/$C$14^2,"")</f>
        <v>1.1281466212598179</v>
      </c>
      <c r="U599" s="43">
        <f>IFERROR((_xll.qlBachelierBlackFormula(IF(O599&lt;$C$4,"Put","Call"),O599+$C$14,$C$4,$C$12*SQRT($C$7))-
2*_xll.qlBachelierBlackFormula(IF(O599&lt;$C$4,"Put","Call"),O599,$C$4,$C$12*SQRT($C$7))+
_xll.qlBachelierBlackFormula(IF(O599&lt;$C$4,"Put","Call"),O599-$C$14,$C$4,$C$12*SQRT($C$7)))/$C$14^2,"")</f>
        <v>0.55381388494243899</v>
      </c>
      <c r="V599" s="61" t="str">
        <f>IFERROR(_xll.qlBachelierBlackFormulaImpliedVol(IF(O599&lt;$C$4,"Put","Call"),O599,$C$4,$C$7,P599),"")</f>
        <v/>
      </c>
      <c r="W599" s="61">
        <f>IFERROR(_xll.qlBachelierBlackFormulaImpliedVol(IF(O599&lt;$C$4,"Put","Call"),O599,$C$4,$C$7,Q599),"")</f>
        <v>8.9516487063103153E-3</v>
      </c>
      <c r="X599" s="61">
        <f>IFERROR(_xll.qlBachelierBlackFormulaImpliedVol(IF(O599&lt;$C$4,"Put","Call"),O599,$C$4,$C$7,R599),"")</f>
        <v>7.2020000007535197E-3</v>
      </c>
      <c r="Y599" s="96">
        <f>_xll.qlSmileSectionVolatility($C$40,O599+$C$31)</f>
        <v>1.0546292906869871E-2</v>
      </c>
    </row>
    <row r="600" spans="15:25">
      <c r="O600" s="37">
        <f t="shared" si="10"/>
        <v>4.9500000000000384E-2</v>
      </c>
      <c r="P600" s="38" t="str">
        <f>IFERROR(_xll.qlBlackFormula(IF(O600&lt;$C$4,"Put","Call"),O600,$C$4,$C$9*SQRT($C$7)),"")</f>
        <v/>
      </c>
      <c r="Q600" s="39">
        <f>IFERROR(_xll.qlBlackFormula(IF(O600&lt;$C$4,"Put","Call"),O600,$C$4,$C$10*SQRT($C$7),,$C$11),"")</f>
        <v>9.1840066569678957E-5</v>
      </c>
      <c r="R600" s="40">
        <f>IFERROR(_xll.qlBachelierBlackFormula(IF(O600&lt;$C$4,"Put","Call"),O600,$C$4,$C$12*SQRT($C$7)),"")</f>
        <v>1.3857456772838154E-5</v>
      </c>
      <c r="S600" s="41" t="str">
        <f>IFERROR((_xll.qlBlackFormula(IF(O600&lt;$C$4,"Put","Call"),O600+$C$14,$C$4,$C$9*SQRT($C$7))-
2*_xll.qlBlackFormula(IF(O600&lt;$C$4,"Put","Call"),O600,$C$4,$C$9*SQRT($C$7))+
_xll.qlBlackFormula(IF(O600&lt;$C$4,"Put","Call"),O600-$C$14,$C$4,$C$9*SQRT($C$7)))/$C$14^2,"")</f>
        <v/>
      </c>
      <c r="T600" s="42">
        <f>IFERROR((_xll.qlBlackFormula(IF(O600&lt;$C$4,"Put","Call"),O600+$C$14,$C$4,$C$10*SQRT($C$7),,$C$11)-
2*_xll.qlBlackFormula(IF(O600&lt;$C$4,"Put","Call"),O600,$C$4,$C$10*SQRT($C$7),,$C$11)+
_xll.qlBlackFormula(IF(O600&lt;$C$4,"Put","Call"),O600-$C$14,$C$4,$C$10*SQRT($C$7),,$C$11))/$C$14^2,"")</f>
        <v>1.1166937600309845</v>
      </c>
      <c r="U600" s="43">
        <f>IFERROR((_xll.qlBachelierBlackFormula(IF(O600&lt;$C$4,"Put","Call"),O600+$C$14,$C$4,$C$12*SQRT($C$7))-
2*_xll.qlBachelierBlackFormula(IF(O600&lt;$C$4,"Put","Call"),O600,$C$4,$C$12*SQRT($C$7))+
_xll.qlBachelierBlackFormula(IF(O600&lt;$C$4,"Put","Call"),O600-$C$14,$C$4,$C$12*SQRT($C$7)))/$C$14^2,"")</f>
        <v>0.5443994051130413</v>
      </c>
      <c r="V600" s="61" t="str">
        <f>IFERROR(_xll.qlBachelierBlackFormulaImpliedVol(IF(O600&lt;$C$4,"Put","Call"),O600,$C$4,$C$7,P600),"")</f>
        <v/>
      </c>
      <c r="W600" s="61">
        <f>IFERROR(_xll.qlBachelierBlackFormulaImpliedVol(IF(O600&lt;$C$4,"Put","Call"),O600,$C$4,$C$7,Q600),"")</f>
        <v>8.9553488020063261E-3</v>
      </c>
      <c r="X600" s="61">
        <f>IFERROR(_xll.qlBachelierBlackFormulaImpliedVol(IF(O600&lt;$C$4,"Put","Call"),O600,$C$4,$C$7,R600),"")</f>
        <v>7.2020000007632324E-3</v>
      </c>
      <c r="Y600" s="96">
        <f>_xll.qlSmileSectionVolatility($C$40,O600+$C$31)</f>
        <v>1.0555241419788123E-2</v>
      </c>
    </row>
    <row r="601" spans="15:25">
      <c r="O601" s="37">
        <f t="shared" si="10"/>
        <v>4.9600000000000387E-2</v>
      </c>
      <c r="P601" s="38" t="str">
        <f>IFERROR(_xll.qlBlackFormula(IF(O601&lt;$C$4,"Put","Call"),O601,$C$4,$C$9*SQRT($C$7)),"")</f>
        <v/>
      </c>
      <c r="Q601" s="39">
        <f>IFERROR(_xll.qlBlackFormula(IF(O601&lt;$C$4,"Put","Call"),O601,$C$4,$C$10*SQRT($C$7),,$C$11),"")</f>
        <v>9.081168574868472E-5</v>
      </c>
      <c r="R601" s="40">
        <f>IFERROR(_xll.qlBachelierBlackFormula(IF(O601&lt;$C$4,"Put","Call"),O601,$C$4,$C$12*SQRT($C$7)),"")</f>
        <v>1.3574028259404856E-5</v>
      </c>
      <c r="S601" s="41" t="str">
        <f>IFERROR((_xll.qlBlackFormula(IF(O601&lt;$C$4,"Put","Call"),O601+$C$14,$C$4,$C$9*SQRT($C$7))-
2*_xll.qlBlackFormula(IF(O601&lt;$C$4,"Put","Call"),O601,$C$4,$C$9*SQRT($C$7))+
_xll.qlBlackFormula(IF(O601&lt;$C$4,"Put","Call"),O601-$C$14,$C$4,$C$9*SQRT($C$7)))/$C$14^2,"")</f>
        <v/>
      </c>
      <c r="T601" s="42">
        <f>IFERROR((_xll.qlBlackFormula(IF(O601&lt;$C$4,"Put","Call"),O601+$C$14,$C$4,$C$10*SQRT($C$7),,$C$11)-
2*_xll.qlBlackFormula(IF(O601&lt;$C$4,"Put","Call"),O601,$C$4,$C$10*SQRT($C$7),,$C$11)+
_xll.qlBlackFormula(IF(O601&lt;$C$4,"Put","Call"),O601-$C$14,$C$4,$C$10*SQRT($C$7),,$C$11))/$C$14^2,"")</f>
        <v>1.1053883502976092</v>
      </c>
      <c r="U601" s="43">
        <f>IFERROR((_xll.qlBachelierBlackFormula(IF(O601&lt;$C$4,"Put","Call"),O601+$C$14,$C$4,$C$12*SQRT($C$7))-
2*_xll.qlBachelierBlackFormula(IF(O601&lt;$C$4,"Put","Call"),O601,$C$4,$C$12*SQRT($C$7))+
_xll.qlBachelierBlackFormula(IF(O601&lt;$C$4,"Put","Call"),O601-$C$14,$C$4,$C$12*SQRT($C$7)))/$C$14^2,"")</f>
        <v>0.53512906996247556</v>
      </c>
      <c r="V601" s="61" t="str">
        <f>IFERROR(_xll.qlBachelierBlackFormulaImpliedVol(IF(O601&lt;$C$4,"Put","Call"),O601,$C$4,$C$7,P601),"")</f>
        <v/>
      </c>
      <c r="W601" s="61">
        <f>IFERROR(_xll.qlBachelierBlackFormulaImpliedVol(IF(O601&lt;$C$4,"Put","Call"),O601,$C$4,$C$7,Q601),"")</f>
        <v>8.9590480104520219E-3</v>
      </c>
      <c r="X601" s="61">
        <f>IFERROR(_xll.qlBachelierBlackFormulaImpliedVol(IF(O601&lt;$C$4,"Put","Call"),O601,$C$4,$C$7,R601),"")</f>
        <v>7.2020000007721905E-3</v>
      </c>
      <c r="Y601" s="96">
        <f>_xll.qlSmileSectionVolatility($C$40,O601+$C$31)</f>
        <v>1.0564191578744385E-2</v>
      </c>
    </row>
    <row r="602" spans="15:25">
      <c r="O602" s="37">
        <f t="shared" si="10"/>
        <v>4.970000000000039E-2</v>
      </c>
      <c r="P602" s="38" t="str">
        <f>IFERROR(_xll.qlBlackFormula(IF(O602&lt;$C$4,"Put","Call"),O602,$C$4,$C$9*SQRT($C$7)),"")</f>
        <v/>
      </c>
      <c r="Q602" s="39">
        <f>IFERROR(_xll.qlBlackFormula(IF(O602&lt;$C$4,"Put","Call"),O602,$C$4,$C$10*SQRT($C$7),,$C$11),"")</f>
        <v>8.9794358835714209E-5</v>
      </c>
      <c r="R602" s="40">
        <f>IFERROR(_xll.qlBachelierBlackFormula(IF(O602&lt;$C$4,"Put","Call"),O602,$C$4,$C$12*SQRT($C$7)),"")</f>
        <v>1.3295951167297486E-5</v>
      </c>
      <c r="S602" s="41" t="str">
        <f>IFERROR((_xll.qlBlackFormula(IF(O602&lt;$C$4,"Put","Call"),O602+$C$14,$C$4,$C$9*SQRT($C$7))-
2*_xll.qlBlackFormula(IF(O602&lt;$C$4,"Put","Call"),O602,$C$4,$C$9*SQRT($C$7))+
_xll.qlBlackFormula(IF(O602&lt;$C$4,"Put","Call"),O602-$C$14,$C$4,$C$9*SQRT($C$7)))/$C$14^2,"")</f>
        <v/>
      </c>
      <c r="T602" s="42">
        <f>IFERROR((_xll.qlBlackFormula(IF(O602&lt;$C$4,"Put","Call"),O602+$C$14,$C$4,$C$10*SQRT($C$7),,$C$11)-
2*_xll.qlBlackFormula(IF(O602&lt;$C$4,"Put","Call"),O602,$C$4,$C$10*SQRT($C$7),,$C$11)+
_xll.qlBlackFormula(IF(O602&lt;$C$4,"Put","Call"),O602-$C$14,$C$4,$C$10*SQRT($C$7),,$C$11))/$C$14^2,"")</f>
        <v>1.0941644725676047</v>
      </c>
      <c r="U602" s="43">
        <f>IFERROR((_xll.qlBachelierBlackFormula(IF(O602&lt;$C$4,"Put","Call"),O602+$C$14,$C$4,$C$12*SQRT($C$7))-
2*_xll.qlBachelierBlackFormula(IF(O602&lt;$C$4,"Put","Call"),O602,$C$4,$C$12*SQRT($C$7))+
_xll.qlBachelierBlackFormula(IF(O602&lt;$C$4,"Put","Call"),O602-$C$14,$C$4,$C$12*SQRT($C$7)))/$C$14^2,"")</f>
        <v>0.52599724163944483</v>
      </c>
      <c r="V602" s="61" t="str">
        <f>IFERROR(_xll.qlBachelierBlackFormulaImpliedVol(IF(O602&lt;$C$4,"Put","Call"),O602,$C$4,$C$7,P602),"")</f>
        <v/>
      </c>
      <c r="W602" s="61">
        <f>IFERROR(_xll.qlBachelierBlackFormulaImpliedVol(IF(O602&lt;$C$4,"Put","Call"),O602,$C$4,$C$7,Q602),"")</f>
        <v>8.9627463326600043E-3</v>
      </c>
      <c r="X602" s="61">
        <f>IFERROR(_xll.qlBachelierBlackFormulaImpliedVol(IF(O602&lt;$C$4,"Put","Call"),O602,$C$4,$C$7,R602),"")</f>
        <v>7.2020000007800705E-3</v>
      </c>
      <c r="Y602" s="96">
        <f>_xll.qlSmileSectionVolatility($C$40,O602+$C$31)</f>
        <v>1.057314336940884E-2</v>
      </c>
    </row>
    <row r="603" spans="15:25">
      <c r="O603" s="37">
        <f t="shared" si="10"/>
        <v>4.9800000000000393E-2</v>
      </c>
      <c r="P603" s="38" t="str">
        <f>IFERROR(_xll.qlBlackFormula(IF(O603&lt;$C$4,"Put","Call"),O603,$C$4,$C$9*SQRT($C$7)),"")</f>
        <v/>
      </c>
      <c r="Q603" s="39">
        <f>IFERROR(_xll.qlBlackFormula(IF(O603&lt;$C$4,"Put","Call"),O603,$C$4,$C$10*SQRT($C$7),,$C$11),"")</f>
        <v>8.8787973636497274E-5</v>
      </c>
      <c r="R603" s="40">
        <f>IFERROR(_xll.qlBachelierBlackFormula(IF(O603&lt;$C$4,"Put","Call"),O603,$C$4,$C$12*SQRT($C$7)),"")</f>
        <v>1.3023134152849637E-5</v>
      </c>
      <c r="S603" s="41" t="str">
        <f>IFERROR((_xll.qlBlackFormula(IF(O603&lt;$C$4,"Put","Call"),O603+$C$14,$C$4,$C$9*SQRT($C$7))-
2*_xll.qlBlackFormula(IF(O603&lt;$C$4,"Put","Call"),O603,$C$4,$C$9*SQRT($C$7))+
_xll.qlBlackFormula(IF(O603&lt;$C$4,"Put","Call"),O603-$C$14,$C$4,$C$9*SQRT($C$7)))/$C$14^2,"")</f>
        <v/>
      </c>
      <c r="T603" s="42">
        <f>IFERROR((_xll.qlBlackFormula(IF(O603&lt;$C$4,"Put","Call"),O603+$C$14,$C$4,$C$10*SQRT($C$7),,$C$11)-
2*_xll.qlBlackFormula(IF(O603&lt;$C$4,"Put","Call"),O603,$C$4,$C$10*SQRT($C$7),,$C$11)+
_xll.qlBlackFormula(IF(O603&lt;$C$4,"Put","Call"),O603-$C$14,$C$4,$C$10*SQRT($C$7),,$C$11))/$C$14^2,"")</f>
        <v>1.0830453287674624</v>
      </c>
      <c r="U603" s="43">
        <f>IFERROR((_xll.qlBachelierBlackFormula(IF(O603&lt;$C$4,"Put","Call"),O603+$C$14,$C$4,$C$12*SQRT($C$7))-
2*_xll.qlBachelierBlackFormula(IF(O603&lt;$C$4,"Put","Call"),O603,$C$4,$C$12*SQRT($C$7))+
_xll.qlBachelierBlackFormula(IF(O603&lt;$C$4,"Put","Call"),O603-$C$14,$C$4,$C$12*SQRT($C$7)))/$C$14^2,"")</f>
        <v>0.51699707611773538</v>
      </c>
      <c r="V603" s="61" t="str">
        <f>IFERROR(_xll.qlBachelierBlackFormulaImpliedVol(IF(O603&lt;$C$4,"Put","Call"),O603,$C$4,$C$7,P603),"")</f>
        <v/>
      </c>
      <c r="W603" s="61">
        <f>IFERROR(_xll.qlBachelierBlackFormulaImpliedVol(IF(O603&lt;$C$4,"Put","Call"),O603,$C$4,$C$7,Q603),"")</f>
        <v>8.966443769640545E-3</v>
      </c>
      <c r="X603" s="61">
        <f>IFERROR(_xll.qlBachelierBlackFormulaImpliedVol(IF(O603&lt;$C$4,"Put","Call"),O603,$C$4,$C$7,R603),"")</f>
        <v>7.2020000007871144E-3</v>
      </c>
      <c r="Y603" s="96">
        <f>_xll.qlSmileSectionVolatility($C$40,O603+$C$31)</f>
        <v>1.0582096777542106E-2</v>
      </c>
    </row>
    <row r="604" spans="15:25">
      <c r="O604" s="37">
        <f t="shared" si="10"/>
        <v>4.9900000000000395E-2</v>
      </c>
      <c r="P604" s="38" t="str">
        <f>IFERROR(_xll.qlBlackFormula(IF(O604&lt;$C$4,"Put","Call"),O604,$C$4,$C$9*SQRT($C$7)),"")</f>
        <v/>
      </c>
      <c r="Q604" s="39">
        <f>IFERROR(_xll.qlBlackFormula(IF(O604&lt;$C$4,"Put","Call"),O604,$C$4,$C$10*SQRT($C$7),,$C$11),"")</f>
        <v>8.7792419001900398E-5</v>
      </c>
      <c r="R604" s="40">
        <f>IFERROR(_xll.qlBachelierBlackFormula(IF(O604&lt;$C$4,"Put","Call"),O604,$C$4,$C$12*SQRT($C$7)),"")</f>
        <v>1.2755487232183685E-5</v>
      </c>
      <c r="S604" s="41" t="str">
        <f>IFERROR((_xll.qlBlackFormula(IF(O604&lt;$C$4,"Put","Call"),O604+$C$14,$C$4,$C$9*SQRT($C$7))-
2*_xll.qlBlackFormula(IF(O604&lt;$C$4,"Put","Call"),O604,$C$4,$C$9*SQRT($C$7))+
_xll.qlBlackFormula(IF(O604&lt;$C$4,"Put","Call"),O604-$C$14,$C$4,$C$9*SQRT($C$7)))/$C$14^2,"")</f>
        <v/>
      </c>
      <c r="T604" s="42">
        <f>IFERROR((_xll.qlBlackFormula(IF(O604&lt;$C$4,"Put","Call"),O604+$C$14,$C$4,$C$10*SQRT($C$7),,$C$11)-
2*_xll.qlBlackFormula(IF(O604&lt;$C$4,"Put","Call"),O604,$C$4,$C$10*SQRT($C$7),,$C$11)+
_xll.qlBlackFormula(IF(O604&lt;$C$4,"Put","Call"),O604-$C$14,$C$4,$C$10*SQRT($C$7),,$C$11))/$C$14^2,"")</f>
        <v>1.0720315694184857</v>
      </c>
      <c r="U604" s="43">
        <f>IFERROR((_xll.qlBachelierBlackFormula(IF(O604&lt;$C$4,"Put","Call"),O604+$C$14,$C$4,$C$12*SQRT($C$7))-
2*_xll.qlBachelierBlackFormula(IF(O604&lt;$C$4,"Put","Call"),O604,$C$4,$C$12*SQRT($C$7))+
_xll.qlBachelierBlackFormula(IF(O604&lt;$C$4,"Put","Call"),O604-$C$14,$C$4,$C$12*SQRT($C$7)))/$C$14^2,"")</f>
        <v>0.50813620347013588</v>
      </c>
      <c r="V604" s="61" t="str">
        <f>IFERROR(_xll.qlBachelierBlackFormulaImpliedVol(IF(O604&lt;$C$4,"Put","Call"),O604,$C$4,$C$7,P604),"")</f>
        <v/>
      </c>
      <c r="W604" s="61">
        <f>IFERROR(_xll.qlBachelierBlackFormulaImpliedVol(IF(O604&lt;$C$4,"Put","Call"),O604,$C$4,$C$7,Q604),"")</f>
        <v>8.9701403224020301E-3</v>
      </c>
      <c r="X604" s="61">
        <f>IFERROR(_xll.qlBachelierBlackFormulaImpliedVol(IF(O604&lt;$C$4,"Put","Call"),O604,$C$4,$C$7,R604),"")</f>
        <v>7.202000000793113E-3</v>
      </c>
      <c r="Y604" s="96">
        <f>_xll.qlSmileSectionVolatility($C$40,O604+$C$31)</f>
        <v>1.05910517889947E-2</v>
      </c>
    </row>
    <row r="605" spans="15:25">
      <c r="O605" s="52">
        <f t="shared" si="10"/>
        <v>5.0000000000000398E-2</v>
      </c>
      <c r="P605" s="53" t="str">
        <f>IFERROR(_xll.qlBlackFormula(IF(O605&lt;$C$4,"Put","Call"),O605,$C$4,$C$9*SQRT($C$7)),"")</f>
        <v/>
      </c>
      <c r="Q605" s="54">
        <f>IFERROR(_xll.qlBlackFormula(IF(O605&lt;$C$4,"Put","Call"),O605,$C$4,$C$10*SQRT($C$7),,$C$11),"")</f>
        <v>8.6807584819506133E-5</v>
      </c>
      <c r="R605" s="55">
        <f>IFERROR(_xll.qlBachelierBlackFormula(IF(O605&lt;$C$4,"Put","Call"),O605,$C$4,$C$12*SQRT($C$7)),"")</f>
        <v>1.2492921764841621E-5</v>
      </c>
      <c r="S605" s="56" t="str">
        <f>IFERROR((_xll.qlBlackFormula(IF(O605&lt;$C$4,"Put","Call"),O605+$C$14,$C$4,$C$9*SQRT($C$7))-
2*_xll.qlBlackFormula(IF(O605&lt;$C$4,"Put","Call"),O605,$C$4,$C$9*SQRT($C$7))+
_xll.qlBlackFormula(IF(O605&lt;$C$4,"Put","Call"),O605-$C$14,$C$4,$C$9*SQRT($C$7)))/$C$14^2,"")</f>
        <v/>
      </c>
      <c r="T605" s="57">
        <f>IFERROR((_xll.qlBlackFormula(IF(O605&lt;$C$4,"Put","Call"),O605+$C$14,$C$4,$C$10*SQRT($C$7),,$C$11)-
2*_xll.qlBlackFormula(IF(O605&lt;$C$4,"Put","Call"),O605,$C$4,$C$10*SQRT($C$7),,$C$11)+
_xll.qlBlackFormula(IF(O605&lt;$C$4,"Put","Call"),O605-$C$14,$C$4,$C$10*SQRT($C$7),,$C$11))/$C$14^2,"")</f>
        <v>1.0611281818506679</v>
      </c>
      <c r="U605" s="58">
        <f>IFERROR((_xll.qlBachelierBlackFormula(IF(O605&lt;$C$4,"Put","Call"),O605+$C$14,$C$4,$C$12*SQRT($C$7))-
2*_xll.qlBachelierBlackFormula(IF(O605&lt;$C$4,"Put","Call"),O605,$C$4,$C$12*SQRT($C$7))+
_xll.qlBachelierBlackFormula(IF(O605&lt;$C$4,"Put","Call"),O605-$C$14,$C$4,$C$12*SQRT($C$7)))/$C$14^2,"")</f>
        <v>0.4993999463097365</v>
      </c>
      <c r="V605" s="61" t="str">
        <f>IFERROR(_xll.qlBachelierBlackFormulaImpliedVol(IF(O605&lt;$C$4,"Put","Call"),O605,$C$4,$C$7,P605),"")</f>
        <v/>
      </c>
      <c r="W605" s="61">
        <f>IFERROR(_xll.qlBachelierBlackFormulaImpliedVol(IF(O605&lt;$C$4,"Put","Call"),O605,$C$4,$C$7,Q605),"")</f>
        <v>8.9738359919510086E-3</v>
      </c>
      <c r="X605" s="61">
        <f>IFERROR(_xll.qlBachelierBlackFormulaImpliedVol(IF(O605&lt;$C$4,"Put","Call"),O605,$C$4,$C$7,R605),"")</f>
        <v>7.2020000007980154E-3</v>
      </c>
      <c r="Y605" s="96">
        <f>_xll.qlSmileSectionVolatility($C$40,O605+$C$31)</f>
        <v>1.0600008389706423E-2</v>
      </c>
    </row>
    <row r="606" spans="15:25">
      <c r="O606" s="59"/>
    </row>
    <row r="607" spans="15:25">
      <c r="O607" s="59"/>
    </row>
    <row r="608" spans="15:25">
      <c r="O608" s="59"/>
    </row>
    <row r="609" spans="15:15">
      <c r="O609" s="59"/>
    </row>
    <row r="610" spans="15:15">
      <c r="O610" s="59"/>
    </row>
    <row r="611" spans="15:15">
      <c r="O611" s="59"/>
    </row>
    <row r="612" spans="15:15">
      <c r="O612" s="59"/>
    </row>
    <row r="613" spans="15:15">
      <c r="O613" s="59"/>
    </row>
    <row r="614" spans="15:15">
      <c r="O614" s="59"/>
    </row>
    <row r="615" spans="15:15">
      <c r="O615" s="59"/>
    </row>
    <row r="616" spans="15:15">
      <c r="O616" s="59"/>
    </row>
    <row r="617" spans="15:15">
      <c r="O617" s="59"/>
    </row>
    <row r="618" spans="15:15">
      <c r="O618" s="59"/>
    </row>
    <row r="619" spans="15:15">
      <c r="O619" s="59"/>
    </row>
    <row r="620" spans="15:15">
      <c r="O620" s="59"/>
    </row>
    <row r="621" spans="15:15">
      <c r="O621" s="59"/>
    </row>
    <row r="622" spans="15:15">
      <c r="O622" s="59"/>
    </row>
    <row r="623" spans="15:15">
      <c r="O623" s="59"/>
    </row>
    <row r="624" spans="15:15">
      <c r="O624" s="59"/>
    </row>
    <row r="625" spans="15:15">
      <c r="O625" s="59"/>
    </row>
    <row r="626" spans="15:15">
      <c r="O626" s="59"/>
    </row>
    <row r="627" spans="15:15">
      <c r="O627" s="59"/>
    </row>
    <row r="628" spans="15:15">
      <c r="O628" s="59"/>
    </row>
    <row r="629" spans="15:15">
      <c r="O629" s="59"/>
    </row>
    <row r="630" spans="15:15">
      <c r="O630" s="59"/>
    </row>
    <row r="631" spans="15:15">
      <c r="O631" s="59"/>
    </row>
    <row r="632" spans="15:15">
      <c r="O632" s="59"/>
    </row>
    <row r="633" spans="15:15">
      <c r="O633" s="59"/>
    </row>
    <row r="634" spans="15:15">
      <c r="O634" s="59"/>
    </row>
    <row r="635" spans="15:15">
      <c r="O635" s="59"/>
    </row>
    <row r="636" spans="15:15">
      <c r="O636" s="59"/>
    </row>
    <row r="637" spans="15:15">
      <c r="O637" s="59"/>
    </row>
    <row r="638" spans="15:15">
      <c r="O638" s="5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P111"/>
  <sheetViews>
    <sheetView showGridLines="0" zoomScale="70" zoomScaleNormal="70" workbookViewId="0">
      <selection activeCell="C14" sqref="C14"/>
    </sheetView>
  </sheetViews>
  <sheetFormatPr defaultRowHeight="12.5"/>
  <cols>
    <col min="6" max="6" width="14.6328125" customWidth="1"/>
    <col min="11" max="11" width="13.54296875" bestFit="1" customWidth="1"/>
    <col min="16" max="16" width="13.54296875" bestFit="1" customWidth="1"/>
  </cols>
  <sheetData>
    <row r="2" spans="2:16" ht="13">
      <c r="B2" s="67" t="s">
        <v>60</v>
      </c>
      <c r="C2" s="79">
        <v>0.05</v>
      </c>
    </row>
    <row r="3" spans="2:16" ht="13">
      <c r="B3" s="12" t="s">
        <v>61</v>
      </c>
      <c r="C3" s="80">
        <v>5</v>
      </c>
    </row>
    <row r="5" spans="2:16" ht="13">
      <c r="B5" s="66" t="s">
        <v>65</v>
      </c>
      <c r="C5" s="66" t="s">
        <v>54</v>
      </c>
      <c r="D5" s="66" t="s">
        <v>64</v>
      </c>
      <c r="E5" s="66" t="s">
        <v>66</v>
      </c>
      <c r="F5" s="66" t="s">
        <v>67</v>
      </c>
    </row>
    <row r="6" spans="2:16" ht="13">
      <c r="B6" s="67" t="s">
        <v>62</v>
      </c>
      <c r="C6" s="69">
        <v>0.01</v>
      </c>
      <c r="D6" s="69">
        <v>4.4999999999999998E-2</v>
      </c>
      <c r="E6" s="69">
        <v>4.0500000000000001E-2</v>
      </c>
      <c r="F6" s="69">
        <v>4.2000000000000003E-2</v>
      </c>
    </row>
    <row r="7" spans="2:16" ht="13">
      <c r="B7" s="68" t="s">
        <v>63</v>
      </c>
      <c r="C7" s="70">
        <v>1E-4</v>
      </c>
      <c r="D7" s="71">
        <v>0.5</v>
      </c>
      <c r="E7" s="71">
        <v>0.5</v>
      </c>
      <c r="F7" s="71">
        <v>0.5</v>
      </c>
    </row>
    <row r="8" spans="2:16" ht="13">
      <c r="B8" s="68" t="s">
        <v>68</v>
      </c>
      <c r="C8" s="72">
        <v>1E-4</v>
      </c>
      <c r="D8" s="72">
        <v>1E-4</v>
      </c>
      <c r="E8" s="72">
        <v>0.5</v>
      </c>
      <c r="F8" s="72">
        <v>0.5</v>
      </c>
    </row>
    <row r="9" spans="2:16" ht="13">
      <c r="B9" s="12" t="s">
        <v>69</v>
      </c>
      <c r="C9" s="73">
        <v>0</v>
      </c>
      <c r="D9" s="73">
        <v>0</v>
      </c>
      <c r="E9" s="73">
        <v>0</v>
      </c>
      <c r="F9" s="73">
        <v>0.7</v>
      </c>
      <c r="H9" s="83" t="s">
        <v>70</v>
      </c>
      <c r="M9" s="83" t="s">
        <v>41</v>
      </c>
    </row>
    <row r="11" spans="2:16" ht="13">
      <c r="B11" s="66" t="s">
        <v>43</v>
      </c>
      <c r="C11" s="66" t="s">
        <v>54</v>
      </c>
      <c r="D11" s="66" t="s">
        <v>64</v>
      </c>
      <c r="E11" s="66" t="s">
        <v>66</v>
      </c>
      <c r="F11" s="66" t="s">
        <v>67</v>
      </c>
      <c r="H11" s="66" t="s">
        <v>54</v>
      </c>
      <c r="I11" s="66" t="s">
        <v>64</v>
      </c>
      <c r="J11" s="66" t="s">
        <v>66</v>
      </c>
      <c r="K11" s="66" t="s">
        <v>67</v>
      </c>
      <c r="M11" s="66" t="s">
        <v>54</v>
      </c>
      <c r="N11" s="66" t="s">
        <v>64</v>
      </c>
      <c r="O11" s="66" t="s">
        <v>66</v>
      </c>
      <c r="P11" s="66" t="s">
        <v>67</v>
      </c>
    </row>
    <row r="12" spans="2:16">
      <c r="B12" s="69">
        <v>1E-3</v>
      </c>
      <c r="C12" s="76">
        <f>_xll.qlSabrVolatility($B12,$C$2,$C$3,C$6,C$7,C$8,C$9,TRUE)</f>
        <v>9.9952531385290068E-3</v>
      </c>
      <c r="D12" s="76">
        <f>_xll.qlSabrVolatility($B12,$C$2,$C$3,D$6,D$7,D$8,D$9,TRUE)</f>
        <v>5.4857013541505534E-3</v>
      </c>
      <c r="E12" s="76">
        <f>_xll.qlSabrVolatility($B12,$C$2,$C$3,E$6,E$7,E$8,E$9,TRUE)</f>
        <v>1.1575996756887993E-2</v>
      </c>
      <c r="F12" s="76">
        <f>_xll.qlSabrVolatility($B12,$C$2,$C$3,F$6,F$7,F$8,F$9,TRUE)</f>
        <v>8.253375718936919E-3</v>
      </c>
      <c r="H12" s="84">
        <f>_xll.qlBachelier($C$2,$B12,C12,$C$3,1)</f>
        <v>4.9111613647448517E-2</v>
      </c>
      <c r="I12" s="84">
        <f>_xll.qlBachelier($C$2,$B12,D12,$C$3,1)</f>
        <v>4.9000089748030023E-2</v>
      </c>
      <c r="J12" s="84">
        <f>_xll.qlBachelier($C$2,$B12,E12,$C$3,1)</f>
        <v>4.9291376966059029E-2</v>
      </c>
      <c r="K12" s="84">
        <f>_xll.qlBachelier($C$2,$B12,F12,$C$3,1)</f>
        <v>4.9022639753955086E-2</v>
      </c>
    </row>
    <row r="13" spans="2:16">
      <c r="B13" s="74">
        <v>2E-3</v>
      </c>
      <c r="C13" s="77">
        <f>_xll.qlSabrVolatility($B13,$C$2,$C$3,C$6,C$7,C$8,C$9,TRUE)</f>
        <v>9.9957234297874484E-3</v>
      </c>
      <c r="D13" s="77">
        <f>_xll.qlSabrVolatility($B13,$C$2,$C$3,D$6,D$7,D$8,D$9,TRUE)</f>
        <v>5.8463575917717218E-3</v>
      </c>
      <c r="E13" s="77">
        <f>_xll.qlSabrVolatility($B13,$C$2,$C$3,E$6,E$7,E$8,E$9,TRUE)</f>
        <v>1.1813303755381024E-2</v>
      </c>
      <c r="F13" s="77">
        <f>_xll.qlSabrVolatility($B13,$C$2,$C$3,F$6,F$7,F$8,F$9,TRUE)</f>
        <v>8.2497901631760576E-3</v>
      </c>
      <c r="H13" s="84">
        <f>_xll.qlBachelier($C$2,$B13,C13,$C$3,1)</f>
        <v>4.8126665126538341E-2</v>
      </c>
      <c r="I13" s="84">
        <f>_xll.qlBachelier($C$2,$B13,D13,$C$3,1)</f>
        <v>4.8000381000927246E-2</v>
      </c>
      <c r="J13" s="84">
        <f>_xll.qlBachelier($C$2,$B13,E13,$C$3,1)</f>
        <v>4.8361143450967675E-2</v>
      </c>
      <c r="K13" s="84">
        <f>_xll.qlBachelier($C$2,$B13,F13,$C$3,1)</f>
        <v>4.8026829771101023E-2</v>
      </c>
      <c r="M13" s="85">
        <f>(H14-2*H13+H12)/(($B14-$B12)/2)^2</f>
        <v>1.7599883564908825</v>
      </c>
      <c r="N13" s="85">
        <f>(I14-2*I13+I12)/(($B14-$B12)/2)^2</f>
        <v>0.32030901488122598</v>
      </c>
      <c r="O13" s="85">
        <f>(J14-2*J13+J12)/(($B14-$B12)/2)^2</f>
        <v>-13.084218917429336</v>
      </c>
      <c r="P13" s="85">
        <f>(K14-2*K13+K12)/(($B14-$B12)/2)^2</f>
        <v>1.8968742923619608E-2</v>
      </c>
    </row>
    <row r="14" spans="2:16">
      <c r="B14" s="74">
        <v>3.0000000000000001E-3</v>
      </c>
      <c r="C14" s="77">
        <f>_xll.qlSabrVolatility($B14,$C$2,$C$3,C$6,C$7,C$8,C$9,TRUE)</f>
        <v>9.9959075484844437E-3</v>
      </c>
      <c r="D14" s="77">
        <f>_xll.qlSabrVolatility($B14,$C$2,$C$3,D$6,D$7,D$8,D$9,TRUE)</f>
        <v>6.101714407365076E-3</v>
      </c>
      <c r="E14" s="77">
        <f>_xll.qlSabrVolatility($B14,$C$2,$C$3,E$6,E$7,E$8,E$9,TRUE)</f>
        <v>1.192410149112884E-2</v>
      </c>
      <c r="F14" s="77">
        <f>_xll.qlSabrVolatility($B14,$C$2,$C$3,F$6,F$7,F$8,F$9,TRUE)</f>
        <v>8.2262970071169412E-3</v>
      </c>
      <c r="H14" s="84">
        <f>_xll.qlBachelier($C$2,$B14,C14,$C$3,1)</f>
        <v>4.7143476593984657E-2</v>
      </c>
      <c r="I14" s="84">
        <f>_xll.qlBachelier($C$2,$B14,D14,$C$3,1)</f>
        <v>4.700099256283935E-2</v>
      </c>
      <c r="J14" s="84">
        <f>_xll.qlBachelier($C$2,$B14,E14,$C$3,1)</f>
        <v>4.7417825716958892E-2</v>
      </c>
      <c r="K14" s="84">
        <f>_xll.qlBachelier($C$2,$B14,F14,$C$3,1)</f>
        <v>4.7031038756989885E-2</v>
      </c>
      <c r="M14" s="85">
        <f t="shared" ref="M14:P77" si="0">(H15-2*H14+H13)/(($B15-$B13)/2)^2</f>
        <v>1.9528976940227927</v>
      </c>
      <c r="N14" s="85">
        <f t="shared" si="0"/>
        <v>0.48225090083786615</v>
      </c>
      <c r="O14" s="85">
        <f t="shared" si="0"/>
        <v>-4.5111279105211626</v>
      </c>
      <c r="P14" s="85">
        <f t="shared" si="0"/>
        <v>0.21838009555547044</v>
      </c>
    </row>
    <row r="15" spans="2:16">
      <c r="B15" s="74">
        <v>4.0000000000000001E-3</v>
      </c>
      <c r="C15" s="77">
        <f>_xll.qlSabrVolatility($B15,$C$2,$C$3,C$6,C$7,C$8,C$9,TRUE)</f>
        <v>9.9960169167849864E-3</v>
      </c>
      <c r="D15" s="77">
        <f>_xll.qlSabrVolatility($B15,$C$2,$C$3,D$6,D$7,D$8,D$9,TRUE)</f>
        <v>6.3097771959851456E-3</v>
      </c>
      <c r="E15" s="77">
        <f>_xll.qlSabrVolatility($B15,$C$2,$C$3,E$6,E$7,E$8,E$9,TRUE)</f>
        <v>1.1981196344056451E-2</v>
      </c>
      <c r="F15" s="77">
        <f>_xll.qlSabrVolatility($B15,$C$2,$C$3,F$6,F$7,F$8,F$9,TRUE)</f>
        <v>8.1922527805697067E-3</v>
      </c>
      <c r="H15" s="84">
        <f>_xll.qlBachelier($C$2,$B15,C15,$C$3,1)</f>
        <v>4.6162240959124995E-2</v>
      </c>
      <c r="I15" s="84">
        <f>_xll.qlBachelier($C$2,$B15,D15,$C$3,1)</f>
        <v>4.6002086375652292E-2</v>
      </c>
      <c r="J15" s="84">
        <f>_xll.qlBachelier($C$2,$B15,E15,$C$3,1)</f>
        <v>4.6469996855039587E-2</v>
      </c>
      <c r="K15" s="84">
        <f>_xll.qlBachelier($C$2,$B15,F15,$C$3,1)</f>
        <v>4.6035466122974301E-2</v>
      </c>
      <c r="M15" s="85">
        <f t="shared" si="0"/>
        <v>2.1469384154371163</v>
      </c>
      <c r="N15" s="85">
        <f t="shared" si="0"/>
        <v>0.68330488699891445</v>
      </c>
      <c r="O15" s="85">
        <f t="shared" si="0"/>
        <v>-1.7683253968683865</v>
      </c>
      <c r="P15" s="85">
        <f t="shared" si="0"/>
        <v>0.31219304804513959</v>
      </c>
    </row>
    <row r="16" spans="2:16">
      <c r="B16" s="74">
        <v>5.0000000000000001E-3</v>
      </c>
      <c r="C16" s="77">
        <f>_xll.qlSabrVolatility($B16,$C$2,$C$3,C$6,C$7,C$8,C$9,TRUE)</f>
        <v>9.9960947138740836E-3</v>
      </c>
      <c r="D16" s="77">
        <f>_xll.qlSabrVolatility($B16,$C$2,$C$3,D$6,D$7,D$8,D$9,TRUE)</f>
        <v>6.4896261170909594E-3</v>
      </c>
      <c r="E16" s="77">
        <f>_xll.qlSabrVolatility($B16,$C$2,$C$3,E$6,E$7,E$8,E$9,TRUE)</f>
        <v>1.2007178906560402E-2</v>
      </c>
      <c r="F16" s="77">
        <f>_xll.qlSabrVolatility($B16,$C$2,$C$3,F$6,F$7,F$8,F$9,TRUE)</f>
        <v>8.1512051348458705E-3</v>
      </c>
      <c r="H16" s="84">
        <f>_xll.qlBachelier($C$2,$B16,C16,$C$3,1)</f>
        <v>4.518315226268077E-2</v>
      </c>
      <c r="I16" s="84">
        <f>_xll.qlBachelier($C$2,$B16,D16,$C$3,1)</f>
        <v>4.5003863493352232E-2</v>
      </c>
      <c r="J16" s="84">
        <f>_xll.qlBachelier($C$2,$B16,E16,$C$3,1)</f>
        <v>4.5520399667723414E-2</v>
      </c>
      <c r="K16" s="84">
        <f>_xll.qlBachelier($C$2,$B16,F16,$C$3,1)</f>
        <v>4.5040205682006763E-2</v>
      </c>
      <c r="M16" s="85">
        <f t="shared" si="0"/>
        <v>2.3528159639046864</v>
      </c>
      <c r="N16" s="85">
        <f t="shared" si="0"/>
        <v>0.9253139821169265</v>
      </c>
      <c r="O16" s="85">
        <f t="shared" si="0"/>
        <v>-0.47486112814132397</v>
      </c>
      <c r="P16" s="85">
        <f t="shared" si="0"/>
        <v>0.38401378400776398</v>
      </c>
    </row>
    <row r="17" spans="2:16">
      <c r="B17" s="74">
        <v>6.0000000000000001E-3</v>
      </c>
      <c r="C17" s="77">
        <f>_xll.qlSabrVolatility($B17,$C$2,$C$3,C$6,C$7,C$8,C$9,TRUE)</f>
        <v>9.9961557127968403E-3</v>
      </c>
      <c r="D17" s="77">
        <f>_xll.qlSabrVolatility($B17,$C$2,$C$3,D$6,D$7,D$8,D$9,TRUE)</f>
        <v>6.650250475997997E-3</v>
      </c>
      <c r="E17" s="77">
        <f>_xll.qlSabrVolatility($B17,$C$2,$C$3,E$6,E$7,E$8,E$9,TRUE)</f>
        <v>1.2012334505531476E-2</v>
      </c>
      <c r="F17" s="77">
        <f>_xll.qlSabrVolatility($B17,$C$2,$C$3,F$6,F$7,F$8,F$9,TRUE)</f>
        <v>8.1050822446301334E-3</v>
      </c>
      <c r="H17" s="84">
        <f>_xll.qlBachelier($C$2,$B17,C17,$C$3,1)</f>
        <v>4.420641638220045E-2</v>
      </c>
      <c r="I17" s="84">
        <f>_xll.qlBachelier($C$2,$B17,D17,$C$3,1)</f>
        <v>4.400656592503429E-2</v>
      </c>
      <c r="J17" s="84">
        <f>_xll.qlBachelier($C$2,$B17,E17,$C$3,1)</f>
        <v>4.45703276192791E-2</v>
      </c>
      <c r="K17" s="84">
        <f>_xll.qlBachelier($C$2,$B17,F17,$C$3,1)</f>
        <v>4.4045329254823233E-2</v>
      </c>
      <c r="M17" s="85">
        <f t="shared" si="0"/>
        <v>2.5724645183189399</v>
      </c>
      <c r="N17" s="85">
        <f t="shared" si="0"/>
        <v>1.2097127159091392</v>
      </c>
      <c r="O17" s="85">
        <f t="shared" si="0"/>
        <v>0.27777654026256426</v>
      </c>
      <c r="P17" s="85">
        <f t="shared" si="0"/>
        <v>0.45132959566873687</v>
      </c>
    </row>
    <row r="18" spans="2:16">
      <c r="B18" s="74">
        <v>7.0000000000000001E-3</v>
      </c>
      <c r="C18" s="77">
        <f>_xll.qlSabrVolatility($B18,$C$2,$C$3,C$6,C$7,C$8,C$9,TRUE)</f>
        <v>9.9962064413134395E-3</v>
      </c>
      <c r="D18" s="77">
        <f>_xll.qlSabrVolatility($B18,$C$2,$C$3,D$6,D$7,D$8,D$9,TRUE)</f>
        <v>6.7967107058345411E-3</v>
      </c>
      <c r="E18" s="77">
        <f>_xll.qlSabrVolatility($B18,$C$2,$C$3,E$6,E$7,E$8,E$9,TRUE)</f>
        <v>1.2002327764008624E-2</v>
      </c>
      <c r="F18" s="77">
        <f>_xll.qlSabrVolatility($B18,$C$2,$C$3,F$6,F$7,F$8,F$9,TRUE)</f>
        <v>8.0551153150498229E-3</v>
      </c>
      <c r="H18" s="84">
        <f>_xll.qlBachelier($C$2,$B18,C18,$C$3,1)</f>
        <v>4.3232252966238449E-2</v>
      </c>
      <c r="I18" s="84">
        <f>_xll.qlBachelier($C$2,$B18,D18,$C$3,1)</f>
        <v>4.3010478069432256E-2</v>
      </c>
      <c r="J18" s="84">
        <f>_xll.qlBachelier($C$2,$B18,E18,$C$3,1)</f>
        <v>4.3620533347375048E-2</v>
      </c>
      <c r="K18" s="84">
        <f>_xll.qlBachelier($C$2,$B18,F18,$C$3,1)</f>
        <v>4.3050904157235372E-2</v>
      </c>
      <c r="M18" s="85">
        <f t="shared" si="0"/>
        <v>2.8066742825197388</v>
      </c>
      <c r="N18" s="85">
        <f t="shared" si="0"/>
        <v>1.5373124945747274</v>
      </c>
      <c r="O18" s="85">
        <f t="shared" si="0"/>
        <v>0.78300849509077564</v>
      </c>
      <c r="P18" s="85">
        <f t="shared" si="0"/>
        <v>0.52077192770616509</v>
      </c>
    </row>
    <row r="19" spans="2:16">
      <c r="B19" s="74">
        <v>8.0000000000000002E-3</v>
      </c>
      <c r="C19" s="77">
        <f>_xll.qlSabrVolatility($B19,$C$2,$C$3,C$6,C$7,C$8,C$9,TRUE)</f>
        <v>9.9962502774828804E-3</v>
      </c>
      <c r="D19" s="77">
        <f>_xll.qlSabrVolatility($B19,$C$2,$C$3,D$6,D$7,D$8,D$9,TRUE)</f>
        <v>6.9321823926150172E-3</v>
      </c>
      <c r="E19" s="77">
        <f>_xll.qlSabrVolatility($B19,$C$2,$C$3,E$6,E$7,E$8,E$9,TRUE)</f>
        <v>1.1980664480330935E-2</v>
      </c>
      <c r="F19" s="77">
        <f>_xll.qlSabrVolatility($B19,$C$2,$C$3,F$6,F$7,F$8,F$9,TRUE)</f>
        <v>8.0021724213605629E-3</v>
      </c>
      <c r="H19" s="84">
        <f>_xll.qlBachelier($C$2,$B19,C19,$C$3,1)</f>
        <v>4.2260896224558968E-2</v>
      </c>
      <c r="I19" s="84">
        <f>_xll.qlBachelier($C$2,$B19,D19,$C$3,1)</f>
        <v>4.2015927526324798E-2</v>
      </c>
      <c r="J19" s="84">
        <f>_xll.qlBachelier($C$2,$B19,E19,$C$3,1)</f>
        <v>4.2671522083966087E-2</v>
      </c>
      <c r="K19" s="84">
        <f>_xll.qlBachelier($C$2,$B19,F19,$C$3,1)</f>
        <v>4.2056999831575216E-2</v>
      </c>
      <c r="M19" s="85">
        <f t="shared" si="0"/>
        <v>3.0559360517240535</v>
      </c>
      <c r="N19" s="85">
        <f t="shared" si="0"/>
        <v>1.9082640166298588</v>
      </c>
      <c r="O19" s="85">
        <f t="shared" si="0"/>
        <v>1.1608739310317595</v>
      </c>
      <c r="P19" s="85">
        <f t="shared" si="0"/>
        <v>0.59600793814867992</v>
      </c>
    </row>
    <row r="20" spans="2:16">
      <c r="B20" s="74">
        <v>8.9999999999999993E-3</v>
      </c>
      <c r="C20" s="77">
        <f>_xll.qlSabrVolatility($B20,$C$2,$C$3,C$6,C$7,C$8,C$9,TRUE)</f>
        <v>9.9962891699052168E-3</v>
      </c>
      <c r="D20" s="77">
        <f>_xll.qlSabrVolatility($B20,$C$2,$C$3,D$6,D$7,D$8,D$9,TRUE)</f>
        <v>7.058810689045545E-3</v>
      </c>
      <c r="E20" s="77">
        <f>_xll.qlSabrVolatility($B20,$C$2,$C$3,E$6,E$7,E$8,E$9,TRUE)</f>
        <v>1.1949694644762112E-2</v>
      </c>
      <c r="F20" s="77">
        <f>_xll.qlSabrVolatility($B20,$C$2,$C$3,F$6,F$7,F$8,F$9,TRUE)</f>
        <v>7.9469113253792835E-3</v>
      </c>
      <c r="H20" s="84">
        <f>_xll.qlBachelier($C$2,$B20,C20,$C$3,1)</f>
        <v>4.1292595418931211E-2</v>
      </c>
      <c r="I20" s="84">
        <f>_xll.qlBachelier($C$2,$B20,D20,$C$3,1)</f>
        <v>4.1023285247233969E-2</v>
      </c>
      <c r="J20" s="84">
        <f>_xll.qlBachelier($C$2,$B20,E20,$C$3,1)</f>
        <v>4.1723671694488158E-2</v>
      </c>
      <c r="K20" s="84">
        <f>_xll.qlBachelier($C$2,$B20,F20,$C$3,1)</f>
        <v>4.1063691513853209E-2</v>
      </c>
      <c r="M20" s="85">
        <f t="shared" si="0"/>
        <v>3.3206045519096339</v>
      </c>
      <c r="N20" s="85">
        <f t="shared" si="0"/>
        <v>2.3220574759674761</v>
      </c>
      <c r="O20" s="85">
        <f t="shared" si="0"/>
        <v>1.4686557775894782</v>
      </c>
      <c r="P20" s="85">
        <f t="shared" si="0"/>
        <v>0.67976025330124257</v>
      </c>
    </row>
    <row r="21" spans="2:16">
      <c r="B21" s="74">
        <v>0.01</v>
      </c>
      <c r="C21" s="77">
        <f>_xll.qlSabrVolatility($B21,$C$2,$C$3,C$6,C$7,C$8,C$9,TRUE)</f>
        <v>9.9963243356969936E-3</v>
      </c>
      <c r="D21" s="77">
        <f>_xll.qlSabrVolatility($B21,$C$2,$C$3,D$6,D$7,D$8,D$9,TRUE)</f>
        <v>7.1781241697626182E-3</v>
      </c>
      <c r="E21" s="77">
        <f>_xll.qlSabrVolatility($B21,$C$2,$C$3,E$6,E$7,E$8,E$9,TRUE)</f>
        <v>1.191108875868048E-2</v>
      </c>
      <c r="F21" s="77">
        <f>_xll.qlSabrVolatility($B21,$C$2,$C$3,F$6,F$7,F$8,F$9,TRUE)</f>
        <v>7.8898602219103463E-3</v>
      </c>
      <c r="H21" s="84">
        <f>_xll.qlBachelier($C$2,$B21,C21,$C$3,1)</f>
        <v>4.0327615217855363E-2</v>
      </c>
      <c r="I21" s="84">
        <f>_xll.qlBachelier($C$2,$B21,D21,$C$3,1)</f>
        <v>4.0032965025619108E-2</v>
      </c>
      <c r="J21" s="84">
        <f>_xll.qlBachelier($C$2,$B21,E21,$C$3,1)</f>
        <v>4.0777289960787819E-2</v>
      </c>
      <c r="K21" s="84">
        <f>_xll.qlBachelier($C$2,$B21,F21,$C$3,1)</f>
        <v>4.0071062956384504E-2</v>
      </c>
      <c r="M21" s="85">
        <f t="shared" si="0"/>
        <v>3.6009373936829459</v>
      </c>
      <c r="N21" s="85">
        <f t="shared" si="0"/>
        <v>2.7775412526770404</v>
      </c>
      <c r="O21" s="85">
        <f t="shared" si="0"/>
        <v>1.736943539450142</v>
      </c>
      <c r="P21" s="85">
        <f t="shared" si="0"/>
        <v>0.77452529283206228</v>
      </c>
    </row>
    <row r="22" spans="2:16">
      <c r="B22" s="74">
        <v>1.0999999999999999E-2</v>
      </c>
      <c r="C22" s="77">
        <f>_xll.qlSabrVolatility($B22,$C$2,$C$3,C$6,C$7,C$8,C$9,TRUE)</f>
        <v>9.9963565828454972E-3</v>
      </c>
      <c r="D22" s="77">
        <f>_xll.qlSabrVolatility($B22,$C$2,$C$3,D$6,D$7,D$8,D$9,TRUE)</f>
        <v>7.2912571196187843E-3</v>
      </c>
      <c r="E22" s="77">
        <f>_xll.qlSabrVolatility($B22,$C$2,$C$3,E$6,E$7,E$8,E$9,TRUE)</f>
        <v>1.1866089738014533E-2</v>
      </c>
      <c r="F22" s="77">
        <f>_xll.qlSabrVolatility($B22,$C$2,$C$3,F$6,F$7,F$8,F$9,TRUE)</f>
        <v>7.8314649795629496E-3</v>
      </c>
      <c r="H22" s="84">
        <f>_xll.qlBachelier($C$2,$B22,C22,$C$3,1)</f>
        <v>3.9366235954173198E-2</v>
      </c>
      <c r="I22" s="84">
        <f>_xll.qlBachelier($C$2,$B22,D22,$C$3,1)</f>
        <v>3.9045422345256924E-2</v>
      </c>
      <c r="J22" s="84">
        <f>_xll.qlBachelier($C$2,$B22,E22,$C$3,1)</f>
        <v>3.9832645170626929E-2</v>
      </c>
      <c r="K22" s="84">
        <f>_xll.qlBachelier($C$2,$B22,F22,$C$3,1)</f>
        <v>3.907920892420863E-2</v>
      </c>
      <c r="M22" s="85">
        <f t="shared" si="0"/>
        <v>3.8971028020681753</v>
      </c>
      <c r="N22" s="85">
        <f t="shared" si="0"/>
        <v>3.2729537836478917</v>
      </c>
      <c r="O22" s="85">
        <f t="shared" si="0"/>
        <v>1.9836097764278082</v>
      </c>
      <c r="P22" s="85">
        <f t="shared" si="0"/>
        <v>0.88290792902429027</v>
      </c>
    </row>
    <row r="23" spans="2:16">
      <c r="B23" s="74">
        <v>1.2E-2</v>
      </c>
      <c r="C23" s="77">
        <f>_xll.qlSabrVolatility($B23,$C$2,$C$3,C$6,C$7,C$8,C$9,TRUE)</f>
        <v>9.9963864741834177E-3</v>
      </c>
      <c r="D23" s="77">
        <f>_xll.qlSabrVolatility($B23,$C$2,$C$3,D$6,D$7,D$8,D$9,TRUE)</f>
        <v>7.3990784763657055E-3</v>
      </c>
      <c r="E23" s="77">
        <f>_xll.qlSabrVolatility($B23,$C$2,$C$3,E$6,E$7,E$8,E$9,TRUE)</f>
        <v>1.1815657287396171E-2</v>
      </c>
      <c r="F23" s="77">
        <f>_xll.qlSabrVolatility($B23,$C$2,$C$3,F$6,F$7,F$8,F$9,TRUE)</f>
        <v>7.7721191198274666E-3</v>
      </c>
      <c r="H23" s="84">
        <f>_xll.qlBachelier($C$2,$B23,C23,$C$3,1)</f>
        <v>3.8408753793293102E-2</v>
      </c>
      <c r="I23" s="84">
        <f>_xll.qlBachelier($C$2,$B23,D23,$C$3,1)</f>
        <v>3.8061152618678387E-2</v>
      </c>
      <c r="J23" s="84">
        <f>_xll.qlBachelier($C$2,$B23,E23,$C$3,1)</f>
        <v>3.8889983990242467E-2</v>
      </c>
      <c r="K23" s="84">
        <f>_xll.qlBachelier($C$2,$B23,F23,$C$3,1)</f>
        <v>3.8088237799961781E-2</v>
      </c>
      <c r="M23" s="85">
        <f t="shared" si="0"/>
        <v>4.2091778389777295</v>
      </c>
      <c r="N23" s="85">
        <f t="shared" si="0"/>
        <v>3.8059659292558057</v>
      </c>
      <c r="O23" s="85">
        <f t="shared" si="0"/>
        <v>2.2199447465079403</v>
      </c>
      <c r="P23" s="85">
        <f t="shared" si="0"/>
        <v>1.0078268078070329</v>
      </c>
    </row>
    <row r="24" spans="2:16">
      <c r="B24" s="74">
        <v>1.2999999999999999E-2</v>
      </c>
      <c r="C24" s="77">
        <f>_xll.qlSabrVolatility($B24,$C$2,$C$3,C$6,C$7,C$8,C$9,TRUE)</f>
        <v>9.9964144173762086E-3</v>
      </c>
      <c r="D24" s="77">
        <f>_xll.qlSabrVolatility($B24,$C$2,$C$3,D$6,D$7,D$8,D$9,TRUE)</f>
        <v>7.5022712256144668E-3</v>
      </c>
      <c r="E24" s="77">
        <f>_xll.qlSabrVolatility($B24,$C$2,$C$3,E$6,E$7,E$8,E$9,TRUE)</f>
        <v>1.17605560100001E-2</v>
      </c>
      <c r="F24" s="77">
        <f>_xll.qlSabrVolatility($B24,$C$2,$C$3,F$6,F$7,F$8,F$9,TRUE)</f>
        <v>7.712184257594166E-3</v>
      </c>
      <c r="H24" s="84">
        <f>_xll.qlBachelier($C$2,$B24,C24,$C$3,1)</f>
        <v>3.7455480810251983E-2</v>
      </c>
      <c r="I24" s="84">
        <f>_xll.qlBachelier($C$2,$B24,D24,$C$3,1)</f>
        <v>3.7080688858029107E-2</v>
      </c>
      <c r="J24" s="84">
        <f>_xll.qlBachelier($C$2,$B24,E24,$C$3,1)</f>
        <v>3.7949542754604514E-2</v>
      </c>
      <c r="K24" s="84">
        <f>_xll.qlBachelier($C$2,$B24,F24,$C$3,1)</f>
        <v>3.7098274502522739E-2</v>
      </c>
      <c r="M24" s="85">
        <f t="shared" si="0"/>
        <v>4.5371433611759997</v>
      </c>
      <c r="N24" s="85">
        <f t="shared" si="0"/>
        <v>4.3737317580033741</v>
      </c>
      <c r="O24" s="85">
        <f t="shared" si="0"/>
        <v>2.4536174572029057</v>
      </c>
      <c r="P24" s="85">
        <f t="shared" si="0"/>
        <v>1.152678434541976</v>
      </c>
    </row>
    <row r="25" spans="2:16">
      <c r="B25" s="74">
        <v>1.4E-2</v>
      </c>
      <c r="C25" s="77">
        <f>_xll.qlSabrVolatility($B25,$C$2,$C$3,C$6,C$7,C$8,C$9,TRUE)</f>
        <v>9.9964407173032399E-3</v>
      </c>
      <c r="D25" s="77">
        <f>_xll.qlSabrVolatility($B25,$C$2,$C$3,D$6,D$7,D$8,D$9,TRUE)</f>
        <v>7.6013836765777372E-3</v>
      </c>
      <c r="E25" s="77">
        <f>_xll.qlSabrVolatility($B25,$C$2,$C$3,E$6,E$7,E$8,E$9,TRUE)</f>
        <v>1.1701411987362645E-2</v>
      </c>
      <c r="F25" s="77">
        <f>_xll.qlSabrVolatility($B25,$C$2,$C$3,F$6,F$7,F$8,F$9,TRUE)</f>
        <v>7.6520050277188575E-3</v>
      </c>
      <c r="H25" s="84">
        <f>_xll.qlBachelier($C$2,$B25,C25,$C$3,1)</f>
        <v>3.650674497057204E-2</v>
      </c>
      <c r="I25" s="84">
        <f>_xll.qlBachelier($C$2,$B25,D25,$C$3,1)</f>
        <v>3.6104598829137829E-2</v>
      </c>
      <c r="J25" s="84">
        <f>_xll.qlBachelier($C$2,$B25,E25,$C$3,1)</f>
        <v>3.7011555136423763E-2</v>
      </c>
      <c r="K25" s="84">
        <f>_xll.qlBachelier($C$2,$B25,F25,$C$3,1)</f>
        <v>3.6109463883518239E-2</v>
      </c>
      <c r="M25" s="85">
        <f t="shared" si="0"/>
        <v>4.8808779888123714</v>
      </c>
      <c r="N25" s="85">
        <f t="shared" si="0"/>
        <v>4.9729459223185613</v>
      </c>
      <c r="O25" s="85">
        <f t="shared" si="0"/>
        <v>2.6902176192070137</v>
      </c>
      <c r="P25" s="85">
        <f t="shared" si="0"/>
        <v>1.3214971278929788</v>
      </c>
    </row>
    <row r="26" spans="2:16">
      <c r="B26" s="74">
        <v>1.4999999999999999E-2</v>
      </c>
      <c r="C26" s="77">
        <f>_xll.qlSabrVolatility($B26,$C$2,$C$3,C$6,C$7,C$8,C$9,TRUE)</f>
        <v>9.9964656081895642E-3</v>
      </c>
      <c r="D26" s="77">
        <f>_xll.qlSabrVolatility($B26,$C$2,$C$3,D$6,D$7,D$8,D$9,TRUE)</f>
        <v>7.6968638970617322E-3</v>
      </c>
      <c r="E26" s="77">
        <f>_xll.qlSabrVolatility($B26,$C$2,$C$3,E$6,E$7,E$8,E$9,TRUE)</f>
        <v>1.1638750693647939E-2</v>
      </c>
      <c r="F26" s="77">
        <f>_xll.qlSabrVolatility($B26,$C$2,$C$3,F$6,F$7,F$8,F$9,TRUE)</f>
        <v>7.5919207573816594E-3</v>
      </c>
      <c r="H26" s="84">
        <f>_xll.qlBachelier($C$2,$B26,C26,$C$3,1)</f>
        <v>3.556289000888091E-2</v>
      </c>
      <c r="I26" s="84">
        <f>_xll.qlBachelier($C$2,$B26,D26,$C$3,1)</f>
        <v>3.5133481746168871E-2</v>
      </c>
      <c r="J26" s="84">
        <f>_xll.qlBachelier($C$2,$B26,E26,$C$3,1)</f>
        <v>3.6076257735862219E-2</v>
      </c>
      <c r="K26" s="84">
        <f>_xll.qlBachelier($C$2,$B26,F26,$C$3,1)</f>
        <v>3.5121974761641632E-2</v>
      </c>
      <c r="M26" s="85">
        <f t="shared" si="0"/>
        <v>5.2401518989206313</v>
      </c>
      <c r="N26" s="85">
        <f t="shared" si="0"/>
        <v>5.5999058615335828</v>
      </c>
      <c r="O26" s="85">
        <f t="shared" si="0"/>
        <v>2.9341109400032872</v>
      </c>
      <c r="P26" s="85">
        <f t="shared" si="0"/>
        <v>1.5191300641662075</v>
      </c>
    </row>
    <row r="27" spans="2:16">
      <c r="B27" s="74">
        <v>1.6E-2</v>
      </c>
      <c r="C27" s="77">
        <f>_xll.qlSabrVolatility($B27,$C$2,$C$3,C$6,C$7,C$8,C$9,TRUE)</f>
        <v>9.9964892741504323E-3</v>
      </c>
      <c r="D27" s="77">
        <f>_xll.qlSabrVolatility($B27,$C$2,$C$3,D$6,D$7,D$8,D$9,TRUE)</f>
        <v>7.7890836050489428E-3</v>
      </c>
      <c r="E27" s="77">
        <f>_xll.qlSabrVolatility($B27,$C$2,$C$3,E$6,E$7,E$8,E$9,TRUE)</f>
        <v>1.1573023355254987E-2</v>
      </c>
      <c r="F27" s="77">
        <f>_xll.qlSabrVolatility($B27,$C$2,$C$3,F$6,F$7,F$8,F$9,TRUE)</f>
        <v>7.5322752381379249E-3</v>
      </c>
      <c r="H27" s="84">
        <f>_xll.qlBachelier($C$2,$B27,C27,$C$3,1)</f>
        <v>3.46242751990887E-2</v>
      </c>
      <c r="I27" s="84">
        <f>_xll.qlBachelier($C$2,$B27,D27,$C$3,1)</f>
        <v>3.4167964569061446E-2</v>
      </c>
      <c r="J27" s="84">
        <f>_xll.qlBachelier($C$2,$B27,E27,$C$3,1)</f>
        <v>3.5143894446240678E-2</v>
      </c>
      <c r="K27" s="84">
        <f>_xll.qlBachelier($C$2,$B27,F27,$C$3,1)</f>
        <v>3.4136004769829191E-2</v>
      </c>
      <c r="M27" s="85">
        <f t="shared" si="0"/>
        <v>5.6146209059734673</v>
      </c>
      <c r="N27" s="85">
        <f t="shared" si="0"/>
        <v>6.2505772214713087</v>
      </c>
      <c r="O27" s="85">
        <f t="shared" si="0"/>
        <v>3.1889401351931022</v>
      </c>
      <c r="P27" s="85">
        <f t="shared" si="0"/>
        <v>1.7514397492590617</v>
      </c>
    </row>
    <row r="28" spans="2:16">
      <c r="B28" s="74">
        <v>1.7000000000000001E-2</v>
      </c>
      <c r="C28" s="77">
        <f>_xll.qlSabrVolatility($B28,$C$2,$C$3,C$6,C$7,C$8,C$9,TRUE)</f>
        <v>9.9965118627379813E-3</v>
      </c>
      <c r="D28" s="77">
        <f>_xll.qlSabrVolatility($B28,$C$2,$C$3,D$6,D$7,D$8,D$9,TRUE)</f>
        <v>7.8783552094502923E-3</v>
      </c>
      <c r="E28" s="77">
        <f>_xll.qlSabrVolatility($B28,$C$2,$C$3,E$6,E$7,E$8,E$9,TRUE)</f>
        <v>1.1504625890016683E-2</v>
      </c>
      <c r="F28" s="77">
        <f>_xll.qlSabrVolatility($B28,$C$2,$C$3,F$6,F$7,F$8,F$9,TRUE)</f>
        <v>7.4734254582503384E-3</v>
      </c>
      <c r="H28" s="84">
        <f>_xll.qlBachelier($C$2,$B28,C28,$C$3,1)</f>
        <v>3.3691275010202464E-2</v>
      </c>
      <c r="I28" s="84">
        <f>_xll.qlBachelier($C$2,$B28,D28,$C$3,1)</f>
        <v>3.3208697969175492E-2</v>
      </c>
      <c r="J28" s="84">
        <f>_xll.qlBachelier($C$2,$B28,E28,$C$3,1)</f>
        <v>3.4214720096754331E-2</v>
      </c>
      <c r="K28" s="84">
        <f>_xll.qlBachelier($C$2,$B28,F28,$C$3,1)</f>
        <v>3.3151786217766009E-2</v>
      </c>
      <c r="M28" s="85">
        <f t="shared" si="0"/>
        <v>6.0038211521923452</v>
      </c>
      <c r="N28" s="85">
        <f t="shared" si="0"/>
        <v>6.9206609818115004</v>
      </c>
      <c r="O28" s="85">
        <f t="shared" si="0"/>
        <v>3.4579330690093286</v>
      </c>
      <c r="P28" s="85">
        <f t="shared" si="0"/>
        <v>2.0255432061008807</v>
      </c>
    </row>
    <row r="29" spans="2:16">
      <c r="B29" s="74">
        <v>1.7999999999999999E-2</v>
      </c>
      <c r="C29" s="77">
        <f>_xll.qlSabrVolatility($B29,$C$2,$C$3,C$6,C$7,C$8,C$9,TRUE)</f>
        <v>9.9965334942072031E-3</v>
      </c>
      <c r="D29" s="77">
        <f>_xll.qlSabrVolatility($B29,$C$2,$C$3,D$6,D$7,D$8,D$9,TRUE)</f>
        <v>7.96494425629613E-3</v>
      </c>
      <c r="E29" s="77">
        <f>_xll.qlSabrVolatility($B29,$C$2,$C$3,E$6,E$7,E$8,E$9,TRUE)</f>
        <v>1.1433912934599976E-2</v>
      </c>
      <c r="F29" s="77">
        <f>_xll.qlSabrVolatility($B29,$C$2,$C$3,F$6,F$7,F$8,F$9,TRUE)</f>
        <v>7.4157498722188433E-3</v>
      </c>
      <c r="H29" s="84">
        <f>_xll.qlBachelier($C$2,$B29,C29,$C$3,1)</f>
        <v>3.276427864246842E-2</v>
      </c>
      <c r="I29" s="84">
        <f>_xll.qlBachelier($C$2,$B29,D29,$C$3,1)</f>
        <v>3.225635203027135E-2</v>
      </c>
      <c r="J29" s="84">
        <f>_xll.qlBachelier($C$2,$B29,E29,$C$3,1)</f>
        <v>3.3289003680336993E-2</v>
      </c>
      <c r="K29" s="84">
        <f>_xll.qlBachelier($C$2,$B29,F29,$C$3,1)</f>
        <v>3.2169593208908928E-2</v>
      </c>
      <c r="M29" s="85">
        <f t="shared" si="0"/>
        <v>6.4071645485205941</v>
      </c>
      <c r="N29" s="85">
        <f t="shared" si="0"/>
        <v>7.6056608693045442</v>
      </c>
      <c r="O29" s="85">
        <f t="shared" si="0"/>
        <v>3.7441008762934058</v>
      </c>
      <c r="P29" s="85">
        <f t="shared" si="0"/>
        <v>2.3500950576613207</v>
      </c>
    </row>
    <row r="30" spans="2:16">
      <c r="B30" s="74">
        <v>1.9E-2</v>
      </c>
      <c r="C30" s="77">
        <f>_xll.qlSabrVolatility($B30,$C$2,$C$3,C$6,C$7,C$8,C$9,TRUE)</f>
        <v>9.9965542680690821E-3</v>
      </c>
      <c r="D30" s="77">
        <f>_xll.qlSabrVolatility($B30,$C$2,$C$3,D$6,D$7,D$8,D$9,TRUE)</f>
        <v>8.0490787081970421E-3</v>
      </c>
      <c r="E30" s="77">
        <f>_xll.qlSabrVolatility($B30,$C$2,$C$3,E$6,E$7,E$8,E$9,TRUE)</f>
        <v>1.1361208539299988E-2</v>
      </c>
      <c r="F30" s="77">
        <f>_xll.qlSabrVolatility($B30,$C$2,$C$3,F$6,F$7,F$8,F$9,TRUE)</f>
        <v>7.359656610262685E-3</v>
      </c>
      <c r="H30" s="84">
        <f>_xll.qlBachelier($C$2,$B30,C30,$C$3,1)</f>
        <v>3.1843689439282896E-2</v>
      </c>
      <c r="I30" s="84">
        <f>_xll.qlBachelier($C$2,$B30,D30,$C$3,1)</f>
        <v>3.1311611752236512E-2</v>
      </c>
      <c r="J30" s="84">
        <f>_xll.qlBachelier($C$2,$B30,E30,$C$3,1)</f>
        <v>3.2367031364795948E-2</v>
      </c>
      <c r="K30" s="84">
        <f>_xll.qlBachelier($C$2,$B30,F30,$C$3,1)</f>
        <v>3.1189750295109505E-2</v>
      </c>
      <c r="M30" s="85">
        <f t="shared" si="0"/>
        <v>6.823935039312877</v>
      </c>
      <c r="N30" s="85">
        <f t="shared" si="0"/>
        <v>8.3009498697897275</v>
      </c>
      <c r="O30" s="85">
        <f t="shared" si="0"/>
        <v>4.0503705203281877</v>
      </c>
      <c r="P30" s="85">
        <f t="shared" si="0"/>
        <v>2.7356188155996892</v>
      </c>
    </row>
    <row r="31" spans="2:16">
      <c r="B31" s="74">
        <v>0.02</v>
      </c>
      <c r="C31" s="77">
        <f>_xll.qlSabrVolatility($B31,$C$2,$C$3,C$6,C$7,C$8,C$9,TRUE)</f>
        <v>9.9965742676444043E-3</v>
      </c>
      <c r="D31" s="77">
        <f>_xll.qlSabrVolatility($B31,$C$2,$C$3,D$6,D$7,D$8,D$9,TRUE)</f>
        <v>8.1309559888647458E-3</v>
      </c>
      <c r="E31" s="77">
        <f>_xll.qlSabrVolatility($B31,$C$2,$C$3,E$6,E$7,E$8,E$9,TRUE)</f>
        <v>1.128681455669852E-2</v>
      </c>
      <c r="F31" s="77">
        <f>_xll.qlSabrVolatility($B31,$C$2,$C$3,F$6,F$7,F$8,F$9,TRUE)</f>
        <v>7.305591911605425E-3</v>
      </c>
      <c r="H31" s="84">
        <f>_xll.qlBachelier($C$2,$B31,C31,$C$3,1)</f>
        <v>3.0929924171136682E-2</v>
      </c>
      <c r="I31" s="84">
        <f>_xll.qlBachelier($C$2,$B31,D31,$C$3,1)</f>
        <v>3.0375172424071461E-2</v>
      </c>
      <c r="J31" s="84">
        <f>_xll.qlBachelier($C$2,$B31,E31,$C$3,1)</f>
        <v>3.1449109419775231E-2</v>
      </c>
      <c r="K31" s="84">
        <f>_xll.qlBachelier($C$2,$B31,F31,$C$3,1)</f>
        <v>3.0212643000125678E-2</v>
      </c>
      <c r="M31" s="85">
        <f t="shared" si="0"/>
        <v>7.2532861058876996</v>
      </c>
      <c r="N31" s="85">
        <f t="shared" si="0"/>
        <v>9.0018346866199526</v>
      </c>
      <c r="O31" s="85">
        <f t="shared" si="0"/>
        <v>4.3796764038345124</v>
      </c>
      <c r="P31" s="85">
        <f t="shared" si="0"/>
        <v>3.1948854053026552</v>
      </c>
    </row>
    <row r="32" spans="2:16">
      <c r="B32" s="74">
        <v>2.1000000000000001E-2</v>
      </c>
      <c r="C32" s="77">
        <f>_xll.qlSabrVolatility($B32,$C$2,$C$3,C$6,C$7,C$8,C$9,TRUE)</f>
        <v>9.996593563598383E-3</v>
      </c>
      <c r="D32" s="77">
        <f>_xll.qlSabrVolatility($B32,$C$2,$C$3,D$6,D$7,D$8,D$9,TRUE)</f>
        <v>8.2107484168799528E-3</v>
      </c>
      <c r="E32" s="77">
        <f>_xll.qlSabrVolatility($B32,$C$2,$C$3,E$6,E$7,E$8,E$9,TRUE)</f>
        <v>1.1211017410388798E-2</v>
      </c>
      <c r="F32" s="77">
        <f>_xll.qlSabrVolatility($B32,$C$2,$C$3,F$6,F$7,F$8,F$9,TRUE)</f>
        <v>7.2540489682468142E-3</v>
      </c>
      <c r="H32" s="84">
        <f>_xll.qlBachelier($C$2,$B32,C32,$C$3,1)</f>
        <v>3.0023412189096359E-2</v>
      </c>
      <c r="I32" s="84">
        <f>_xll.qlBachelier($C$2,$B32,D32,$C$3,1)</f>
        <v>2.9447734930593026E-2</v>
      </c>
      <c r="J32" s="84">
        <f>_xll.qlBachelier($C$2,$B32,E32,$C$3,1)</f>
        <v>3.0535567151158346E-2</v>
      </c>
      <c r="K32" s="84">
        <f>_xll.qlBachelier($C$2,$B32,F32,$C$3,1)</f>
        <v>2.9238730590547154E-2</v>
      </c>
      <c r="M32" s="85">
        <f t="shared" si="0"/>
        <v>7.6942391529118268</v>
      </c>
      <c r="N32" s="85">
        <f t="shared" si="0"/>
        <v>9.7036172735827542</v>
      </c>
      <c r="O32" s="85">
        <f t="shared" si="0"/>
        <v>4.7350248425087695</v>
      </c>
      <c r="P32" s="85">
        <f t="shared" si="0"/>
        <v>3.7433281240700844</v>
      </c>
    </row>
    <row r="33" spans="2:16">
      <c r="B33" s="74">
        <v>2.1999999999999999E-2</v>
      </c>
      <c r="C33" s="77">
        <f>_xll.qlSabrVolatility($B33,$C$2,$C$3,C$6,C$7,C$8,C$9,TRUE)</f>
        <v>9.9966122163938735E-3</v>
      </c>
      <c r="D33" s="77">
        <f>_xll.qlSabrVolatility($B33,$C$2,$C$3,D$6,D$7,D$8,D$9,TRUE)</f>
        <v>8.2886074570329409E-3</v>
      </c>
      <c r="E33" s="77">
        <f>_xll.qlSabrVolatility($B33,$C$2,$C$3,E$6,E$7,E$8,E$9,TRUE)</f>
        <v>1.1134093713840332E-2</v>
      </c>
      <c r="F33" s="77">
        <f>_xll.qlSabrVolatility($B33,$C$2,$C$3,F$6,F$7,F$8,F$9,TRUE)</f>
        <v>7.2055772654704732E-3</v>
      </c>
      <c r="H33" s="84">
        <f>_xll.qlBachelier($C$2,$B33,C33,$C$3,1)</f>
        <v>2.9124594446208948E-2</v>
      </c>
      <c r="I33" s="84">
        <f>_xll.qlBachelier($C$2,$B33,D33,$C$3,1)</f>
        <v>2.8530001054388174E-2</v>
      </c>
      <c r="J33" s="84">
        <f>_xll.qlBachelier($C$2,$B33,E33,$C$3,1)</f>
        <v>2.9626759907383973E-2</v>
      </c>
      <c r="K33" s="84">
        <f>_xll.qlBachelier($C$2,$B33,F33,$C$3,1)</f>
        <v>2.82685615090927E-2</v>
      </c>
      <c r="M33" s="85">
        <f t="shared" si="0"/>
        <v>8.1456834138127352</v>
      </c>
      <c r="N33" s="85">
        <f t="shared" si="0"/>
        <v>10.401652566847959</v>
      </c>
      <c r="O33" s="85">
        <f t="shared" si="0"/>
        <v>5.1195389711433759</v>
      </c>
      <c r="P33" s="85">
        <f t="shared" si="0"/>
        <v>4.3994657650536864</v>
      </c>
    </row>
    <row r="34" spans="2:16">
      <c r="B34" s="74">
        <v>2.3E-2</v>
      </c>
      <c r="C34" s="77">
        <f>_xll.qlSabrVolatility($B34,$C$2,$C$3,C$6,C$7,C$8,C$9,TRUE)</f>
        <v>9.9966302782685812E-3</v>
      </c>
      <c r="D34" s="77">
        <f>_xll.qlSabrVolatility($B34,$C$2,$C$3,D$6,D$7,D$8,D$9,TRUE)</f>
        <v>8.3646670890219557E-3</v>
      </c>
      <c r="E34" s="77">
        <f>_xll.qlSabrVolatility($B34,$C$2,$C$3,E$6,E$7,E$8,E$9,TRUE)</f>
        <v>1.1056315068067979E-2</v>
      </c>
      <c r="F34" s="77">
        <f>_xll.qlSabrVolatility($B34,$C$2,$C$3,F$6,F$7,F$8,F$9,TRUE)</f>
        <v>7.1607923785950598E-3</v>
      </c>
      <c r="H34" s="84">
        <f>_xll.qlBachelier($C$2,$B34,C34,$C$3,1)</f>
        <v>2.823392238673535E-2</v>
      </c>
      <c r="I34" s="84">
        <f>_xll.qlBachelier($C$2,$B34,D34,$C$3,1)</f>
        <v>2.762266883075017E-2</v>
      </c>
      <c r="J34" s="84">
        <f>_xll.qlBachelier($C$2,$B34,E34,$C$3,1)</f>
        <v>2.8723072202580743E-2</v>
      </c>
      <c r="K34" s="84">
        <f>_xll.qlBachelier($C$2,$B34,F34,$C$3,1)</f>
        <v>2.7302791893403299E-2</v>
      </c>
      <c r="M34" s="85">
        <f t="shared" si="0"/>
        <v>8.6063770256897101</v>
      </c>
      <c r="N34" s="85">
        <f t="shared" si="0"/>
        <v>11.091401887618181</v>
      </c>
      <c r="O34" s="85">
        <f t="shared" si="0"/>
        <v>5.5364877850801086</v>
      </c>
      <c r="P34" s="85">
        <f t="shared" si="0"/>
        <v>5.1852762621741499</v>
      </c>
    </row>
    <row r="35" spans="2:16">
      <c r="B35" s="74">
        <v>2.4E-2</v>
      </c>
      <c r="C35" s="77">
        <f>_xll.qlSabrVolatility($B35,$C$2,$C$3,C$6,C$7,C$8,C$9,TRUE)</f>
        <v>9.9966477947436641E-3</v>
      </c>
      <c r="D35" s="77">
        <f>_xll.qlSabrVolatility($B35,$C$2,$C$3,D$6,D$7,D$8,D$9,TRUE)</f>
        <v>8.4390465076329343E-3</v>
      </c>
      <c r="E35" s="77">
        <f>_xll.qlSabrVolatility($B35,$C$2,$C$3,E$6,E$7,E$8,E$9,TRUE)</f>
        <v>1.0977952271387911E-2</v>
      </c>
      <c r="F35" s="77">
        <f>_xll.qlSabrVolatility($B35,$C$2,$C$3,F$6,F$7,F$8,F$9,TRUE)</f>
        <v>7.1203860076581686E-3</v>
      </c>
      <c r="H35" s="84">
        <f>_xll.qlBachelier($C$2,$B35,C35,$C$3,1)</f>
        <v>2.7351856704287442E-2</v>
      </c>
      <c r="I35" s="84">
        <f>_xll.qlBachelier($C$2,$B35,D35,$C$3,1)</f>
        <v>2.6726428008999784E-2</v>
      </c>
      <c r="J35" s="84">
        <f>_xll.qlBachelier($C$2,$B35,E35,$C$3,1)</f>
        <v>2.7824920985562593E-2</v>
      </c>
      <c r="K35" s="84">
        <f>_xll.qlBachelier($C$2,$B35,F35,$C$3,1)</f>
        <v>2.6342207553976073E-2</v>
      </c>
      <c r="M35" s="85">
        <f t="shared" si="0"/>
        <v>9.0749495268681137</v>
      </c>
      <c r="N35" s="85">
        <f t="shared" si="0"/>
        <v>11.768481411610749</v>
      </c>
      <c r="O35" s="85">
        <f t="shared" si="0"/>
        <v>5.9893003936557667</v>
      </c>
      <c r="P35" s="85">
        <f t="shared" si="0"/>
        <v>6.1264164491377109</v>
      </c>
    </row>
    <row r="36" spans="2:16">
      <c r="B36" s="74">
        <v>2.5000000000000001E-2</v>
      </c>
      <c r="C36" s="77">
        <f>_xll.qlSabrVolatility($B36,$C$2,$C$3,C$6,C$7,C$8,C$9,TRUE)</f>
        <v>9.996664805707E-3</v>
      </c>
      <c r="D36" s="77">
        <f>_xll.qlSabrVolatility($B36,$C$2,$C$3,D$6,D$7,D$8,D$9,TRUE)</f>
        <v>8.5118523095785281E-3</v>
      </c>
      <c r="E36" s="77">
        <f>_xll.qlSabrVolatility($B36,$C$2,$C$3,E$6,E$7,E$8,E$9,TRUE)</f>
        <v>1.0899279107942436E-2</v>
      </c>
      <c r="F36" s="77">
        <f>_xll.qlSabrVolatility($B36,$C$2,$C$3,F$6,F$7,F$8,F$9,TRUE)</f>
        <v>7.0851357748030787E-3</v>
      </c>
      <c r="H36" s="84">
        <f>_xll.qlBachelier($C$2,$B36,C36,$C$3,1)</f>
        <v>2.6478865971366401E-2</v>
      </c>
      <c r="I36" s="84">
        <f>_xll.qlBachelier($C$2,$B36,D36,$C$3,1)</f>
        <v>2.5841955668661008E-2</v>
      </c>
      <c r="J36" s="84">
        <f>_xll.qlBachelier($C$2,$B36,E36,$C$3,1)</f>
        <v>2.6932759068938099E-2</v>
      </c>
      <c r="K36" s="84">
        <f>_xll.qlBachelier($C$2,$B36,F36,$C$3,1)</f>
        <v>2.5387749630997984E-2</v>
      </c>
      <c r="M36" s="85">
        <f t="shared" si="0"/>
        <v>9.5499059686067636</v>
      </c>
      <c r="N36" s="85">
        <f t="shared" si="0"/>
        <v>12.428705436592935</v>
      </c>
      <c r="O36" s="85">
        <f t="shared" si="0"/>
        <v>6.481564563912146</v>
      </c>
      <c r="P36" s="85">
        <f t="shared" si="0"/>
        <v>7.252113632193204</v>
      </c>
    </row>
    <row r="37" spans="2:16">
      <c r="B37" s="74">
        <v>2.5999999999999999E-2</v>
      </c>
      <c r="C37" s="77">
        <f>_xll.qlSabrVolatility($B37,$C$2,$C$3,C$6,C$7,C$8,C$9,TRUE)</f>
        <v>9.9966813464093252E-3</v>
      </c>
      <c r="D37" s="77">
        <f>_xll.qlSabrVolatility($B37,$C$2,$C$3,D$6,D$7,D$8,D$9,TRUE)</f>
        <v>8.5831802814225581E-3</v>
      </c>
      <c r="E37" s="77">
        <f>_xll.qlSabrVolatility($B37,$C$2,$C$3,E$6,E$7,E$8,E$9,TRUE)</f>
        <v>1.0820575833108498E-2</v>
      </c>
      <c r="F37" s="77">
        <f>_xll.qlSabrVolatility($B37,$C$2,$C$3,F$6,F$7,F$8,F$9,TRUE)</f>
        <v>7.0559139432999378E-3</v>
      </c>
      <c r="H37" s="84">
        <f>_xll.qlBachelier($C$2,$B37,C37,$C$3,1)</f>
        <v>2.5615425144413968E-2</v>
      </c>
      <c r="I37" s="84">
        <f>_xll.qlBachelier($C$2,$B37,D37,$C$3,1)</f>
        <v>2.4969912033758826E-2</v>
      </c>
      <c r="J37" s="84">
        <f>_xll.qlBachelier($C$2,$B37,E37,$C$3,1)</f>
        <v>2.6047078716877517E-2</v>
      </c>
      <c r="K37" s="84">
        <f>_xll.qlBachelier($C$2,$B37,F37,$C$3,1)</f>
        <v>2.4440543821652089E-2</v>
      </c>
      <c r="M37" s="85">
        <f t="shared" si="0"/>
        <v>10.029632295089508</v>
      </c>
      <c r="N37" s="85">
        <f t="shared" si="0"/>
        <v>13.068124245885931</v>
      </c>
      <c r="O37" s="85">
        <f t="shared" si="0"/>
        <v>7.0170069262562427</v>
      </c>
      <c r="P37" s="85">
        <f t="shared" si="0"/>
        <v>8.5944584823222243</v>
      </c>
    </row>
    <row r="38" spans="2:16">
      <c r="B38" s="74">
        <v>2.7E-2</v>
      </c>
      <c r="C38" s="77">
        <f>_xll.qlSabrVolatility($B38,$C$2,$C$3,C$6,C$7,C$8,C$9,TRUE)</f>
        <v>9.9966974481591787E-3</v>
      </c>
      <c r="D38" s="77">
        <f>_xll.qlSabrVolatility($B38,$C$2,$C$3,D$6,D$7,D$8,D$9,TRUE)</f>
        <v>8.6531168741726082E-3</v>
      </c>
      <c r="E38" s="77">
        <f>_xll.qlSabrVolatility($B38,$C$2,$C$3,E$6,E$7,E$8,E$9,TRUE)</f>
        <v>1.0742132436407328E-2</v>
      </c>
      <c r="F38" s="77">
        <f>_xll.qlSabrVolatility($B38,$C$2,$C$3,F$6,F$7,F$8,F$9,TRUE)</f>
        <v>7.0336937174627565E-3</v>
      </c>
      <c r="H38" s="84">
        <f>_xll.qlBachelier($C$2,$B38,C38,$C$3,1)</f>
        <v>2.4762013949756623E-2</v>
      </c>
      <c r="I38" s="84">
        <f>_xll.qlBachelier($C$2,$B38,D38,$C$3,1)</f>
        <v>2.411093652310253E-2</v>
      </c>
      <c r="J38" s="84">
        <f>_xll.qlBachelier($C$2,$B38,E38,$C$3,1)</f>
        <v>2.5168415371743191E-2</v>
      </c>
      <c r="K38" s="84">
        <f>_xll.qlBachelier($C$2,$B38,F38,$C$3,1)</f>
        <v>2.3501932470788515E-2</v>
      </c>
      <c r="M38" s="85">
        <f t="shared" si="0"/>
        <v>10.512402426162534</v>
      </c>
      <c r="N38" s="85">
        <f t="shared" si="0"/>
        <v>13.683056224796072</v>
      </c>
      <c r="O38" s="85">
        <f t="shared" si="0"/>
        <v>7.5994506148896326</v>
      </c>
      <c r="P38" s="85">
        <f t="shared" si="0"/>
        <v>10.186712207538287</v>
      </c>
    </row>
    <row r="39" spans="2:16">
      <c r="B39" s="74">
        <v>2.8000000000000001E-2</v>
      </c>
      <c r="C39" s="77">
        <f>_xll.qlSabrVolatility($B39,$C$2,$C$3,C$6,C$7,C$8,C$9,TRUE)</f>
        <v>9.9967131389288658E-3</v>
      </c>
      <c r="D39" s="77">
        <f>_xll.qlSabrVolatility($B39,$C$2,$C$3,D$6,D$7,D$8,D$9,TRUE)</f>
        <v>8.7217404288562651E-3</v>
      </c>
      <c r="E39" s="77">
        <f>_xll.qlSabrVolatility($B39,$C$2,$C$3,E$6,E$7,E$8,E$9,TRUE)</f>
        <v>1.0664251731388519E-2</v>
      </c>
      <c r="F39" s="77">
        <f>_xll.qlSabrVolatility($B39,$C$2,$C$3,F$6,F$7,F$8,F$9,TRUE)</f>
        <v>7.019551144956504E-3</v>
      </c>
      <c r="H39" s="84">
        <f>_xll.qlBachelier($C$2,$B39,C39,$C$3,1)</f>
        <v>2.3919115157525442E-2</v>
      </c>
      <c r="I39" s="84">
        <f>_xll.qlBachelier($C$2,$B39,D39,$C$3,1)</f>
        <v>2.3265644068671029E-2</v>
      </c>
      <c r="J39" s="84">
        <f>_xll.qlBachelier($C$2,$B39,E39,$C$3,1)</f>
        <v>2.4297351477223755E-2</v>
      </c>
      <c r="K39" s="84">
        <f>_xll.qlBachelier($C$2,$B39,F39,$C$3,1)</f>
        <v>2.2573507832132481E-2</v>
      </c>
      <c r="M39" s="85">
        <f t="shared" si="0"/>
        <v>10.99638673613538</v>
      </c>
      <c r="N39" s="85">
        <f t="shared" si="0"/>
        <v>14.270114670780044</v>
      </c>
      <c r="O39" s="85">
        <f t="shared" si="0"/>
        <v>8.23274454326768</v>
      </c>
      <c r="P39" s="85">
        <f t="shared" si="0"/>
        <v>12.060131296637971</v>
      </c>
    </row>
    <row r="40" spans="2:16">
      <c r="B40" s="74">
        <v>2.9000000000000001E-2</v>
      </c>
      <c r="C40" s="77">
        <f>_xll.qlSabrVolatility($B40,$C$2,$C$3,C$6,C$7,C$8,C$9,TRUE)</f>
        <v>9.9967284438254433E-3</v>
      </c>
      <c r="D40" s="77">
        <f>_xll.qlSabrVolatility($B40,$C$2,$C$3,D$6,D$7,D$8,D$9,TRUE)</f>
        <v>8.789122202913344E-3</v>
      </c>
      <c r="E40" s="77">
        <f>_xll.qlSabrVolatility($B40,$C$2,$C$3,E$6,E$7,E$8,E$9,TRUE)</f>
        <v>1.0587252293817252E-2</v>
      </c>
      <c r="F40" s="77">
        <f>_xll.qlSabrVolatility($B40,$C$2,$C$3,F$6,F$7,F$8,F$9,TRUE)</f>
        <v>7.0146599127967543E-3</v>
      </c>
      <c r="H40" s="84">
        <f>_xll.qlBachelier($C$2,$B40,C40,$C$3,1)</f>
        <v>2.3087212752030396E-2</v>
      </c>
      <c r="I40" s="84">
        <f>_xll.qlBachelier($C$2,$B40,D40,$C$3,1)</f>
        <v>2.2434621728910309E-2</v>
      </c>
      <c r="J40" s="84">
        <f>_xll.qlBachelier($C$2,$B40,E40,$C$3,1)</f>
        <v>2.3434520327247587E-2</v>
      </c>
      <c r="K40" s="84">
        <f>_xll.qlBachelier($C$2,$B40,F40,$C$3,1)</f>
        <v>2.1657143324773084E-2</v>
      </c>
      <c r="M40" s="85">
        <f t="shared" si="0"/>
        <v>11.479662057854743</v>
      </c>
      <c r="N40" s="85">
        <f t="shared" si="0"/>
        <v>14.826228841569753</v>
      </c>
      <c r="O40" s="85">
        <f t="shared" si="0"/>
        <v>8.9206569818221944</v>
      </c>
      <c r="P40" s="85">
        <f t="shared" si="0"/>
        <v>14.238776847527054</v>
      </c>
    </row>
    <row r="41" spans="2:16">
      <c r="B41" s="74">
        <v>0.03</v>
      </c>
      <c r="C41" s="77">
        <f>_xll.qlSabrVolatility($B41,$C$2,$C$3,C$6,C$7,C$8,C$9,TRUE)</f>
        <v>9.9967433854794181E-3</v>
      </c>
      <c r="D41" s="77">
        <f>_xll.qlSabrVolatility($B41,$C$2,$C$3,D$6,D$7,D$8,D$9,TRUE)</f>
        <v>8.8553272353385608E-3</v>
      </c>
      <c r="E41" s="77">
        <f>_xll.qlSabrVolatility($B41,$C$2,$C$3,E$6,E$7,E$8,E$9,TRUE)</f>
        <v>1.0511471241859296E-2</v>
      </c>
      <c r="F41" s="77">
        <f>_xll.qlSabrVolatility($B41,$C$2,$C$3,F$6,F$7,F$8,F$9,TRUE)</f>
        <v>7.0202756461819936E-3</v>
      </c>
      <c r="H41" s="84">
        <f>_xll.qlBachelier($C$2,$B41,C41,$C$3,1)</f>
        <v>2.2266790008593204E-2</v>
      </c>
      <c r="I41" s="84">
        <f>_xll.qlBachelier($C$2,$B41,D41,$C$3,1)</f>
        <v>2.1618425617991158E-2</v>
      </c>
      <c r="J41" s="84">
        <f>_xll.qlBachelier($C$2,$B41,E41,$C$3,1)</f>
        <v>2.2580609834253241E-2</v>
      </c>
      <c r="K41" s="84">
        <f>_xll.qlBachelier($C$2,$B41,F41,$C$3,1)</f>
        <v>2.0755017594261214E-2</v>
      </c>
      <c r="M41" s="85">
        <f t="shared" si="0"/>
        <v>11.960223134592516</v>
      </c>
      <c r="N41" s="85">
        <f t="shared" si="0"/>
        <v>15.34865989471712</v>
      </c>
      <c r="O41" s="85">
        <f t="shared" si="0"/>
        <v>9.6667247149288986</v>
      </c>
      <c r="P41" s="85">
        <f t="shared" si="0"/>
        <v>16.731935623823968</v>
      </c>
    </row>
    <row r="42" spans="2:16">
      <c r="B42" s="74">
        <v>3.1E-2</v>
      </c>
      <c r="C42" s="77">
        <f>_xll.qlSabrVolatility($B42,$C$2,$C$3,C$6,C$7,C$8,C$9,TRUE)</f>
        <v>9.9967579844255881E-3</v>
      </c>
      <c r="D42" s="77">
        <f>_xll.qlSabrVolatility($B42,$C$2,$C$3,D$6,D$7,D$8,D$9,TRUE)</f>
        <v>8.9204150806508533E-3</v>
      </c>
      <c r="E42" s="77">
        <f>_xll.qlSabrVolatility($B42,$C$2,$C$3,E$6,E$7,E$8,E$9,TRUE)</f>
        <v>1.0437266822945967E-2</v>
      </c>
      <c r="F42" s="77">
        <f>_xll.qlSabrVolatility($B42,$C$2,$C$3,F$6,F$7,F$8,F$9,TRUE)</f>
        <v>7.0377059723626964E-3</v>
      </c>
      <c r="H42" s="84">
        <f>_xll.qlBachelier($C$2,$B42,C42,$C$3,1)</f>
        <v>2.1458327488290605E-2</v>
      </c>
      <c r="I42" s="84">
        <f>_xll.qlBachelier($C$2,$B42,D42,$C$3,1)</f>
        <v>2.0817578166966725E-2</v>
      </c>
      <c r="J42" s="84">
        <f>_xll.qlBachelier($C$2,$B42,E42,$C$3,1)</f>
        <v>2.1736366065973824E-2</v>
      </c>
      <c r="K42" s="84">
        <f>_xll.qlBachelier($C$2,$B42,F42,$C$3,1)</f>
        <v>1.9869623799373168E-2</v>
      </c>
      <c r="M42" s="85">
        <f t="shared" si="0"/>
        <v>12.435995260948161</v>
      </c>
      <c r="N42" s="85">
        <f t="shared" si="0"/>
        <v>15.835011563877064</v>
      </c>
      <c r="O42" s="85">
        <f t="shared" si="0"/>
        <v>10.474048042535108</v>
      </c>
      <c r="P42" s="85">
        <f t="shared" si="0"/>
        <v>19.524310514783917</v>
      </c>
    </row>
    <row r="43" spans="2:16">
      <c r="B43" s="74">
        <v>3.2000000000000001E-2</v>
      </c>
      <c r="C43" s="77">
        <f>_xll.qlSabrVolatility($B43,$C$2,$C$3,C$6,C$7,C$8,C$9,TRUE)</f>
        <v>9.9967722592785493E-3</v>
      </c>
      <c r="D43" s="77">
        <f>_xll.qlSabrVolatility($B43,$C$2,$C$3,D$6,D$7,D$8,D$9,TRUE)</f>
        <v>8.9844404350600537E-3</v>
      </c>
      <c r="E43" s="77">
        <f>_xll.qlSabrVolatility($B43,$C$2,$C$3,E$6,E$7,E$8,E$9,TRUE)</f>
        <v>1.0365020740242897E-2</v>
      </c>
      <c r="F43" s="77">
        <f>_xll.qlSabrVolatility($B43,$C$2,$C$3,F$6,F$7,F$8,F$9,TRUE)</f>
        <v>7.0682630609594692E-3</v>
      </c>
      <c r="H43" s="84">
        <f>_xll.qlBachelier($C$2,$B43,C43,$C$3,1)</f>
        <v>2.0662300963248954E-2</v>
      </c>
      <c r="I43" s="84">
        <f>_xll.qlBachelier($C$2,$B43,D43,$C$3,1)</f>
        <v>2.0032565727506169E-2</v>
      </c>
      <c r="J43" s="84">
        <f>_xll.qlBachelier($C$2,$B43,E43,$C$3,1)</f>
        <v>2.0902596345736942E-2</v>
      </c>
      <c r="K43" s="84">
        <f>_xll.qlBachelier($C$2,$B43,F43,$C$3,1)</f>
        <v>1.9003754314999906E-2</v>
      </c>
      <c r="M43" s="85">
        <f t="shared" si="0"/>
        <v>12.904848526753391</v>
      </c>
      <c r="N43" s="85">
        <f t="shared" si="0"/>
        <v>16.283236210647114</v>
      </c>
      <c r="O43" s="85">
        <f t="shared" si="0"/>
        <v>11.345021646472199</v>
      </c>
      <c r="P43" s="85">
        <f t="shared" si="0"/>
        <v>22.565192955140102</v>
      </c>
    </row>
    <row r="44" spans="2:16">
      <c r="B44" s="74">
        <v>3.3000000000000002E-2</v>
      </c>
      <c r="C44" s="77">
        <f>_xll.qlSabrVolatility($B44,$C$2,$C$3,C$6,C$7,C$8,C$9,TRUE)</f>
        <v>9.9967862270841212E-3</v>
      </c>
      <c r="D44" s="77">
        <f>_xll.qlSabrVolatility($B44,$C$2,$C$3,D$6,D$7,D$8,D$9,TRUE)</f>
        <v>9.0474536737199639E-3</v>
      </c>
      <c r="E44" s="77">
        <f>_xll.qlSabrVolatility($B44,$C$2,$C$3,E$6,E$7,E$8,E$9,TRUE)</f>
        <v>1.0295140116352032E-2</v>
      </c>
      <c r="F44" s="77">
        <f>_xll.qlSabrVolatility($B44,$C$2,$C$3,F$6,F$7,F$8,F$9,TRUE)</f>
        <v>7.1131971670254377E-3</v>
      </c>
      <c r="H44" s="84">
        <f>_xll.qlBachelier($C$2,$B44,C44,$C$3,1)</f>
        <v>1.9879179286734057E-2</v>
      </c>
      <c r="I44" s="84">
        <f>_xll.qlBachelier($C$2,$B44,D44,$C$3,1)</f>
        <v>1.9263836524256259E-2</v>
      </c>
      <c r="J44" s="84">
        <f>_xll.qlBachelier($C$2,$B44,E44,$C$3,1)</f>
        <v>2.0080171647146532E-2</v>
      </c>
      <c r="K44" s="84">
        <f>_xll.qlBachelier($C$2,$B44,F44,$C$3,1)</f>
        <v>1.8160450023581784E-2</v>
      </c>
      <c r="M44" s="85">
        <f t="shared" si="0"/>
        <v>13.364612695347642</v>
      </c>
      <c r="N44" s="85">
        <f t="shared" si="0"/>
        <v>16.691636232336851</v>
      </c>
      <c r="O44" s="85">
        <f t="shared" si="0"/>
        <v>12.280992451742222</v>
      </c>
      <c r="P44" s="85">
        <f t="shared" si="0"/>
        <v>25.759361868372224</v>
      </c>
    </row>
    <row r="45" spans="2:16">
      <c r="B45" s="74">
        <v>3.4000000000000002E-2</v>
      </c>
      <c r="C45" s="77">
        <f>_xll.qlSabrVolatility($B45,$C$2,$C$3,C$6,C$7,C$8,C$9,TRUE)</f>
        <v>9.9967999034007368E-3</v>
      </c>
      <c r="D45" s="77">
        <f>_xll.qlSabrVolatility($B45,$C$2,$C$3,D$6,D$7,D$8,D$9,TRUE)</f>
        <v>9.1095013139012027E-3</v>
      </c>
      <c r="E45" s="77">
        <f>_xll.qlSabrVolatility($B45,$C$2,$C$3,E$6,E$7,E$8,E$9,TRUE)</f>
        <v>1.0228058953038341E-2</v>
      </c>
      <c r="F45" s="77">
        <f>_xll.qlSabrVolatility($B45,$C$2,$C$3,F$6,F$7,F$8,F$9,TRUE)</f>
        <v>7.1736133172655208E-3</v>
      </c>
      <c r="H45" s="84">
        <f>_xll.qlBachelier($C$2,$B45,C45,$C$3,1)</f>
        <v>1.9109422222914507E-2</v>
      </c>
      <c r="I45" s="84">
        <f>_xll.qlBachelier($C$2,$B45,D45,$C$3,1)</f>
        <v>1.8511798957238687E-2</v>
      </c>
      <c r="J45" s="84">
        <f>_xll.qlBachelier($C$2,$B45,E45,$C$3,1)</f>
        <v>1.9270027941007864E-2</v>
      </c>
      <c r="K45" s="84">
        <f>_xll.qlBachelier($C$2,$B45,F45,$C$3,1)</f>
        <v>1.7342905094032034E-2</v>
      </c>
      <c r="M45" s="85">
        <f t="shared" si="0"/>
        <v>13.813093613049251</v>
      </c>
      <c r="N45" s="85">
        <f t="shared" si="0"/>
        <v>17.058861459640053</v>
      </c>
      <c r="O45" s="85">
        <f t="shared" si="0"/>
        <v>13.281838880635474</v>
      </c>
      <c r="P45" s="85">
        <f t="shared" si="0"/>
        <v>28.963951543572954</v>
      </c>
    </row>
    <row r="46" spans="2:16">
      <c r="B46" s="74">
        <v>3.5000000000000003E-2</v>
      </c>
      <c r="C46" s="77">
        <f>_xll.qlSabrVolatility($B46,$C$2,$C$3,C$6,C$7,C$8,C$9,TRUE)</f>
        <v>9.9968133025319268E-3</v>
      </c>
      <c r="D46" s="77">
        <f>_xll.qlSabrVolatility($B46,$C$2,$C$3,D$6,D$7,D$8,D$9,TRUE)</f>
        <v>9.1706264162125465E-3</v>
      </c>
      <c r="E46" s="77">
        <f>_xll.qlSabrVolatility($B46,$C$2,$C$3,E$6,E$7,E$8,E$9,TRUE)</f>
        <v>1.0164238904497769E-2</v>
      </c>
      <c r="F46" s="77">
        <f>_xll.qlSabrVolatility($B46,$C$2,$C$3,F$6,F$7,F$8,F$9,TRUE)</f>
        <v>7.250378537686601E-3</v>
      </c>
      <c r="H46" s="84">
        <f>_xll.qlBachelier($C$2,$B46,C46,$C$3,1)</f>
        <v>1.8353478252708007E-2</v>
      </c>
      <c r="I46" s="84">
        <f>_xll.qlBachelier($C$2,$B46,D46,$C$3,1)</f>
        <v>1.7776820251680755E-2</v>
      </c>
      <c r="J46" s="84">
        <f>_xll.qlBachelier($C$2,$B46,E46,$C$3,1)</f>
        <v>1.8473166073749832E-2</v>
      </c>
      <c r="K46" s="84">
        <f>_xll.qlBachelier($C$2,$B46,F46,$C$3,1)</f>
        <v>1.6554324116025858E-2</v>
      </c>
      <c r="M46" s="85">
        <f t="shared" si="0"/>
        <v>14.248090041101076</v>
      </c>
      <c r="N46" s="85">
        <f t="shared" si="0"/>
        <v>17.383902947996997</v>
      </c>
      <c r="O46" s="85">
        <f t="shared" si="0"/>
        <v>14.345472316719473</v>
      </c>
      <c r="P46" s="85">
        <f t="shared" si="0"/>
        <v>31.995892495959186</v>
      </c>
    </row>
    <row r="47" spans="2:16">
      <c r="B47" s="74">
        <v>3.5999999999999997E-2</v>
      </c>
      <c r="C47" s="77">
        <f>_xll.qlSabrVolatility($B47,$C$2,$C$3,C$6,C$7,C$8,C$9,TRUE)</f>
        <v>9.9968264376650573E-3</v>
      </c>
      <c r="D47" s="77">
        <f>_xll.qlSabrVolatility($B47,$C$2,$C$3,D$6,D$7,D$8,D$9,TRUE)</f>
        <v>9.2308689338691085E-3</v>
      </c>
      <c r="E47" s="77">
        <f>_xll.qlSabrVolatility($B47,$C$2,$C$3,E$6,E$7,E$8,E$9,TRUE)</f>
        <v>1.0104169140645316E-2</v>
      </c>
      <c r="F47" s="77">
        <f>_xll.qlSabrVolatility($B47,$C$2,$C$3,F$6,F$7,F$8,F$9,TRUE)</f>
        <v>7.3440326915107136E-3</v>
      </c>
      <c r="H47" s="84">
        <f>_xll.qlBachelier($C$2,$B47,C47,$C$3,1)</f>
        <v>1.7611782372542607E-2</v>
      </c>
      <c r="I47" s="84">
        <f>_xll.qlBachelier($C$2,$B47,D47,$C$3,1)</f>
        <v>1.705922544907082E-2</v>
      </c>
      <c r="J47" s="84">
        <f>_xll.qlBachelier($C$2,$B47,E47,$C$3,1)</f>
        <v>1.7690649678808519E-2</v>
      </c>
      <c r="K47" s="84">
        <f>_xll.qlBachelier($C$2,$B47,F47,$C$3,1)</f>
        <v>1.579773903051564E-2</v>
      </c>
      <c r="M47" s="85">
        <f t="shared" si="0"/>
        <v>14.667411333706212</v>
      </c>
      <c r="N47" s="85">
        <f t="shared" si="0"/>
        <v>17.666083056703481</v>
      </c>
      <c r="O47" s="85">
        <f t="shared" si="0"/>
        <v>15.467272231208053</v>
      </c>
      <c r="P47" s="85">
        <f t="shared" si="0"/>
        <v>34.652474638442911</v>
      </c>
    </row>
    <row r="48" spans="2:16">
      <c r="B48" s="74">
        <v>3.6999999999999998E-2</v>
      </c>
      <c r="C48" s="77">
        <f>_xll.qlSabrVolatility($B48,$C$2,$C$3,C$6,C$7,C$8,C$9,TRUE)</f>
        <v>9.9968393209784318E-3</v>
      </c>
      <c r="D48" s="77">
        <f>_xll.qlSabrVolatility($B48,$C$2,$C$3,D$6,D$7,D$8,D$9,TRUE)</f>
        <v>9.2902660176162836E-3</v>
      </c>
      <c r="E48" s="77">
        <f>_xll.qlSabrVolatility($B48,$C$2,$C$3,E$6,E$7,E$8,E$9,TRUE)</f>
        <v>1.0048365040848189E-2</v>
      </c>
      <c r="F48" s="77">
        <f>_xll.qlSabrVolatility($B48,$C$2,$C$3,F$6,F$7,F$8,F$9,TRUE)</f>
        <v>7.4547197160734482E-3</v>
      </c>
      <c r="H48" s="84">
        <f>_xll.qlBachelier($C$2,$B48,C48,$C$3,1)</f>
        <v>1.6884753903710914E-2</v>
      </c>
      <c r="I48" s="84">
        <f>_xll.qlBachelier($C$2,$B48,D48,$C$3,1)</f>
        <v>1.6359296729517588E-2</v>
      </c>
      <c r="J48" s="84">
        <f>_xll.qlBachelier($C$2,$B48,E48,$C$3,1)</f>
        <v>1.6923600556098414E-2</v>
      </c>
      <c r="K48" s="84">
        <f>_xll.qlBachelier($C$2,$B48,F48,$C$3,1)</f>
        <v>1.5075806419643867E-2</v>
      </c>
      <c r="M48" s="85">
        <f t="shared" si="0"/>
        <v>15.068895523342979</v>
      </c>
      <c r="N48" s="85">
        <f t="shared" si="0"/>
        <v>17.90504329032477</v>
      </c>
      <c r="O48" s="85">
        <f t="shared" si="0"/>
        <v>16.639482138480734</v>
      </c>
      <c r="P48" s="85">
        <f t="shared" si="0"/>
        <v>36.742793396694829</v>
      </c>
    </row>
    <row r="49" spans="2:16">
      <c r="B49" s="74">
        <v>3.7999999999999999E-2</v>
      </c>
      <c r="C49" s="77">
        <f>_xll.qlSabrVolatility($B49,$C$2,$C$3,C$6,C$7,C$8,C$9,TRUE)</f>
        <v>9.9968519636888485E-3</v>
      </c>
      <c r="D49" s="77">
        <f>_xll.qlSabrVolatility($B49,$C$2,$C$3,D$6,D$7,D$8,D$9,TRUE)</f>
        <v>9.3488522834781086E-3</v>
      </c>
      <c r="E49" s="77">
        <f>_xll.qlSabrVolatility($B49,$C$2,$C$3,E$6,E$7,E$8,E$9,TRUE)</f>
        <v>9.9973654347079444E-3</v>
      </c>
      <c r="F49" s="77">
        <f>_xll.qlSabrVolatility($B49,$C$2,$C$3,F$6,F$7,F$8,F$9,TRUE)</f>
        <v>7.5821551994925806E-3</v>
      </c>
      <c r="H49" s="84">
        <f>_xll.qlBachelier($C$2,$B49,C49,$C$3,1)</f>
        <v>1.6172794330402564E-2</v>
      </c>
      <c r="I49" s="84">
        <f>_xll.qlBachelier($C$2,$B49,D49,$C$3,1)</f>
        <v>1.567727305325468E-2</v>
      </c>
      <c r="J49" s="84">
        <f>_xll.qlBachelier($C$2,$B49,E49,$C$3,1)</f>
        <v>1.617319091552679E-2</v>
      </c>
      <c r="K49" s="84">
        <f>_xll.qlBachelier($C$2,$B49,F49,$C$3,1)</f>
        <v>1.4390616602168789E-2</v>
      </c>
      <c r="M49" s="85">
        <f t="shared" si="0"/>
        <v>15.450427915262409</v>
      </c>
      <c r="N49" s="85">
        <f t="shared" si="0"/>
        <v>18.10072906338608</v>
      </c>
      <c r="O49" s="85">
        <f t="shared" si="0"/>
        <v>17.850614529930191</v>
      </c>
      <c r="P49" s="85">
        <f t="shared" si="0"/>
        <v>38.122119299576902</v>
      </c>
    </row>
    <row r="50" spans="2:16">
      <c r="B50" s="74">
        <v>3.9E-2</v>
      </c>
      <c r="C50" s="77">
        <f>_xll.qlSabrVolatility($B50,$C$2,$C$3,C$6,C$7,C$8,C$9,TRUE)</f>
        <v>9.9968643763319407E-3</v>
      </c>
      <c r="D50" s="77">
        <f>_xll.qlSabrVolatility($B50,$C$2,$C$3,D$6,D$7,D$8,D$9,TRUE)</f>
        <v>9.4066600484621499E-3</v>
      </c>
      <c r="E50" s="77">
        <f>_xll.qlSabrVolatility($B50,$C$2,$C$3,E$6,E$7,E$8,E$9,TRUE)</f>
        <v>9.9517281047898868E-3</v>
      </c>
      <c r="F50" s="77">
        <f>_xll.qlSabrVolatility($B50,$C$2,$C$3,F$6,F$7,F$8,F$9,TRUE)</f>
        <v>7.7256396618916512E-3</v>
      </c>
      <c r="H50" s="84">
        <f>_xll.qlBachelier($C$2,$B50,C50,$C$3,1)</f>
        <v>1.5476285185009476E-2</v>
      </c>
      <c r="I50" s="84">
        <f>_xll.qlBachelier($C$2,$B50,D50,$C$3,1)</f>
        <v>1.5013350106055159E-2</v>
      </c>
      <c r="J50" s="84">
        <f>_xll.qlBachelier($C$2,$B50,E50,$C$3,1)</f>
        <v>1.5440631889485096E-2</v>
      </c>
      <c r="K50" s="84">
        <f>_xll.qlBachelier($C$2,$B50,F50,$C$3,1)</f>
        <v>1.3743548903993288E-2</v>
      </c>
      <c r="M50" s="85">
        <f t="shared" si="0"/>
        <v>15.809958969846519</v>
      </c>
      <c r="N50" s="85">
        <f t="shared" si="0"/>
        <v>18.253372420860803</v>
      </c>
      <c r="O50" s="85">
        <f t="shared" si="0"/>
        <v>19.084938000450656</v>
      </c>
      <c r="P50" s="85">
        <f t="shared" si="0"/>
        <v>38.718129276370874</v>
      </c>
    </row>
    <row r="51" spans="2:16">
      <c r="B51" s="74">
        <v>0.04</v>
      </c>
      <c r="C51" s="77">
        <f>_xll.qlSabrVolatility($B51,$C$2,$C$3,C$6,C$7,C$8,C$9,TRUE)</f>
        <v>9.9968765685798794E-3</v>
      </c>
      <c r="D51" s="77">
        <f>_xll.qlSabrVolatility($B51,$C$2,$C$3,D$6,D$7,D$8,D$9,TRUE)</f>
        <v>9.4637195385664941E-3</v>
      </c>
      <c r="E51" s="77">
        <f>_xll.qlSabrVolatility($B51,$C$2,$C$3,E$6,E$7,E$8,E$9,TRUE)</f>
        <v>9.9120232986039444E-3</v>
      </c>
      <c r="F51" s="77">
        <f>_xll.qlSabrVolatility($B51,$C$2,$C$3,F$6,F$7,F$8,F$9,TRUE)</f>
        <v>7.8841162883966157E-3</v>
      </c>
      <c r="H51" s="84">
        <f>_xll.qlBachelier($C$2,$B51,C51,$C$3,1)</f>
        <v>1.4795585998586233E-2</v>
      </c>
      <c r="I51" s="84">
        <f>_xll.qlBachelier($C$2,$B51,D51,$C$3,1)</f>
        <v>1.4367680531276499E-2</v>
      </c>
      <c r="J51" s="84">
        <f>_xll.qlBachelier($C$2,$B51,E51,$C$3,1)</f>
        <v>1.4727157801443853E-2</v>
      </c>
      <c r="K51" s="84">
        <f>_xll.qlBachelier($C$2,$B51,F51,$C$3,1)</f>
        <v>1.3135199335094157E-2</v>
      </c>
      <c r="M51" s="85">
        <f t="shared" si="0"/>
        <v>16.145523268047313</v>
      </c>
      <c r="N51" s="85">
        <f t="shared" si="0"/>
        <v>18.363473780851731</v>
      </c>
      <c r="O51" s="85">
        <f t="shared" si="0"/>
        <v>20.322145556760752</v>
      </c>
      <c r="P51" s="85">
        <f t="shared" si="0"/>
        <v>38.540197533454901</v>
      </c>
    </row>
    <row r="52" spans="2:16">
      <c r="B52" s="74">
        <v>4.1000000000000002E-2</v>
      </c>
      <c r="C52" s="77">
        <f>_xll.qlSabrVolatility($B52,$C$2,$C$3,C$6,C$7,C$8,C$9,TRUE)</f>
        <v>9.9968885495491117E-3</v>
      </c>
      <c r="D52" s="77">
        <f>_xll.qlSabrVolatility($B52,$C$2,$C$3,D$6,D$7,D$8,D$9,TRUE)</f>
        <v>9.5200590736006473E-3</v>
      </c>
      <c r="E52" s="77">
        <f>_xll.qlSabrVolatility($B52,$C$2,$C$3,E$6,E$7,E$8,E$9,TRUE)</f>
        <v>9.8788250762171948E-3</v>
      </c>
      <c r="F52" s="77">
        <f>_xll.qlSabrVolatility($B52,$C$2,$C$3,F$6,F$7,F$8,F$9,TRUE)</f>
        <v>8.0562613323584258E-3</v>
      </c>
      <c r="H52" s="84">
        <f>_xll.qlBachelier($C$2,$B52,C52,$C$3,1)</f>
        <v>1.4131032335431037E-2</v>
      </c>
      <c r="I52" s="84">
        <f>_xll.qlBachelier($C$2,$B52,D52,$C$3,1)</f>
        <v>1.3740374430278691E-2</v>
      </c>
      <c r="J52" s="84">
        <f>_xll.qlBachelier($C$2,$B52,E52,$C$3,1)</f>
        <v>1.4034005858959371E-2</v>
      </c>
      <c r="K52" s="84">
        <f>_xll.qlBachelier($C$2,$B52,F52,$C$3,1)</f>
        <v>1.2565389963728482E-2</v>
      </c>
      <c r="M52" s="85">
        <f t="shared" si="0"/>
        <v>16.455256603065443</v>
      </c>
      <c r="N52" s="85">
        <f t="shared" si="0"/>
        <v>18.431781197428936</v>
      </c>
      <c r="O52" s="85">
        <f t="shared" si="0"/>
        <v>21.537323371109654</v>
      </c>
      <c r="P52" s="85">
        <f t="shared" si="0"/>
        <v>37.669783987358194</v>
      </c>
    </row>
    <row r="53" spans="2:16">
      <c r="B53" s="74">
        <v>4.2000000000000003E-2</v>
      </c>
      <c r="C53" s="77">
        <f>_xll.qlSabrVolatility($B53,$C$2,$C$3,C$6,C$7,C$8,C$9,TRUE)</f>
        <v>9.9969003276457816E-3</v>
      </c>
      <c r="D53" s="77">
        <f>_xll.qlSabrVolatility($B53,$C$2,$C$3,D$6,D$7,D$8,D$9,TRUE)</f>
        <v>9.5757052312047987E-3</v>
      </c>
      <c r="E53" s="77">
        <f>_xll.qlSabrVolatility($B53,$C$2,$C$3,E$6,E$7,E$8,E$9,TRUE)</f>
        <v>9.8527004558104318E-3</v>
      </c>
      <c r="F53" s="77">
        <f>_xll.qlSabrVolatility($B53,$C$2,$C$3,F$6,F$7,F$8,F$9,TRUE)</f>
        <v>8.2405892034911055E-3</v>
      </c>
      <c r="H53" s="84">
        <f>_xll.qlBachelier($C$2,$B53,C53,$C$3,1)</f>
        <v>1.3482933928878907E-2</v>
      </c>
      <c r="I53" s="84">
        <f>_xll.qlBachelier($C$2,$B53,D53,$C$3,1)</f>
        <v>1.3131500110478311E-2</v>
      </c>
      <c r="J53" s="84">
        <f>_xll.qlBachelier($C$2,$B53,E53,$C$3,1)</f>
        <v>1.3362391239845998E-2</v>
      </c>
      <c r="K53" s="84">
        <f>_xll.qlBachelier($C$2,$B53,F53,$C$3,1)</f>
        <v>1.2033250376350165E-2</v>
      </c>
      <c r="M53" s="85">
        <f t="shared" si="0"/>
        <v>16.737413905638324</v>
      </c>
      <c r="N53" s="85">
        <f t="shared" si="0"/>
        <v>18.459269616192497</v>
      </c>
      <c r="O53" s="85">
        <f t="shared" si="0"/>
        <v>22.701344993110556</v>
      </c>
      <c r="P53" s="85">
        <f t="shared" si="0"/>
        <v>36.237280369243358</v>
      </c>
    </row>
    <row r="54" spans="2:16">
      <c r="B54" s="74">
        <v>4.2999999999999997E-2</v>
      </c>
      <c r="C54" s="77">
        <f>_xll.qlSabrVolatility($B54,$C$2,$C$3,C$6,C$7,C$8,C$9,TRUE)</f>
        <v>9.9969119108545713E-3</v>
      </c>
      <c r="D54" s="77">
        <f>_xll.qlSabrVolatility($B54,$C$2,$C$3,D$6,D$7,D$8,D$9,TRUE)</f>
        <v>9.6306829932252622E-3</v>
      </c>
      <c r="E54" s="77">
        <f>_xll.qlSabrVolatility($B54,$C$2,$C$3,E$6,E$7,E$8,E$9,TRUE)</f>
        <v>9.8341965157808121E-3</v>
      </c>
      <c r="F54" s="77">
        <f>_xll.qlSabrVolatility($B54,$C$2,$C$3,F$6,F$7,F$8,F$9,TRUE)</f>
        <v>8.4355542069760037E-3</v>
      </c>
      <c r="H54" s="84">
        <f>_xll.qlBachelier($C$2,$B54,C54,$C$3,1)</f>
        <v>1.2851572936232415E-2</v>
      </c>
      <c r="I54" s="84">
        <f>_xll.qlBachelier($C$2,$B54,D54,$C$3,1)</f>
        <v>1.2541085060294124E-2</v>
      </c>
      <c r="J54" s="84">
        <f>_xll.qlBachelier($C$2,$B54,E54,$C$3,1)</f>
        <v>1.2713477965725736E-2</v>
      </c>
      <c r="K54" s="84">
        <f>_xll.qlBachelier($C$2,$B54,F54,$C$3,1)</f>
        <v>1.1537348069341091E-2</v>
      </c>
      <c r="M54" s="85">
        <f t="shared" si="0"/>
        <v>16.990384878415398</v>
      </c>
      <c r="N54" s="85">
        <f t="shared" si="0"/>
        <v>18.447119265820834</v>
      </c>
      <c r="O54" s="85">
        <f t="shared" si="0"/>
        <v>23.78179681222446</v>
      </c>
      <c r="P54" s="85">
        <f t="shared" si="0"/>
        <v>34.394378690933046</v>
      </c>
    </row>
    <row r="55" spans="2:16">
      <c r="B55" s="74">
        <v>4.3999999999999997E-2</v>
      </c>
      <c r="C55" s="77">
        <f>_xll.qlSabrVolatility($B55,$C$2,$C$3,C$6,C$7,C$8,C$9,TRUE)</f>
        <v>9.9969233065878814E-3</v>
      </c>
      <c r="D55" s="77">
        <f>_xll.qlSabrVolatility($B55,$C$2,$C$3,D$6,D$7,D$8,D$9,TRUE)</f>
        <v>9.685015876854804E-3</v>
      </c>
      <c r="E55" s="77">
        <f>_xll.qlSabrVolatility($B55,$C$2,$C$3,E$6,E$7,E$8,E$9,TRUE)</f>
        <v>9.8238258603951158E-3</v>
      </c>
      <c r="F55" s="77">
        <f>_xll.qlSabrVolatility($B55,$C$2,$C$3,F$6,F$7,F$8,F$9,TRUE)</f>
        <v>8.6396357491949714E-3</v>
      </c>
      <c r="H55" s="84">
        <f>_xll.qlBachelier($C$2,$B55,C55,$C$3,1)</f>
        <v>1.2237202328464338E-2</v>
      </c>
      <c r="I55" s="84">
        <f>_xll.qlBachelier($C$2,$B55,D55,$C$3,1)</f>
        <v>1.1969117129375758E-2</v>
      </c>
      <c r="J55" s="84">
        <f>_xll.qlBachelier($C$2,$B55,E55,$C$3,1)</f>
        <v>1.2088346488417698E-2</v>
      </c>
      <c r="K55" s="84">
        <f>_xll.qlBachelier($C$2,$B55,F55,$C$3,1)</f>
        <v>1.107584014102295E-2</v>
      </c>
      <c r="M55" s="85">
        <f t="shared" si="0"/>
        <v>17.2127098745176</v>
      </c>
      <c r="N55" s="85">
        <f t="shared" si="0"/>
        <v>18.396693138586809</v>
      </c>
      <c r="O55" s="85">
        <f t="shared" si="0"/>
        <v>24.744487725551028</v>
      </c>
      <c r="P55" s="85">
        <f t="shared" si="0"/>
        <v>32.290040587414367</v>
      </c>
    </row>
    <row r="56" spans="2:16">
      <c r="B56" s="74">
        <v>4.4999999999999998E-2</v>
      </c>
      <c r="C56" s="77">
        <f>_xll.qlSabrVolatility($B56,$C$2,$C$3,C$6,C$7,C$8,C$9,TRUE)</f>
        <v>9.9969345218161119E-3</v>
      </c>
      <c r="D56" s="77">
        <f>_xll.qlSabrVolatility($B56,$C$2,$C$3,D$6,D$7,D$8,D$9,TRUE)</f>
        <v>9.7387260519362761E-3</v>
      </c>
      <c r="E56" s="77">
        <f>_xll.qlSabrVolatility($B56,$C$2,$C$3,E$6,E$7,E$8,E$9,TRUE)</f>
        <v>9.8220511322417055E-3</v>
      </c>
      <c r="F56" s="77">
        <f>_xll.qlSabrVolatility($B56,$C$2,$C$3,F$6,F$7,F$8,F$9,TRUE)</f>
        <v>8.8514006055090966E-3</v>
      </c>
      <c r="H56" s="84">
        <f>_xll.qlBachelier($C$2,$B56,C56,$C$3,1)</f>
        <v>1.1640044430570779E-2</v>
      </c>
      <c r="I56" s="84">
        <f>_xll.qlBachelier($C$2,$B56,D56,$C$3,1)</f>
        <v>1.1415545891595979E-2</v>
      </c>
      <c r="J56" s="84">
        <f>_xll.qlBachelier($C$2,$B56,E56,$C$3,1)</f>
        <v>1.1487959498835212E-2</v>
      </c>
      <c r="K56" s="84">
        <f>_xll.qlBachelier($C$2,$B56,F56,$C$3,1)</f>
        <v>1.0646622253292224E-2</v>
      </c>
      <c r="M56" s="85">
        <f t="shared" si="0"/>
        <v>17.403093597224593</v>
      </c>
      <c r="N56" s="85">
        <f t="shared" si="0"/>
        <v>18.309515414583583</v>
      </c>
      <c r="O56" s="85">
        <f t="shared" si="0"/>
        <v>25.555507540469694</v>
      </c>
      <c r="P56" s="85">
        <f t="shared" si="0"/>
        <v>30.054392368111749</v>
      </c>
    </row>
    <row r="57" spans="2:16">
      <c r="B57" s="74">
        <v>4.5999999999999999E-2</v>
      </c>
      <c r="C57" s="77">
        <f>_xll.qlSabrVolatility($B57,$C$2,$C$3,C$6,C$7,C$8,C$9,TRUE)</f>
        <v>9.9969455630881492E-3</v>
      </c>
      <c r="D57" s="77">
        <f>_xll.qlSabrVolatility($B57,$C$2,$C$3,D$6,D$7,D$8,D$9,TRUE)</f>
        <v>9.7918344467411555E-3</v>
      </c>
      <c r="E57" s="77">
        <f>_xll.qlSabrVolatility($B57,$C$2,$C$3,E$6,E$7,E$8,E$9,TRUE)</f>
        <v>9.829269517364193E-3</v>
      </c>
      <c r="F57" s="77">
        <f>_xll.qlSabrVolatility($B57,$C$2,$C$3,F$6,F$7,F$8,F$9,TRUE)</f>
        <v>9.0695418338376087E-3</v>
      </c>
      <c r="H57" s="84">
        <f>_xll.qlBachelier($C$2,$B57,C57,$C$3,1)</f>
        <v>1.1060289626274445E-2</v>
      </c>
      <c r="I57" s="84">
        <f>_xll.qlBachelier($C$2,$B57,D57,$C$3,1)</f>
        <v>1.0880284169230783E-2</v>
      </c>
      <c r="J57" s="84">
        <f>_xll.qlBachelier($C$2,$B57,E57,$C$3,1)</f>
        <v>1.0913128016793195E-2</v>
      </c>
      <c r="K57" s="84">
        <f>_xll.qlBachelier($C$2,$B57,F57,$C$3,1)</f>
        <v>1.0247458757929609E-2</v>
      </c>
      <c r="M57" s="85">
        <f t="shared" si="0"/>
        <v>17.560417762657565</v>
      </c>
      <c r="N57" s="85">
        <f t="shared" si="0"/>
        <v>18.187248907243109</v>
      </c>
      <c r="O57" s="85">
        <f t="shared" si="0"/>
        <v>26.183684315643102</v>
      </c>
      <c r="P57" s="85">
        <f t="shared" si="0"/>
        <v>27.791033804871276</v>
      </c>
    </row>
    <row r="58" spans="2:16">
      <c r="B58" s="74">
        <v>4.7E-2</v>
      </c>
      <c r="C58" s="77">
        <f>_xll.qlSabrVolatility($B58,$C$2,$C$3,C$6,C$7,C$8,C$9,TRUE)</f>
        <v>9.9969564365614463E-3</v>
      </c>
      <c r="D58" s="77">
        <f>_xll.qlSabrVolatility($B58,$C$2,$C$3,D$6,D$7,D$8,D$9,TRUE)</f>
        <v>9.8443608429139989E-3</v>
      </c>
      <c r="E58" s="77">
        <f>_xll.qlSabrVolatility($B58,$C$2,$C$3,E$6,E$7,E$8,E$9,TRUE)</f>
        <v>9.8457983837607708E-3</v>
      </c>
      <c r="F58" s="77">
        <f>_xll.qlSabrVolatility($B58,$C$2,$C$3,F$6,F$7,F$8,F$9,TRUE)</f>
        <v>9.2928977399207701E-3</v>
      </c>
      <c r="H58" s="84">
        <f>_xll.qlBachelier($C$2,$B58,C58,$C$3,1)</f>
        <v>1.0498095239740768E-2</v>
      </c>
      <c r="I58" s="84">
        <f>_xll.qlBachelier($C$2,$B58,D58,$C$3,1)</f>
        <v>1.036320969577283E-2</v>
      </c>
      <c r="J58" s="84">
        <f>_xll.qlBachelier($C$2,$B58,E58,$C$3,1)</f>
        <v>1.0364480219066821E-2</v>
      </c>
      <c r="K58" s="84">
        <f>_xll.qlBachelier($C$2,$B58,F58,$C$3,1)</f>
        <v>9.8760862963718655E-3</v>
      </c>
      <c r="M58" s="85">
        <f t="shared" si="0"/>
        <v>17.683752173525797</v>
      </c>
      <c r="N58" s="85">
        <f t="shared" si="0"/>
        <v>18.031674435221127</v>
      </c>
      <c r="O58" s="85">
        <f t="shared" si="0"/>
        <v>26.603174235703982</v>
      </c>
      <c r="P58" s="85">
        <f t="shared" si="0"/>
        <v>25.575903164763318</v>
      </c>
    </row>
    <row r="59" spans="2:16">
      <c r="B59" s="74">
        <v>4.8000000000000001E-2</v>
      </c>
      <c r="C59" s="77">
        <f>_xll.qlSabrVolatility($B59,$C$2,$C$3,C$6,C$7,C$8,C$9,TRUE)</f>
        <v>9.996967148192943E-3</v>
      </c>
      <c r="D59" s="77">
        <f>_xll.qlSabrVolatility($B59,$C$2,$C$3,D$6,D$7,D$8,D$9,TRUE)</f>
        <v>9.8963239618272032E-3</v>
      </c>
      <c r="E59" s="77">
        <f>_xll.qlSabrVolatility($B59,$C$2,$C$3,E$6,E$7,E$8,E$9,TRUE)</f>
        <v>9.8718632650225419E-3</v>
      </c>
      <c r="F59" s="77">
        <f>_xll.qlSabrVolatility($B59,$C$2,$C$3,F$6,F$7,F$8,F$9,TRUE)</f>
        <v>9.5204558915924584E-3</v>
      </c>
      <c r="H59" s="84">
        <f>_xll.qlBachelier($C$2,$B59,C59,$C$3,1)</f>
        <v>9.9535846053806169E-3</v>
      </c>
      <c r="I59" s="84">
        <f>_xll.qlBachelier($C$2,$B59,D59,$C$3,1)</f>
        <v>9.8641668967500984E-3</v>
      </c>
      <c r="J59" s="84">
        <f>_xll.qlBachelier($C$2,$B59,E59,$C$3,1)</f>
        <v>9.842435595576151E-3</v>
      </c>
      <c r="K59" s="84">
        <f>_xll.qlBachelier($C$2,$B59,F59,$C$3,1)</f>
        <v>9.5302897379788854E-3</v>
      </c>
      <c r="M59" s="85">
        <f t="shared" si="0"/>
        <v>17.772363316362306</v>
      </c>
      <c r="N59" s="85">
        <f t="shared" si="0"/>
        <v>17.844668790496407</v>
      </c>
      <c r="O59" s="85">
        <f t="shared" si="0"/>
        <v>26.795832769044242</v>
      </c>
      <c r="P59" s="85">
        <f t="shared" si="0"/>
        <v>23.460140140620741</v>
      </c>
    </row>
    <row r="60" spans="2:16">
      <c r="B60" s="74">
        <v>4.9000000000000002E-2</v>
      </c>
      <c r="C60" s="77">
        <f>_xll.qlSabrVolatility($B60,$C$2,$C$3,C$6,C$7,C$8,C$9,TRUE)</f>
        <v>9.9969777034530916E-3</v>
      </c>
      <c r="D60" s="77">
        <f>_xll.qlSabrVolatility($B60,$C$2,$C$3,D$6,D$7,D$8,D$9,TRUE)</f>
        <v>9.947741542116046E-3</v>
      </c>
      <c r="E60" s="77">
        <f>_xll.qlSabrVolatility($B60,$C$2,$C$3,E$6,E$7,E$8,E$9,TRUE)</f>
        <v>9.9075893069665803E-3</v>
      </c>
      <c r="F60" s="77">
        <f>_xll.qlSabrVolatility($B60,$C$2,$C$3,F$6,F$7,F$8,F$9,TRUE)</f>
        <v>9.7513471777354154E-3</v>
      </c>
      <c r="H60" s="84">
        <f>_xll.qlBachelier($C$2,$B60,C60,$C$3,1)</f>
        <v>9.4268463343368282E-3</v>
      </c>
      <c r="I60" s="84">
        <f>_xll.qlBachelier($C$2,$B60,D60,$C$3,1)</f>
        <v>9.3829687665178633E-3</v>
      </c>
      <c r="J60" s="84">
        <f>_xll.qlBachelier($C$2,$B60,E60,$C$3,1)</f>
        <v>9.3471868048545254E-3</v>
      </c>
      <c r="K60" s="84">
        <f>_xll.qlBachelier($C$2,$B60,F60,$C$3,1)</f>
        <v>9.2079533197265261E-3</v>
      </c>
      <c r="M60" s="85">
        <f t="shared" si="0"/>
        <v>17.825722175830347</v>
      </c>
      <c r="N60" s="85">
        <f t="shared" si="0"/>
        <v>17.628186238726233</v>
      </c>
      <c r="O60" s="85">
        <f t="shared" si="0"/>
        <v>26.752996788429204</v>
      </c>
      <c r="P60" s="85">
        <f t="shared" si="0"/>
        <v>21.474731051379607</v>
      </c>
    </row>
    <row r="61" spans="2:16" ht="13">
      <c r="B61" s="81">
        <v>0.05</v>
      </c>
      <c r="C61" s="82">
        <f>_xll.qlSabrVolatility($B61,$C$2,$C$3,C$6,C$7,C$8,C$9,TRUE)</f>
        <v>9.9969881071942691E-3</v>
      </c>
      <c r="D61" s="82">
        <f>_xll.qlSabrVolatility($B61,$C$2,$C$3,D$6,D$7,D$8,D$9,TRUE)</f>
        <v>9.9986304111598055E-3</v>
      </c>
      <c r="E61" s="82">
        <f>_xll.qlSabrVolatility($B61,$C$2,$C$3,E$6,E$7,E$8,E$9,TRUE)</f>
        <v>9.9529970258650582E-3</v>
      </c>
      <c r="F61" s="82">
        <f>_xll.qlSabrVolatility($B61,$C$2,$C$3,F$6,F$7,F$8,F$9,TRUE)</f>
        <v>9.9848340727914341E-3</v>
      </c>
      <c r="H61" s="84">
        <f>_xll.qlBachelier($C$2,$B61,C61,$C$3,1)</f>
        <v>8.9179337854688699E-3</v>
      </c>
      <c r="I61" s="84">
        <f>_xll.qlBachelier($C$2,$B61,D61,$C$3,1)</f>
        <v>8.9193988225243544E-3</v>
      </c>
      <c r="J61" s="84">
        <f>_xll.qlBachelier($C$2,$B61,E61,$C$3,1)</f>
        <v>8.8786910109213291E-3</v>
      </c>
      <c r="K61" s="84">
        <f>_xll.qlBachelier($C$2,$B61,F61,$C$3,1)</f>
        <v>8.9070916325255465E-3</v>
      </c>
      <c r="M61" s="85">
        <f t="shared" si="0"/>
        <v>17.843510410918508</v>
      </c>
      <c r="N61" s="85">
        <f t="shared" si="0"/>
        <v>17.384236422883593</v>
      </c>
      <c r="O61" s="85">
        <f t="shared" si="0"/>
        <v>26.476373520280049</v>
      </c>
      <c r="P61" s="85">
        <f t="shared" si="0"/>
        <v>19.635442833268904</v>
      </c>
    </row>
    <row r="62" spans="2:16">
      <c r="B62" s="74">
        <v>5.0999999999999997E-2</v>
      </c>
      <c r="C62" s="77">
        <f>_xll.qlSabrVolatility($B62,$C$2,$C$3,C$6,C$7,C$8,C$9,TRUE)</f>
        <v>9.9969983646927742E-3</v>
      </c>
      <c r="D62" s="77">
        <f>_xll.qlSabrVolatility($B62,$C$2,$C$3,D$6,D$7,D$8,D$9,TRUE)</f>
        <v>1.0049006548067962E-2</v>
      </c>
      <c r="E62" s="77">
        <f>_xll.qlSabrVolatility($B62,$C$2,$C$3,E$6,E$7,E$8,E$9,TRUE)</f>
        <v>1.000800281247932E-2</v>
      </c>
      <c r="F62" s="77">
        <f>_xll.qlSabrVolatility($B62,$C$2,$C$3,F$6,F$7,F$8,F$9,TRUE)</f>
        <v>1.0220296177173977E-2</v>
      </c>
      <c r="H62" s="84">
        <f>_xll.qlBachelier($C$2,$B62,C62,$C$3,1)</f>
        <v>8.4268647470118301E-3</v>
      </c>
      <c r="I62" s="84">
        <f>_xll.qlBachelier($C$2,$B62,D62,$C$3,1)</f>
        <v>8.4732131149537291E-3</v>
      </c>
      <c r="J62" s="84">
        <f>_xll.qlBachelier($C$2,$B62,E62,$C$3,1)</f>
        <v>8.4366715905084128E-3</v>
      </c>
      <c r="K62" s="84">
        <f>_xll.qlBachelier($C$2,$B62,F62,$C$3,1)</f>
        <v>8.6258653881578357E-3</v>
      </c>
      <c r="M62" s="85">
        <f t="shared" si="0"/>
        <v>17.825620804207571</v>
      </c>
      <c r="N62" s="85">
        <f t="shared" si="0"/>
        <v>17.114870391049617</v>
      </c>
      <c r="O62" s="85">
        <f t="shared" si="0"/>
        <v>25.977876801161269</v>
      </c>
      <c r="P62" s="85">
        <f t="shared" si="0"/>
        <v>17.947238229116142</v>
      </c>
    </row>
    <row r="63" spans="2:16">
      <c r="B63" s="74">
        <v>5.1999999999999998E-2</v>
      </c>
      <c r="C63" s="77">
        <f>_xll.qlSabrVolatility($B63,$C$2,$C$3,C$6,C$7,C$8,C$9,TRUE)</f>
        <v>9.9970084808076818E-3</v>
      </c>
      <c r="D63" s="77">
        <f>_xll.qlSabrVolatility($B63,$C$2,$C$3,D$6,D$7,D$8,D$9,TRUE)</f>
        <v>1.0098885143601279E-2</v>
      </c>
      <c r="E63" s="77">
        <f>_xll.qlSabrVolatility($B63,$C$2,$C$3,E$6,E$7,E$8,E$9,TRUE)</f>
        <v>1.0072424124331094E-2</v>
      </c>
      <c r="F63" s="77">
        <f>_xll.qlSabrVolatility($B63,$C$2,$C$3,F$6,F$7,F$8,F$9,TRUE)</f>
        <v>1.0457215087412272E-2</v>
      </c>
      <c r="H63" s="84">
        <f>_xll.qlBachelier($C$2,$B63,C63,$C$3,1)</f>
        <v>7.9536213293589977E-3</v>
      </c>
      <c r="I63" s="84">
        <f>_xll.qlBachelier($C$2,$B63,D63,$C$3,1)</f>
        <v>8.0441422777741533E-3</v>
      </c>
      <c r="J63" s="84">
        <f>_xll.qlBachelier($C$2,$B63,E63,$C$3,1)</f>
        <v>8.0206300468966575E-3</v>
      </c>
      <c r="K63" s="84">
        <f>_xll.qlBachelier($C$2,$B63,F63,$C$3,1)</f>
        <v>8.3625863820192409E-3</v>
      </c>
      <c r="M63" s="85">
        <f t="shared" si="0"/>
        <v>17.772160427502079</v>
      </c>
      <c r="N63" s="85">
        <f t="shared" si="0"/>
        <v>16.822159204298689</v>
      </c>
      <c r="O63" s="85">
        <f t="shared" si="0"/>
        <v>25.278439363941121</v>
      </c>
      <c r="P63" s="85">
        <f t="shared" si="0"/>
        <v>16.407854500986833</v>
      </c>
    </row>
    <row r="64" spans="2:16">
      <c r="B64" s="74">
        <v>5.2999999999999999E-2</v>
      </c>
      <c r="C64" s="77">
        <f>_xll.qlSabrVolatility($B64,$C$2,$C$3,C$6,C$7,C$8,C$9,TRUE)</f>
        <v>9.9970184596140828E-3</v>
      </c>
      <c r="D64" s="77">
        <f>_xll.qlSabrVolatility($B64,$C$2,$C$3,D$6,D$7,D$8,D$9,TRUE)</f>
        <v>1.0148280652783231E-2</v>
      </c>
      <c r="E64" s="77">
        <f>_xll.qlSabrVolatility($B64,$C$2,$C$3,E$6,E$7,E$8,E$9,TRUE)</f>
        <v>1.0145988828389914E-2</v>
      </c>
      <c r="F64" s="77">
        <f>_xll.qlSabrVolatility($B64,$C$2,$C$3,F$6,F$7,F$8,F$9,TRUE)</f>
        <v>1.0695159842646958E-2</v>
      </c>
      <c r="H64" s="84">
        <f>_xll.qlBachelier($C$2,$B64,C64,$C$3,1)</f>
        <v>7.4981500721336674E-3</v>
      </c>
      <c r="I64" s="84">
        <f>_xll.qlBachelier($C$2,$B64,D64,$C$3,1)</f>
        <v>7.6318935997988762E-3</v>
      </c>
      <c r="J64" s="84">
        <f>_xll.qlBachelier($C$2,$B64,E64,$C$3,1)</f>
        <v>7.6298669426488443E-3</v>
      </c>
      <c r="K64" s="84">
        <f>_xll.qlBachelier($C$2,$B64,F64,$C$3,1)</f>
        <v>8.1157152303816329E-3</v>
      </c>
      <c r="M64" s="85">
        <f t="shared" si="0"/>
        <v>17.683450456556681</v>
      </c>
      <c r="N64" s="85">
        <f t="shared" si="0"/>
        <v>16.50818084983349</v>
      </c>
      <c r="O64" s="85">
        <f t="shared" si="0"/>
        <v>24.406010303859535</v>
      </c>
      <c r="P64" s="85">
        <f t="shared" si="0"/>
        <v>15.0105154705579</v>
      </c>
    </row>
    <row r="65" spans="2:16">
      <c r="B65" s="74">
        <v>5.3999999999999999E-2</v>
      </c>
      <c r="C65" s="77">
        <f>_xll.qlSabrVolatility($B65,$C$2,$C$3,C$6,C$7,C$8,C$9,TRUE)</f>
        <v>9.997028305510398E-3</v>
      </c>
      <c r="D65" s="77">
        <f>_xll.qlSabrVolatility($B65,$C$2,$C$3,D$6,D$7,D$8,D$9,TRUE)</f>
        <v>1.0197206843865176E-2</v>
      </c>
      <c r="E65" s="77">
        <f>_xll.qlSabrVolatility($B65,$C$2,$C$3,E$6,E$7,E$8,E$9,TRUE)</f>
        <v>1.0228347773209827E-2</v>
      </c>
      <c r="F65" s="77">
        <f>_xll.qlSabrVolatility($B65,$C$2,$C$3,F$6,F$7,F$8,F$9,TRUE)</f>
        <v>1.0933773616054986E-2</v>
      </c>
      <c r="H65" s="84">
        <f>_xll.qlBachelier($C$2,$B65,C65,$C$3,1)</f>
        <v>7.0603622653648938E-3</v>
      </c>
      <c r="I65" s="84">
        <f>_xll.qlBachelier($C$2,$B65,D65,$C$3,1)</f>
        <v>7.2361531026734326E-3</v>
      </c>
      <c r="J65" s="84">
        <f>_xll.qlBachelier($C$2,$B65,E65,$C$3,1)</f>
        <v>7.2635098487048898E-3</v>
      </c>
      <c r="K65" s="84">
        <f>_xll.qlBachelier($C$2,$B65,F65,$C$3,1)</f>
        <v>7.883854594214583E-3</v>
      </c>
      <c r="M65" s="85">
        <f t="shared" si="0"/>
        <v>17.560019973637093</v>
      </c>
      <c r="N65" s="85">
        <f t="shared" si="0"/>
        <v>16.175005285695679</v>
      </c>
      <c r="O65" s="85">
        <f t="shared" si="0"/>
        <v>23.393071038828445</v>
      </c>
      <c r="P65" s="85">
        <f t="shared" si="0"/>
        <v>13.745884026252252</v>
      </c>
    </row>
    <row r="66" spans="2:16">
      <c r="B66" s="74">
        <v>5.5E-2</v>
      </c>
      <c r="C66" s="77">
        <f>_xll.qlSabrVolatility($B66,$C$2,$C$3,C$6,C$7,C$8,C$9,TRUE)</f>
        <v>9.9970380224257208E-3</v>
      </c>
      <c r="D66" s="77">
        <f>_xll.qlSabrVolatility($B66,$C$2,$C$3,D$6,D$7,D$8,D$9,TRUE)</f>
        <v>1.0245676843778346E-2</v>
      </c>
      <c r="E66" s="77">
        <f>_xll.qlSabrVolatility($B66,$C$2,$C$3,E$6,E$7,E$8,E$9,TRUE)</f>
        <v>1.0319089442614483E-2</v>
      </c>
      <c r="F66" s="77">
        <f>_xll.qlSabrVolatility($B66,$C$2,$C$3,F$6,F$7,F$8,F$9,TRUE)</f>
        <v>1.1172761937819374E-2</v>
      </c>
      <c r="H66" s="84">
        <f>_xll.qlBachelier($C$2,$B66,C66,$C$3,1)</f>
        <v>6.6401344785697574E-3</v>
      </c>
      <c r="I66" s="84">
        <f>_xll.qlBachelier($C$2,$B66,D66,$C$3,1)</f>
        <v>6.8565876108336848E-3</v>
      </c>
      <c r="J66" s="84">
        <f>_xll.qlBachelier($C$2,$B66,E66,$C$3,1)</f>
        <v>6.9205458257997638E-3</v>
      </c>
      <c r="K66" s="84">
        <f>_xll.qlBachelier($C$2,$B66,F66,$C$3,1)</f>
        <v>7.6657398420737852E-3</v>
      </c>
      <c r="M66" s="85">
        <f t="shared" si="0"/>
        <v>17.402603408585779</v>
      </c>
      <c r="N66" s="85">
        <f t="shared" si="0"/>
        <v>15.824679166161001</v>
      </c>
      <c r="O66" s="85">
        <f t="shared" si="0"/>
        <v>22.27404365481938</v>
      </c>
      <c r="P66" s="85">
        <f t="shared" si="0"/>
        <v>12.603407631588103</v>
      </c>
    </row>
    <row r="67" spans="2:16">
      <c r="B67" s="74">
        <v>5.6000000000000001E-2</v>
      </c>
      <c r="C67" s="77">
        <f>_xll.qlSabrVolatility($B67,$C$2,$C$3,C$6,C$7,C$8,C$9,TRUE)</f>
        <v>9.9970476141754451E-3</v>
      </c>
      <c r="D67" s="77">
        <f>_xll.qlSabrVolatility($B67,$C$2,$C$3,D$6,D$7,D$8,D$9,TRUE)</f>
        <v>1.0293703178332439E-2</v>
      </c>
      <c r="E67" s="77">
        <f>_xll.qlSabrVolatility($B67,$C$2,$C$3,E$6,E$7,E$8,E$9,TRUE)</f>
        <v>1.0417755491806058E-2</v>
      </c>
      <c r="F67" s="77">
        <f>_xll.qlSabrVolatility($B67,$C$2,$C$3,F$6,F$7,F$8,F$9,TRUE)</f>
        <v>1.1411882502105637E-2</v>
      </c>
      <c r="H67" s="84">
        <f>_xll.qlBachelier($C$2,$B67,C67,$C$3,1)</f>
        <v>6.2373092951832068E-3</v>
      </c>
      <c r="I67" s="84">
        <f>_xll.qlBachelier($C$2,$B67,D67,$C$3,1)</f>
        <v>6.4928467981600979E-3</v>
      </c>
      <c r="J67" s="84">
        <f>_xll.qlBachelier($C$2,$B67,E67,$C$3,1)</f>
        <v>6.5998558465494572E-3</v>
      </c>
      <c r="K67" s="84">
        <f>_xll.qlBachelier($C$2,$B67,F67,$C$3,1)</f>
        <v>7.4602284975645748E-3</v>
      </c>
      <c r="M67" s="85">
        <f t="shared" si="0"/>
        <v>17.21213190642581</v>
      </c>
      <c r="N67" s="85">
        <f t="shared" si="0"/>
        <v>15.459216661378699</v>
      </c>
      <c r="O67" s="85">
        <f t="shared" si="0"/>
        <v>21.082924053374104</v>
      </c>
      <c r="P67" s="85">
        <f t="shared" si="0"/>
        <v>11.572206926642091</v>
      </c>
    </row>
    <row r="68" spans="2:16">
      <c r="B68" s="74">
        <v>5.7000000000000002E-2</v>
      </c>
      <c r="C68" s="77">
        <f>_xll.qlSabrVolatility($B68,$C$2,$C$3,C$6,C$7,C$8,C$9,TRUE)</f>
        <v>9.9970570844360347E-3</v>
      </c>
      <c r="D68" s="77">
        <f>_xll.qlSabrVolatility($B68,$C$2,$C$3,D$6,D$7,D$8,D$9,TRUE)</f>
        <v>1.0341297810846212E-2</v>
      </c>
      <c r="E68" s="77">
        <f>_xll.qlSabrVolatility($B68,$C$2,$C$3,E$6,E$7,E$8,E$9,TRUE)</f>
        <v>1.0523856071801552E-2</v>
      </c>
      <c r="F68" s="77">
        <f>_xll.qlSabrVolatility($B68,$C$2,$C$3,F$6,F$7,F$8,F$9,TRUE)</f>
        <v>1.1650936478846838E-2</v>
      </c>
      <c r="H68" s="84">
        <f>_xll.qlBachelier($C$2,$B68,C68,$C$3,1)</f>
        <v>5.851696243703082E-3</v>
      </c>
      <c r="I68" s="84">
        <f>_xll.qlBachelier($C$2,$B68,D68,$C$3,1)</f>
        <v>6.1445652021478898E-3</v>
      </c>
      <c r="J68" s="84">
        <f>_xll.qlBachelier($C$2,$B68,E68,$C$3,1)</f>
        <v>6.3002487913525248E-3</v>
      </c>
      <c r="K68" s="84">
        <f>_xll.qlBachelier($C$2,$B68,F68,$C$3,1)</f>
        <v>7.2662893599820064E-3</v>
      </c>
      <c r="M68" s="85">
        <f t="shared" si="0"/>
        <v>16.98972444287482</v>
      </c>
      <c r="N68" s="85">
        <f t="shared" si="0"/>
        <v>15.080585780925254</v>
      </c>
      <c r="O68" s="85">
        <f t="shared" si="0"/>
        <v>19.851374037517484</v>
      </c>
      <c r="P68" s="85">
        <f t="shared" si="0"/>
        <v>10.641635004260563</v>
      </c>
    </row>
    <row r="69" spans="2:16">
      <c r="B69" s="74">
        <v>5.8000000000000003E-2</v>
      </c>
      <c r="C69" s="77">
        <f>_xll.qlSabrVolatility($B69,$C$2,$C$3,C$6,C$7,C$8,C$9,TRUE)</f>
        <v>9.9970664366579483E-3</v>
      </c>
      <c r="D69" s="77">
        <f>_xll.qlSabrVolatility($B69,$C$2,$C$3,D$6,D$7,D$8,D$9,TRUE)</f>
        <v>1.0388472176281693E-2</v>
      </c>
      <c r="E69" s="77">
        <f>_xll.qlSabrVolatility($B69,$C$2,$C$3,E$6,E$7,E$8,E$9,TRUE)</f>
        <v>1.0636884062959342E-2</v>
      </c>
      <c r="F69" s="77">
        <f>_xll.qlSabrVolatility($B69,$C$2,$C$3,F$6,F$7,F$8,F$9,TRUE)</f>
        <v>1.1889761186128832E-2</v>
      </c>
      <c r="H69" s="84">
        <f>_xll.qlBachelier($C$2,$B69,C69,$C$3,1)</f>
        <v>5.4830729166658321E-3</v>
      </c>
      <c r="I69" s="84">
        <f>_xll.qlBachelier($C$2,$B69,D69,$C$3,1)</f>
        <v>5.811364191916607E-3</v>
      </c>
      <c r="J69" s="84">
        <f>_xll.qlBachelier($C$2,$B69,E69,$C$3,1)</f>
        <v>6.0204931101931099E-3</v>
      </c>
      <c r="K69" s="84">
        <f>_xll.qlBachelier($C$2,$B69,F69,$C$3,1)</f>
        <v>7.0829918574036987E-3</v>
      </c>
      <c r="M69" s="85">
        <f t="shared" si="0"/>
        <v>16.736677084785729</v>
      </c>
      <c r="N69" s="85">
        <f t="shared" si="0"/>
        <v>14.690700995386308</v>
      </c>
      <c r="O69" s="85">
        <f t="shared" si="0"/>
        <v>18.607386899618685</v>
      </c>
      <c r="P69" s="85">
        <f t="shared" si="0"/>
        <v>9.8016073885338706</v>
      </c>
    </row>
    <row r="70" spans="2:16">
      <c r="B70" s="74">
        <v>5.8999999999999997E-2</v>
      </c>
      <c r="C70" s="77">
        <f>_xll.qlSabrVolatility($B70,$C$2,$C$3,C$6,C$7,C$8,C$9,TRUE)</f>
        <v>9.9970756741618334E-3</v>
      </c>
      <c r="D70" s="77">
        <f>_xll.qlSabrVolatility($B70,$C$2,$C$3,D$6,D$7,D$8,D$9,TRUE)</f>
        <v>1.0435237213684265E-2</v>
      </c>
      <c r="E70" s="77">
        <f>_xll.qlSabrVolatility($B70,$C$2,$C$3,E$6,E$7,E$8,E$9,TRUE)</f>
        <v>1.0756327606556922E-2</v>
      </c>
      <c r="F70" s="77">
        <f>_xll.qlSabrVolatility($B70,$C$2,$C$3,F$6,F$7,F$8,F$9,TRUE)</f>
        <v>1.2128223954806103E-2</v>
      </c>
      <c r="H70" s="84">
        <f>_xll.qlBachelier($C$2,$B70,C70,$C$3,1)</f>
        <v>5.1311862667133678E-3</v>
      </c>
      <c r="I70" s="84">
        <f>_xll.qlBachelier($C$2,$B70,D70,$C$3,1)</f>
        <v>5.4928538826807104E-3</v>
      </c>
      <c r="J70" s="84">
        <f>_xll.qlBachelier($C$2,$B70,E70,$C$3,1)</f>
        <v>5.7593448159333135E-3</v>
      </c>
      <c r="K70" s="84">
        <f>_xll.qlBachelier($C$2,$B70,F70,$C$3,1)</f>
        <v>6.9094959622139247E-3</v>
      </c>
      <c r="M70" s="85">
        <f t="shared" si="0"/>
        <v>16.454450161300628</v>
      </c>
      <c r="N70" s="85">
        <f t="shared" si="0"/>
        <v>14.291413545114501</v>
      </c>
      <c r="O70" s="85">
        <f t="shared" si="0"/>
        <v>17.374532122004222</v>
      </c>
      <c r="P70" s="85">
        <f t="shared" si="0"/>
        <v>9.0427771953184699</v>
      </c>
    </row>
    <row r="71" spans="2:16">
      <c r="B71" s="74">
        <v>0.06</v>
      </c>
      <c r="C71" s="77">
        <f>_xll.qlSabrVolatility($B71,$C$2,$C$3,C$6,C$7,C$8,C$9,TRUE)</f>
        <v>9.9970848001230943E-3</v>
      </c>
      <c r="D71" s="77">
        <f>_xll.qlSabrVolatility($B71,$C$2,$C$3,D$6,D$7,D$8,D$9,TRUE)</f>
        <v>1.0481603395628276E-2</v>
      </c>
      <c r="E71" s="77">
        <f>_xll.qlSabrVolatility($B71,$C$2,$C$3,E$6,E$7,E$8,E$9,TRUE)</f>
        <v>1.088168059354371E-2</v>
      </c>
      <c r="F71" s="77">
        <f>_xll.qlSabrVolatility($B71,$C$2,$C$3,F$6,F$7,F$8,F$9,TRUE)</f>
        <v>1.2366217016283619E-2</v>
      </c>
      <c r="H71" s="84">
        <f>_xll.qlBachelier($C$2,$B71,C71,$C$3,1)</f>
        <v>4.7957540669222041E-3</v>
      </c>
      <c r="I71" s="84">
        <f>_xll.qlBachelier($C$2,$B71,D71,$C$3,1)</f>
        <v>5.1886349869899283E-3</v>
      </c>
      <c r="J71" s="84">
        <f>_xll.qlBachelier($C$2,$B71,E71,$C$3,1)</f>
        <v>5.5155710537955214E-3</v>
      </c>
      <c r="K71" s="84">
        <f>_xll.qlBachelier($C$2,$B71,F71,$C$3,1)</f>
        <v>6.7450428442194692E-3</v>
      </c>
      <c r="M71" s="85">
        <f t="shared" si="0"/>
        <v>16.144654333992396</v>
      </c>
      <c r="N71" s="85">
        <f t="shared" si="0"/>
        <v>13.884504951536753</v>
      </c>
      <c r="O71" s="85">
        <f t="shared" si="0"/>
        <v>16.171706138870157</v>
      </c>
      <c r="P71" s="85">
        <f t="shared" si="0"/>
        <v>8.3566089494873363</v>
      </c>
    </row>
    <row r="72" spans="2:16">
      <c r="B72" s="74">
        <v>6.0999999999999999E-2</v>
      </c>
      <c r="C72" s="77">
        <f>_xll.qlSabrVolatility($B72,$C$2,$C$3,C$6,C$7,C$8,C$9,TRUE)</f>
        <v>9.9970938175559555E-3</v>
      </c>
      <c r="D72" s="77">
        <f>_xll.qlSabrVolatility($B72,$C$2,$C$3,D$6,D$7,D$8,D$9,TRUE)</f>
        <v>1.052758075566795E-2</v>
      </c>
      <c r="E72" s="77">
        <f>_xll.qlSabrVolatility($B72,$C$2,$C$3,E$6,E$7,E$8,E$9,TRUE)</f>
        <v>1.1012451004774404E-2</v>
      </c>
      <c r="F72" s="77">
        <f>_xll.qlSabrVolatility($B72,$C$2,$C$3,F$6,F$7,F$8,F$9,TRUE)</f>
        <v>1.2603653256044425E-2</v>
      </c>
      <c r="H72" s="84">
        <f>_xll.qlBachelier($C$2,$B72,C72,$C$3,1)</f>
        <v>4.4764665214650327E-3</v>
      </c>
      <c r="I72" s="84">
        <f>_xll.qlBachelier($C$2,$B72,D72,$C$3,1)</f>
        <v>4.8983005962506829E-3</v>
      </c>
      <c r="J72" s="84">
        <f>_xll.qlBachelier($C$2,$B72,E72,$C$3,1)</f>
        <v>5.2879689977965993E-3</v>
      </c>
      <c r="K72" s="84">
        <f>_xll.qlBachelier($C$2,$B72,F72,$C$3,1)</f>
        <v>6.588946335174501E-3</v>
      </c>
      <c r="M72" s="85">
        <f t="shared" si="0"/>
        <v>15.809035353148639</v>
      </c>
      <c r="N72" s="85">
        <f t="shared" si="0"/>
        <v>13.471680735486327</v>
      </c>
      <c r="O72" s="85">
        <f t="shared" si="0"/>
        <v>15.013273642595019</v>
      </c>
      <c r="P72" s="85">
        <f t="shared" si="0"/>
        <v>7.7353883821979492</v>
      </c>
    </row>
    <row r="73" spans="2:16">
      <c r="B73" s="74">
        <v>6.2E-2</v>
      </c>
      <c r="C73" s="77">
        <f>_xll.qlSabrVolatility($B73,$C$2,$C$3,C$6,C$7,C$8,C$9,TRUE)</f>
        <v>9.997102729362042E-3</v>
      </c>
      <c r="D73" s="77">
        <f>_xll.qlSabrVolatility($B73,$C$2,$C$3,D$6,D$7,D$8,D$9,TRUE)</f>
        <v>1.057317891367923E-2</v>
      </c>
      <c r="E73" s="77">
        <f>_xll.qlSabrVolatility($B73,$C$2,$C$3,E$6,E$7,E$8,E$9,TRUE)</f>
        <v>1.1148167177474319E-2</v>
      </c>
      <c r="F73" s="77">
        <f>_xll.qlSabrVolatility($B73,$C$2,$C$3,F$6,F$7,F$8,F$9,TRUE)</f>
        <v>1.2840462692676795E-2</v>
      </c>
      <c r="H73" s="84">
        <f>_xll.qlBachelier($C$2,$B73,C73,$C$3,1)</f>
        <v>4.1729880113610101E-3</v>
      </c>
      <c r="I73" s="84">
        <f>_xll.qlBachelier($C$2,$B73,D73,$C$3,1)</f>
        <v>4.6214378862469239E-3</v>
      </c>
      <c r="J73" s="84">
        <f>_xll.qlBachelier($C$2,$B73,E73,$C$3,1)</f>
        <v>5.0753802154402724E-3</v>
      </c>
      <c r="K73" s="84">
        <f>_xll.qlBachelier($C$2,$B73,F73,$C$3,1)</f>
        <v>6.4405852145117308E-3</v>
      </c>
      <c r="M73" s="85">
        <f t="shared" si="0"/>
        <v>15.449457582089224</v>
      </c>
      <c r="N73" s="85">
        <f t="shared" si="0"/>
        <v>13.054565502609316</v>
      </c>
      <c r="O73" s="85">
        <f t="shared" si="0"/>
        <v>13.909473142406622</v>
      </c>
      <c r="P73" s="85">
        <f t="shared" si="0"/>
        <v>7.1721936601501364</v>
      </c>
    </row>
    <row r="74" spans="2:16">
      <c r="B74" s="74">
        <v>6.3E-2</v>
      </c>
      <c r="C74" s="77">
        <f>_xll.qlSabrVolatility($B74,$C$2,$C$3,C$6,C$7,C$8,C$9,TRUE)</f>
        <v>9.9971115382975848E-3</v>
      </c>
      <c r="D74" s="77">
        <f>_xll.qlSabrVolatility($B74,$C$2,$C$3,D$6,D$7,D$8,D$9,TRUE)</f>
        <v>1.0618407099273293E-2</v>
      </c>
      <c r="E74" s="77">
        <f>_xll.qlSabrVolatility($B74,$C$2,$C$3,E$6,E$7,E$8,E$9,TRUE)</f>
        <v>1.1288382193631112E-2</v>
      </c>
      <c r="F74" s="77">
        <f>_xll.qlSabrVolatility($B74,$C$2,$C$3,F$6,F$7,F$8,F$9,TRUE)</f>
        <v>1.3076589560912793E-2</v>
      </c>
      <c r="H74" s="84">
        <f>_xll.qlBachelier($C$2,$B74,C74,$C$3,1)</f>
        <v>3.8849589588390771E-3</v>
      </c>
      <c r="I74" s="84">
        <f>_xll.qlBachelier($C$2,$B74,D74,$C$3,1)</f>
        <v>4.3576297417457742E-3</v>
      </c>
      <c r="J74" s="84">
        <f>_xll.qlBachelier($C$2,$B74,E74,$C$3,1)</f>
        <v>4.8767009062263521E-3</v>
      </c>
      <c r="K74" s="84">
        <f>_xll.qlBachelier($C$2,$B74,F74,$C$3,1)</f>
        <v>6.2993962875091108E-3</v>
      </c>
      <c r="M74" s="85">
        <f t="shared" si="0"/>
        <v>15.067886946761352</v>
      </c>
      <c r="N74" s="85">
        <f t="shared" si="0"/>
        <v>12.634699242188516</v>
      </c>
      <c r="O74" s="85">
        <f t="shared" si="0"/>
        <v>12.866971733282623</v>
      </c>
      <c r="P74" s="85">
        <f t="shared" si="0"/>
        <v>6.6608450176213143</v>
      </c>
    </row>
    <row r="75" spans="2:16">
      <c r="B75" s="74">
        <v>6.4000000000000001E-2</v>
      </c>
      <c r="C75" s="77">
        <f>_xll.qlSabrVolatility($B75,$C$2,$C$3,C$6,C$7,C$8,C$9,TRUE)</f>
        <v>9.9971202470584084E-3</v>
      </c>
      <c r="D75" s="77">
        <f>_xll.qlSabrVolatility($B75,$C$2,$C$3,D$6,D$7,D$8,D$9,TRUE)</f>
        <v>1.066327417368631E-2</v>
      </c>
      <c r="E75" s="77">
        <f>_xll.qlSabrVolatility($B75,$C$2,$C$3,E$6,E$7,E$8,E$9,TRUE)</f>
        <v>1.143267665303686E-2</v>
      </c>
      <c r="F75" s="77">
        <f>_xll.qlSabrVolatility($B75,$C$2,$C$3,F$6,F$7,F$8,F$9,TRUE)</f>
        <v>1.3311989895377057E-2</v>
      </c>
      <c r="H75" s="84">
        <f>_xll.qlBachelier($C$2,$B75,C75,$C$3,1)</f>
        <v>3.611997793263906E-3</v>
      </c>
      <c r="I75" s="84">
        <f>_xll.qlBachelier($C$2,$B75,D75,$C$3,1)</f>
        <v>4.106456296486813E-3</v>
      </c>
      <c r="J75" s="84">
        <f>_xll.qlBachelier($C$2,$B75,E75,$C$3,1)</f>
        <v>4.6908885687457144E-3</v>
      </c>
      <c r="K75" s="84">
        <f>_xll.qlBachelier($C$2,$B75,F75,$C$3,1)</f>
        <v>6.164868205524112E-3</v>
      </c>
      <c r="M75" s="85">
        <f t="shared" si="0"/>
        <v>14.666372855872003</v>
      </c>
      <c r="N75" s="85">
        <f t="shared" si="0"/>
        <v>12.213534170137422</v>
      </c>
      <c r="O75" s="85">
        <f t="shared" si="0"/>
        <v>11.889476964923434</v>
      </c>
      <c r="P75" s="85">
        <f t="shared" si="0"/>
        <v>6.1958438504518147</v>
      </c>
    </row>
    <row r="76" spans="2:16">
      <c r="B76" s="74">
        <v>6.5000000000000002E-2</v>
      </c>
      <c r="C76" s="77">
        <f>_xll.qlSabrVolatility($B76,$C$2,$C$3,C$6,C$7,C$8,C$9,TRUE)</f>
        <v>9.9971288581613364E-3</v>
      </c>
      <c r="D76" s="77">
        <f>_xll.qlSabrVolatility($B76,$C$2,$C$3,D$6,D$7,D$8,D$9,TRUE)</f>
        <v>1.0707788650003942E-2</v>
      </c>
      <c r="E76" s="77">
        <f>_xll.qlSabrVolatility($B76,$C$2,$C$3,E$6,E$7,E$8,E$9,TRUE)</f>
        <v>1.158066011783687E-2</v>
      </c>
      <c r="F76" s="77">
        <f>_xll.qlSabrVolatility($B76,$C$2,$C$3,F$6,F$7,F$8,F$9,TRUE)</f>
        <v>1.3546629528307973E-2</v>
      </c>
      <c r="H76" s="84">
        <f>_xll.qlBachelier($C$2,$B76,C76,$C$3,1)</f>
        <v>3.3537030005446069E-3</v>
      </c>
      <c r="I76" s="84">
        <f>_xll.qlBachelier($C$2,$B76,D76,$C$3,1)</f>
        <v>3.8674963853979893E-3</v>
      </c>
      <c r="J76" s="84">
        <f>_xll.qlBachelier($C$2,$B76,E76,$C$3,1)</f>
        <v>4.5169657082300002E-3</v>
      </c>
      <c r="K76" s="84">
        <f>_xll.qlBachelier($C$2,$B76,F76,$C$3,1)</f>
        <v>6.0365359673895651E-3</v>
      </c>
      <c r="M76" s="85">
        <f t="shared" si="0"/>
        <v>14.247030294716145</v>
      </c>
      <c r="N76" s="85">
        <f t="shared" si="0"/>
        <v>11.79243282648909</v>
      </c>
      <c r="O76" s="85">
        <f t="shared" si="0"/>
        <v>10.978340001622351</v>
      </c>
      <c r="P76" s="85">
        <f t="shared" si="0"/>
        <v>5.7723082846402347</v>
      </c>
    </row>
    <row r="77" spans="2:16">
      <c r="B77" s="74">
        <v>6.6000000000000003E-2</v>
      </c>
      <c r="C77" s="77">
        <f>_xll.qlSabrVolatility($B77,$C$2,$C$3,C$6,C$7,C$8,C$9,TRUE)</f>
        <v>9.9971373740578053E-3</v>
      </c>
      <c r="D77" s="77">
        <f>_xll.qlSabrVolatility($B77,$C$2,$C$3,D$6,D$7,D$8,D$9,TRUE)</f>
        <v>1.0751958712007152E-2</v>
      </c>
      <c r="E77" s="77">
        <f>_xll.qlSabrVolatility($B77,$C$2,$C$3,E$6,E$7,E$8,E$9,TRUE)</f>
        <v>1.1731971509184633E-2</v>
      </c>
      <c r="F77" s="77">
        <f>_xll.qlSabrVolatility($B77,$C$2,$C$3,F$6,F$7,F$8,F$9,TRUE)</f>
        <v>1.3780482429044139E-2</v>
      </c>
      <c r="H77" s="84">
        <f>_xll.qlBachelier($C$2,$B77,C77,$C$3,1)</f>
        <v>3.1096552381200239E-3</v>
      </c>
      <c r="I77" s="84">
        <f>_xll.qlBachelier($C$2,$B77,D77,$C$3,1)</f>
        <v>3.6403289071356548E-3</v>
      </c>
      <c r="J77" s="84">
        <f>_xll.qlBachelier($C$2,$B77,E77,$C$3,1)</f>
        <v>4.3540211877159084E-3</v>
      </c>
      <c r="K77" s="84">
        <f>_xll.qlBachelier($C$2,$B77,F77,$C$3,1)</f>
        <v>5.9139760375396585E-3</v>
      </c>
      <c r="M77" s="85">
        <f t="shared" si="0"/>
        <v>13.812021134867468</v>
      </c>
      <c r="N77" s="85">
        <f t="shared" si="0"/>
        <v>11.372666873713293</v>
      </c>
      <c r="O77" s="85">
        <f t="shared" si="0"/>
        <v>10.133108556629656</v>
      </c>
      <c r="P77" s="85">
        <f t="shared" ref="P77" si="1">(K78-2*K77+K76)/(($B78-$B76)/2)^2</f>
        <v>5.3859095027917574</v>
      </c>
    </row>
    <row r="78" spans="2:16">
      <c r="B78" s="74">
        <v>6.7000000000000004E-2</v>
      </c>
      <c r="C78" s="77">
        <f>_xll.qlSabrVolatility($B78,$C$2,$C$3,C$6,C$7,C$8,C$9,TRUE)</f>
        <v>9.9971457971163996E-3</v>
      </c>
      <c r="D78" s="77">
        <f>_xll.qlSabrVolatility($B78,$C$2,$C$3,D$6,D$7,D$8,D$9,TRUE)</f>
        <v>1.0795792231758193E-2</v>
      </c>
      <c r="E78" s="77">
        <f>_xll.qlSabrVolatility($B78,$C$2,$C$3,E$6,E$7,E$8,E$9,TRUE)</f>
        <v>1.1886278711424156E-2</v>
      </c>
      <c r="F78" s="77">
        <f>_xll.qlSabrVolatility($B78,$C$2,$C$3,F$6,F$7,F$8,F$9,TRUE)</f>
        <v>1.4013529325508756E-2</v>
      </c>
      <c r="H78" s="84">
        <f>_xll.qlBachelier($C$2,$B78,C78,$C$3,1)</f>
        <v>2.8794194968303085E-3</v>
      </c>
      <c r="I78" s="84">
        <f>_xll.qlBachelier($C$2,$B78,D78,$C$3,1)</f>
        <v>3.4245340957470335E-3</v>
      </c>
      <c r="J78" s="84">
        <f>_xll.qlBachelier($C$2,$B78,E78,$C$3,1)</f>
        <v>4.2012097757584462E-3</v>
      </c>
      <c r="K78" s="84">
        <f>_xll.qlBachelier($C$2,$B78,F78,$C$3,1)</f>
        <v>5.7968020171925436E-3</v>
      </c>
      <c r="M78" s="85">
        <f t="shared" ref="M78:P110" si="2">(H79-2*H78+H77)/(($B79-$B77)/2)^2</f>
        <v>13.363535862856411</v>
      </c>
      <c r="N78" s="85">
        <f t="shared" si="2"/>
        <v>10.955416590715021</v>
      </c>
      <c r="O78" s="85">
        <f t="shared" si="2"/>
        <v>9.3520077101508754</v>
      </c>
      <c r="P78" s="85">
        <f t="shared" si="2"/>
        <v>5.032811309146024</v>
      </c>
    </row>
    <row r="79" spans="2:16">
      <c r="B79" s="74">
        <v>6.8000000000000005E-2</v>
      </c>
      <c r="C79" s="77">
        <f>_xll.qlSabrVolatility($B79,$C$2,$C$3,C$6,C$7,C$8,C$9,TRUE)</f>
        <v>9.9971541295930527E-3</v>
      </c>
      <c r="D79" s="77">
        <f>_xll.qlSabrVolatility($B79,$C$2,$C$3,D$6,D$7,D$8,D$9,TRUE)</f>
        <v>1.0839296785939163E-2</v>
      </c>
      <c r="E79" s="77">
        <f>_xll.qlSabrVolatility($B79,$C$2,$C$3,E$6,E$7,E$8,E$9,TRUE)</f>
        <v>1.2043277604322644E-2</v>
      </c>
      <c r="F79" s="77">
        <f>_xll.qlSabrVolatility($B79,$C$2,$C$3,F$6,F$7,F$8,F$9,TRUE)</f>
        <v>1.4245756558407813E-2</v>
      </c>
      <c r="H79" s="84">
        <f>_xll.qlBachelier($C$2,$B79,C79,$C$3,1)</f>
        <v>2.6625472914034495E-3</v>
      </c>
      <c r="I79" s="84">
        <f>_xll.qlBachelier($C$2,$B79,D79,$C$3,1)</f>
        <v>3.2196947009491272E-3</v>
      </c>
      <c r="J79" s="84">
        <f>_xll.qlBachelier($C$2,$B79,E79,$C$3,1)</f>
        <v>4.0577503715111349E-3</v>
      </c>
      <c r="K79" s="84">
        <f>_xll.qlBachelier($C$2,$B79,F79,$C$3,1)</f>
        <v>5.6846608081545747E-3</v>
      </c>
      <c r="M79" s="85">
        <f t="shared" si="2"/>
        <v>12.903775515435573</v>
      </c>
      <c r="N79" s="85">
        <f t="shared" si="2"/>
        <v>10.541771222566888</v>
      </c>
      <c r="O79" s="85">
        <f t="shared" si="2"/>
        <v>8.6323409793633896</v>
      </c>
      <c r="P79" s="85">
        <f t="shared" si="2"/>
        <v>4.7096142366210687</v>
      </c>
    </row>
    <row r="80" spans="2:16">
      <c r="B80" s="74">
        <v>6.9000000000000006E-2</v>
      </c>
      <c r="C80" s="77">
        <f>_xll.qlSabrVolatility($B80,$C$2,$C$3,C$6,C$7,C$8,C$9,TRUE)</f>
        <v>9.997162373651813E-3</v>
      </c>
      <c r="D80" s="77">
        <f>_xll.qlSabrVolatility($B80,$C$2,$C$3,D$6,D$7,D$8,D$9,TRUE)</f>
        <v>1.0882479671174504E-2</v>
      </c>
      <c r="E80" s="77">
        <f>_xll.qlSabrVolatility($B80,$C$2,$C$3,E$6,E$7,E$8,E$9,TRUE)</f>
        <v>1.2202690705885774E-2</v>
      </c>
      <c r="F80" s="77">
        <f>_xll.qlSabrVolatility($B80,$C$2,$C$3,F$6,F$7,F$8,F$9,TRUE)</f>
        <v>1.4477155127593682E-2</v>
      </c>
      <c r="H80" s="84">
        <f>_xll.qlBachelier($C$2,$B80,C80,$C$3,1)</f>
        <v>2.458578861492026E-3</v>
      </c>
      <c r="I80" s="84">
        <f>_xll.qlBachelier($C$2,$B80,D80,$C$3,1)</f>
        <v>3.0253970773737879E-3</v>
      </c>
      <c r="J80" s="84">
        <f>_xll.qlBachelier($C$2,$B80,E80,$C$3,1)</f>
        <v>3.9229233082431871E-3</v>
      </c>
      <c r="K80" s="84">
        <f>_xll.qlBachelier($C$2,$B80,F80,$C$3,1)</f>
        <v>5.577229213353227E-3</v>
      </c>
      <c r="M80" s="85">
        <f t="shared" si="2"/>
        <v>12.434934001587823</v>
      </c>
      <c r="N80" s="85">
        <f t="shared" si="2"/>
        <v>10.132729764855666</v>
      </c>
      <c r="O80" s="85">
        <f t="shared" si="2"/>
        <v>7.9708133610802347</v>
      </c>
      <c r="P80" s="85">
        <f t="shared" si="2"/>
        <v>4.4133047508720855</v>
      </c>
    </row>
    <row r="81" spans="2:16">
      <c r="B81" s="74">
        <v>7.0000000000000007E-2</v>
      </c>
      <c r="C81" s="77">
        <f>_xll.qlSabrVolatility($B81,$C$2,$C$3,C$6,C$7,C$8,C$9,TRUE)</f>
        <v>9.9971705313851977E-3</v>
      </c>
      <c r="D81" s="77">
        <f>_xll.qlSabrVolatility($B81,$C$2,$C$3,D$6,D$7,D$8,D$9,TRUE)</f>
        <v>1.0925347918298503E-2</v>
      </c>
      <c r="E81" s="77">
        <f>_xll.qlSabrVolatility($B81,$C$2,$C$3,E$6,E$7,E$8,E$9,TRUE)</f>
        <v>1.2364265571504163E-2</v>
      </c>
      <c r="F81" s="77">
        <f>_xll.qlSabrVolatility($B81,$C$2,$C$3,F$6,F$7,F$8,F$9,TRUE)</f>
        <v>1.4707719897270719E-2</v>
      </c>
      <c r="H81" s="84">
        <f>_xll.qlBachelier($C$2,$B81,C81,$C$3,1)</f>
        <v>2.2670453655821905E-3</v>
      </c>
      <c r="I81" s="84">
        <f>_xll.qlBachelier($C$2,$B81,D81,$C$3,1)</f>
        <v>2.8412321835633043E-3</v>
      </c>
      <c r="J81" s="84">
        <f>_xll.qlBachelier($C$2,$B81,E81,$C$3,1)</f>
        <v>3.7960670583363195E-3</v>
      </c>
      <c r="K81" s="84">
        <f>_xll.qlBachelier($C$2,$B81,F81,$C$3,1)</f>
        <v>5.4742109233027513E-3</v>
      </c>
      <c r="M81" s="85">
        <f t="shared" si="2"/>
        <v>11.959181107385932</v>
      </c>
      <c r="N81" s="85">
        <f t="shared" si="2"/>
        <v>9.7292024323366242</v>
      </c>
      <c r="O81" s="85">
        <f t="shared" si="2"/>
        <v>7.3637834875152208</v>
      </c>
      <c r="P81" s="85">
        <f t="shared" si="2"/>
        <v>4.141209647270121</v>
      </c>
    </row>
    <row r="82" spans="2:16">
      <c r="B82" s="74">
        <v>7.0999999999999994E-2</v>
      </c>
      <c r="C82" s="77">
        <f>_xll.qlSabrVolatility($B82,$C$2,$C$3,C$6,C$7,C$8,C$9,TRUE)</f>
        <v>9.9971786048077983E-3</v>
      </c>
      <c r="D82" s="77">
        <f>_xll.qlSabrVolatility($B82,$C$2,$C$3,D$6,D$7,D$8,D$9,TRUE)</f>
        <v>1.0967908305699655E-2</v>
      </c>
      <c r="E82" s="77">
        <f>_xll.qlSabrVolatility($B82,$C$2,$C$3,E$6,E$7,E$8,E$9,TRUE)</f>
        <v>1.2527773062047947E-2</v>
      </c>
      <c r="F82" s="77">
        <f>_xll.qlSabrVolatility($B82,$C$2,$C$3,F$6,F$7,F$8,F$9,TRUE)</f>
        <v>1.4937448932669298E-2</v>
      </c>
      <c r="H82" s="84">
        <f>_xll.qlBachelier($C$2,$B82,C82,$C$3,1)</f>
        <v>2.0874710507797407E-3</v>
      </c>
      <c r="I82" s="84">
        <f>_xll.qlBachelier($C$2,$B82,D82,$C$3,1)</f>
        <v>2.6667964921851571E-3</v>
      </c>
      <c r="J82" s="84">
        <f>_xll.qlBachelier($C$2,$B82,E82,$C$3,1)</f>
        <v>3.676574591916967E-3</v>
      </c>
      <c r="K82" s="84">
        <f>_xll.qlBachelier($C$2,$B82,F82,$C$3,1)</f>
        <v>5.3753338428995457E-3</v>
      </c>
      <c r="M82" s="85">
        <f t="shared" si="2"/>
        <v>11.478646378333471</v>
      </c>
      <c r="N82" s="85">
        <f t="shared" si="2"/>
        <v>9.3320125975116053</v>
      </c>
      <c r="O82" s="85">
        <f t="shared" si="2"/>
        <v>6.8074545995865225</v>
      </c>
      <c r="P82" s="85">
        <f t="shared" si="2"/>
        <v>3.89095545725361</v>
      </c>
    </row>
    <row r="83" spans="2:16">
      <c r="B83" s="74">
        <v>7.1999999999999995E-2</v>
      </c>
      <c r="C83" s="77">
        <f>_xll.qlSabrVolatility($B83,$C$2,$C$3,C$6,C$7,C$8,C$9,TRUE)</f>
        <v>9.9971865958619031E-3</v>
      </c>
      <c r="D83" s="77">
        <f>_xll.qlSabrVolatility($B83,$C$2,$C$3,D$6,D$7,D$8,D$9,TRUE)</f>
        <v>1.1010167371848796E-2</v>
      </c>
      <c r="E83" s="77">
        <f>_xll.qlSabrVolatility($B83,$C$2,$C$3,E$6,E$7,E$8,E$9,TRUE)</f>
        <v>1.2693005565156753E-2</v>
      </c>
      <c r="F83" s="77">
        <f>_xll.qlSabrVolatility($B83,$C$2,$C$3,F$6,F$7,F$8,F$9,TRUE)</f>
        <v>1.5166342945692047E-2</v>
      </c>
      <c r="H83" s="84">
        <f>_xll.qlBachelier($C$2,$B83,C83,$C$3,1)</f>
        <v>1.9193753823556242E-3</v>
      </c>
      <c r="I83" s="84">
        <f>_xll.qlBachelier($C$2,$B83,D83,$C$3,1)</f>
        <v>2.5016928134045215E-3</v>
      </c>
      <c r="J83" s="84">
        <f>_xll.qlBachelier($C$2,$B83,E83,$C$3,1)</f>
        <v>3.563889580097201E-3</v>
      </c>
      <c r="K83" s="84">
        <f>_xll.qlBachelier($C$2,$B83,F83,$C$3,1)</f>
        <v>5.2803477179535936E-3</v>
      </c>
      <c r="M83" s="85">
        <f t="shared" si="2"/>
        <v>10.995403958082864</v>
      </c>
      <c r="N83" s="85">
        <f t="shared" si="2"/>
        <v>8.9418990887150773</v>
      </c>
      <c r="O83" s="85">
        <f t="shared" si="2"/>
        <v>6.2980147140434077</v>
      </c>
      <c r="P83" s="85">
        <f t="shared" si="2"/>
        <v>3.6604325356461298</v>
      </c>
    </row>
    <row r="84" spans="2:16">
      <c r="B84" s="74">
        <v>7.2999999999999995E-2</v>
      </c>
      <c r="C84" s="77">
        <f>_xll.qlSabrVolatility($B84,$C$2,$C$3,C$6,C$7,C$8,C$9,TRUE)</f>
        <v>9.9971945064121492E-3</v>
      </c>
      <c r="D84" s="77">
        <f>_xll.qlSabrVolatility($B84,$C$2,$C$3,D$6,D$7,D$8,D$9,TRUE)</f>
        <v>1.1052131427007207E-2</v>
      </c>
      <c r="E84" s="77">
        <f>_xll.qlSabrVolatility($B84,$C$2,$C$3,E$6,E$7,E$8,E$9,TRUE)</f>
        <v>1.2859775230602645E-2</v>
      </c>
      <c r="F84" s="77">
        <f>_xll.qlSabrVolatility($B84,$C$2,$C$3,F$6,F$7,F$8,F$9,TRUE)</f>
        <v>1.5394404831033357E-2</v>
      </c>
      <c r="H84" s="84">
        <f>_xll.qlBachelier($C$2,$B84,C84,$C$3,1)</f>
        <v>1.7622751178895907E-3</v>
      </c>
      <c r="I84" s="84">
        <f>_xll.qlBachelier($C$2,$B84,D84,$C$3,1)</f>
        <v>2.3455310337126009E-3</v>
      </c>
      <c r="J84" s="84">
        <f>_xll.qlBachelier($C$2,$B84,E84,$C$3,1)</f>
        <v>3.4575025829914783E-3</v>
      </c>
      <c r="K84" s="84">
        <f>_xll.qlBachelier($C$2,$B84,F84,$C$3,1)</f>
        <v>5.1890220255432877E-3</v>
      </c>
      <c r="M84" s="85">
        <f t="shared" si="2"/>
        <v>10.51145859889229</v>
      </c>
      <c r="N84" s="85">
        <f t="shared" si="2"/>
        <v>8.5595189333459292</v>
      </c>
      <c r="O84" s="85">
        <f t="shared" si="2"/>
        <v>5.8317358851726437</v>
      </c>
      <c r="P84" s="85">
        <f t="shared" si="2"/>
        <v>3.4477634238286599</v>
      </c>
    </row>
    <row r="85" spans="2:16">
      <c r="B85" s="74">
        <v>7.3999999999999996E-2</v>
      </c>
      <c r="C85" s="77">
        <f>_xll.qlSabrVolatility($B85,$C$2,$C$3,C$6,C$7,C$8,C$9,TRUE)</f>
        <v>9.9972023382694005E-3</v>
      </c>
      <c r="D85" s="77">
        <f>_xll.qlSabrVolatility($B85,$C$2,$C$3,D$6,D$7,D$8,D$9,TRUE)</f>
        <v>1.1093806564229119E-2</v>
      </c>
      <c r="E85" s="77">
        <f>_xll.qlSabrVolatility($B85,$C$2,$C$3,E$6,E$7,E$8,E$9,TRUE)</f>
        <v>1.3027912261945421E-2</v>
      </c>
      <c r="F85" s="77">
        <f>_xll.qlSabrVolatility($B85,$C$2,$C$3,F$6,F$7,F$8,F$9,TRUE)</f>
        <v>1.5621639277542098E-2</v>
      </c>
      <c r="H85" s="84">
        <f>_xll.qlBachelier($C$2,$B85,C85,$C$3,1)</f>
        <v>1.6156863120224494E-3</v>
      </c>
      <c r="I85" s="84">
        <f>_xll.qlBachelier($C$2,$B85,D85,$C$3,1)</f>
        <v>2.1979287729540263E-3</v>
      </c>
      <c r="J85" s="84">
        <f>_xll.qlBachelier($C$2,$B85,E85,$C$3,1)</f>
        <v>3.3569473217709284E-3</v>
      </c>
      <c r="K85" s="84">
        <f>_xll.qlBachelier($C$2,$B85,F85,$C$3,1)</f>
        <v>5.1011440965568105E-3</v>
      </c>
      <c r="M85" s="85">
        <f t="shared" si="2"/>
        <v>10.028732857947086</v>
      </c>
      <c r="N85" s="85">
        <f t="shared" si="2"/>
        <v>8.1854503685852542</v>
      </c>
      <c r="O85" s="85">
        <f t="shared" si="2"/>
        <v>5.4050413922134242</v>
      </c>
      <c r="P85" s="85">
        <f t="shared" si="2"/>
        <v>3.2512750620392339</v>
      </c>
    </row>
    <row r="86" spans="2:16">
      <c r="B86" s="74">
        <v>7.4999999999999997E-2</v>
      </c>
      <c r="C86" s="77">
        <f>_xll.qlSabrVolatility($B86,$C$2,$C$3,C$6,C$7,C$8,C$9,TRUE)</f>
        <v>9.9972100931557586E-3</v>
      </c>
      <c r="D86" s="77">
        <f>_xll.qlSabrVolatility($B86,$C$2,$C$3,D$6,D$7,D$8,D$9,TRUE)</f>
        <v>1.1135198669709821E-2</v>
      </c>
      <c r="E86" s="77">
        <f>_xll.qlSabrVolatility($B86,$C$2,$C$3,E$6,E$7,E$8,E$9,TRUE)</f>
        <v>1.3197263292206803E-2</v>
      </c>
      <c r="F86" s="77">
        <f>_xll.qlSabrVolatility($B86,$C$2,$C$3,F$6,F$7,F$8,F$9,TRUE)</f>
        <v>1.5848052442271103E-2</v>
      </c>
      <c r="H86" s="84">
        <f>_xll.qlBachelier($C$2,$B86,C86,$C$3,1)</f>
        <v>1.4791262390132552E-3</v>
      </c>
      <c r="I86" s="84">
        <f>_xll.qlBachelier($C$2,$B86,D86,$C$3,1)</f>
        <v>2.058511962564037E-3</v>
      </c>
      <c r="J86" s="84">
        <f>_xll.qlBachelier($C$2,$B86,E86,$C$3,1)</f>
        <v>3.2617971019425918E-3</v>
      </c>
      <c r="K86" s="84">
        <f>_xll.qlBachelier($C$2,$B86,F86,$C$3,1)</f>
        <v>5.0165174426323724E-3</v>
      </c>
      <c r="M86" s="85">
        <f t="shared" si="2"/>
        <v>9.549055770962239</v>
      </c>
      <c r="N86" s="85">
        <f t="shared" si="2"/>
        <v>7.8201960487266797</v>
      </c>
      <c r="O86" s="85">
        <f t="shared" si="2"/>
        <v>5.014548366475716</v>
      </c>
      <c r="P86" s="85">
        <f t="shared" si="2"/>
        <v>3.0694744305196795</v>
      </c>
    </row>
    <row r="87" spans="2:16">
      <c r="B87" s="74">
        <v>7.5999999999999998E-2</v>
      </c>
      <c r="C87" s="77">
        <f>_xll.qlSabrVolatility($B87,$C$2,$C$3,C$6,C$7,C$8,C$9,TRUE)</f>
        <v>9.9972177727630888E-3</v>
      </c>
      <c r="D87" s="77">
        <f>_xll.qlSabrVolatility($B87,$C$2,$C$3,D$6,D$7,D$8,D$9,TRUE)</f>
        <v>1.1176313432414908E-2</v>
      </c>
      <c r="E87" s="77">
        <f>_xll.qlSabrVolatility($B87,$C$2,$C$3,E$6,E$7,E$8,E$9,TRUE)</f>
        <v>1.3367689860308448E-2</v>
      </c>
      <c r="F87" s="77">
        <f>_xll.qlSabrVolatility($B87,$C$2,$C$3,F$6,F$7,F$8,F$9,TRUE)</f>
        <v>1.607365167684598E-2</v>
      </c>
      <c r="H87" s="84">
        <f>_xll.qlBachelier($C$2,$B87,C87,$C$3,1)</f>
        <v>1.3521152217750233E-3</v>
      </c>
      <c r="I87" s="84">
        <f>_xll.qlBachelier($C$2,$B87,D87,$C$3,1)</f>
        <v>1.9269153482227744E-3</v>
      </c>
      <c r="J87" s="84">
        <f>_xll.qlBachelier($C$2,$B87,E87,$C$3,1)</f>
        <v>3.171661430480731E-3</v>
      </c>
      <c r="K87" s="84">
        <f>_xll.qlBachelier($C$2,$B87,F87,$C$3,1)</f>
        <v>4.9349602631384541E-3</v>
      </c>
      <c r="M87" s="85">
        <f t="shared" si="2"/>
        <v>9.0741527739310506</v>
      </c>
      <c r="N87" s="85">
        <f t="shared" si="2"/>
        <v>7.4641866763609821</v>
      </c>
      <c r="O87" s="85">
        <f t="shared" si="2"/>
        <v>4.6570920417552104</v>
      </c>
      <c r="P87" s="85">
        <f t="shared" si="2"/>
        <v>2.9010272213757879</v>
      </c>
    </row>
    <row r="88" spans="2:16">
      <c r="B88" s="74">
        <v>7.6999999999999999E-2</v>
      </c>
      <c r="C88" s="77">
        <f>_xll.qlSabrVolatility($B88,$C$2,$C$3,C$6,C$7,C$8,C$9,TRUE)</f>
        <v>9.9972253787123516E-3</v>
      </c>
      <c r="D88" s="77">
        <f>_xll.qlSabrVolatility($B88,$C$2,$C$3,D$6,D$7,D$8,D$9,TRUE)</f>
        <v>1.1217156353328601E-2</v>
      </c>
      <c r="E88" s="77">
        <f>_xll.qlSabrVolatility($B88,$C$2,$C$3,E$6,E$7,E$8,E$9,TRUE)</f>
        <v>1.3539066996906487E-2</v>
      </c>
      <c r="F88" s="77">
        <f>_xll.qlSabrVolatility($B88,$C$2,$C$3,F$6,F$7,F$8,F$9,TRUE)</f>
        <v>1.6298445297577541E-2</v>
      </c>
      <c r="H88" s="84">
        <f>_xll.qlBachelier($C$2,$B88,C88,$C$3,1)</f>
        <v>1.2341783573107225E-3</v>
      </c>
      <c r="I88" s="84">
        <f>_xll.qlBachelier($C$2,$B88,D88,$C$3,1)</f>
        <v>1.8027829205578727E-3</v>
      </c>
      <c r="J88" s="84">
        <f>_xll.qlBachelier($C$2,$B88,E88,$C$3,1)</f>
        <v>3.0861828510606254E-3</v>
      </c>
      <c r="K88" s="84">
        <f>_xll.qlBachelier($C$2,$B88,F88,$C$3,1)</f>
        <v>4.8563041108659116E-3</v>
      </c>
      <c r="M88" s="85">
        <f t="shared" si="2"/>
        <v>8.6056372799779748</v>
      </c>
      <c r="N88" s="85">
        <f t="shared" si="2"/>
        <v>7.1177843776019802</v>
      </c>
      <c r="O88" s="85">
        <f t="shared" si="2"/>
        <v>4.3297365767821629</v>
      </c>
      <c r="P88" s="85">
        <f t="shared" si="2"/>
        <v>2.7447391747472838</v>
      </c>
    </row>
    <row r="89" spans="2:16">
      <c r="B89" s="74">
        <v>7.8E-2</v>
      </c>
      <c r="C89" s="77">
        <f>_xll.qlSabrVolatility($B89,$C$2,$C$3,C$6,C$7,C$8,C$9,TRUE)</f>
        <v>9.9972329125692545E-3</v>
      </c>
      <c r="D89" s="77">
        <f>_xll.qlSabrVolatility($B89,$C$2,$C$3,D$6,D$7,D$8,D$9,TRUE)</f>
        <v>1.1257732753892613E-2</v>
      </c>
      <c r="E89" s="77">
        <f>_xll.qlSabrVolatility($B89,$C$2,$C$3,E$6,E$7,E$8,E$9,TRUE)</f>
        <v>1.371128192241728E-2</v>
      </c>
      <c r="F89" s="77">
        <f>_xll.qlSabrVolatility($B89,$C$2,$C$3,F$6,F$7,F$8,F$9,TRUE)</f>
        <v>1.6522442392210998E-2</v>
      </c>
      <c r="H89" s="84">
        <f>_xll.qlBachelier($C$2,$B89,C89,$C$3,1)</f>
        <v>1.1248471301263997E-3</v>
      </c>
      <c r="I89" s="84">
        <f>_xll.qlBachelier($C$2,$B89,D89,$C$3,1)</f>
        <v>1.6857682772705731E-3</v>
      </c>
      <c r="J89" s="84">
        <f>_xll.qlBachelier($C$2,$B89,E89,$C$3,1)</f>
        <v>3.005034008217302E-3</v>
      </c>
      <c r="K89" s="84">
        <f>_xll.qlBachelier($C$2,$B89,F89,$C$3,1)</f>
        <v>4.7803926977681164E-3</v>
      </c>
      <c r="M89" s="85">
        <f t="shared" si="2"/>
        <v>8.1450036411439957</v>
      </c>
      <c r="N89" s="85">
        <f t="shared" si="2"/>
        <v>6.7812867405193114</v>
      </c>
      <c r="O89" s="85">
        <f t="shared" si="2"/>
        <v>4.0297763263868598</v>
      </c>
      <c r="P89" s="85">
        <f t="shared" si="2"/>
        <v>2.5995397506866795</v>
      </c>
    </row>
    <row r="90" spans="2:16">
      <c r="B90" s="74">
        <v>7.9000000000000001E-2</v>
      </c>
      <c r="C90" s="77">
        <f>_xll.qlSabrVolatility($B90,$C$2,$C$3,C$6,C$7,C$8,C$9,TRUE)</f>
        <v>9.9972403758338043E-3</v>
      </c>
      <c r="D90" s="77">
        <f>_xll.qlSabrVolatility($B90,$C$2,$C$3,D$6,D$7,D$8,D$9,TRUE)</f>
        <v>1.1298047784238714E-2</v>
      </c>
      <c r="E90" s="77">
        <f>_xll.qlSabrVolatility($B90,$C$2,$C$3,E$6,E$7,E$8,E$9,TRUE)</f>
        <v>1.388423285595948E-2</v>
      </c>
      <c r="F90" s="77">
        <f>_xll.qlSabrVolatility($B90,$C$2,$C$3,F$6,F$7,F$8,F$9,TRUE)</f>
        <v>1.6745652657413877E-2</v>
      </c>
      <c r="H90" s="84">
        <f>_xll.qlBachelier($C$2,$B90,C90,$C$3,1)</f>
        <v>1.0236609065832208E-3</v>
      </c>
      <c r="I90" s="84">
        <f>_xll.qlBachelier($C$2,$B90,D90,$C$3,1)</f>
        <v>1.5755349207237927E-3</v>
      </c>
      <c r="J90" s="84">
        <f>_xll.qlBachelier($C$2,$B90,E90,$C$3,1)</f>
        <v>2.9279149417003655E-3</v>
      </c>
      <c r="K90" s="84">
        <f>_xll.qlBachelier($C$2,$B90,F90,$C$3,1)</f>
        <v>4.7070808244210078E-3</v>
      </c>
      <c r="M90" s="85">
        <f t="shared" si="2"/>
        <v>7.6936216969170452</v>
      </c>
      <c r="N90" s="85">
        <f t="shared" si="2"/>
        <v>6.4549303405211109</v>
      </c>
      <c r="O90" s="85">
        <f t="shared" si="2"/>
        <v>3.7547305377317737</v>
      </c>
      <c r="P90" s="85">
        <f t="shared" si="2"/>
        <v>2.464467837774357</v>
      </c>
    </row>
    <row r="91" spans="2:16">
      <c r="B91" s="74">
        <v>0.08</v>
      </c>
      <c r="C91" s="77">
        <f>_xll.qlSabrVolatility($B91,$C$2,$C$3,C$6,C$7,C$8,C$9,TRUE)</f>
        <v>9.9972477699837876E-3</v>
      </c>
      <c r="D91" s="77">
        <f>_xll.qlSabrVolatility($B91,$C$2,$C$3,D$6,D$7,D$8,D$9,TRUE)</f>
        <v>1.1338106430686987E-2</v>
      </c>
      <c r="E91" s="77">
        <f>_xll.qlSabrVolatility($B91,$C$2,$C$3,E$6,E$7,E$8,E$9,TRUE)</f>
        <v>1.4057827931210852E-2</v>
      </c>
      <c r="F91" s="77">
        <f>_xll.qlSabrVolatility($B91,$C$2,$C$3,F$6,F$7,F$8,F$9,TRUE)</f>
        <v>1.6968086262093441E-2</v>
      </c>
      <c r="H91" s="84">
        <f>_xll.qlBachelier($C$2,$B91,C91,$C$3,1)</f>
        <v>9.3016830473695907E-4</v>
      </c>
      <c r="I91" s="84">
        <f>_xll.qlBachelier($C$2,$B91,D91,$C$3,1)</f>
        <v>1.4717564945175335E-3</v>
      </c>
      <c r="J91" s="84">
        <f>_xll.qlBachelier($C$2,$B91,E91,$C$3,1)</f>
        <v>2.8545506057211607E-3</v>
      </c>
      <c r="K91" s="84">
        <f>_xll.qlBachelier($C$2,$B91,F91,$C$3,1)</f>
        <v>4.6362334189116736E-3</v>
      </c>
      <c r="M91" s="85">
        <f t="shared" si="2"/>
        <v>7.2527327329208919</v>
      </c>
      <c r="N91" s="85">
        <f t="shared" si="2"/>
        <v>6.1388948537814914</v>
      </c>
      <c r="O91" s="85">
        <f t="shared" si="2"/>
        <v>3.5023337167294364</v>
      </c>
      <c r="P91" s="85">
        <f t="shared" si="2"/>
        <v>2.3386592422564325</v>
      </c>
    </row>
    <row r="92" spans="2:16">
      <c r="B92" s="74">
        <v>8.1000000000000003E-2</v>
      </c>
      <c r="C92" s="77">
        <f>_xll.qlSabrVolatility($B92,$C$2,$C$3,C$6,C$7,C$8,C$9,TRUE)</f>
        <v>9.9972550964347092E-3</v>
      </c>
      <c r="D92" s="77">
        <f>_xll.qlSabrVolatility($B92,$C$2,$C$3,D$6,D$7,D$8,D$9,TRUE)</f>
        <v>1.1377913523076131E-2</v>
      </c>
      <c r="E92" s="77">
        <f>_xll.qlSabrVolatility($B92,$C$2,$C$3,E$6,E$7,E$8,E$9,TRUE)</f>
        <v>1.423198421345466E-2</v>
      </c>
      <c r="F92" s="77">
        <f>_xll.qlSabrVolatility($B92,$C$2,$C$3,F$6,F$7,F$8,F$9,TRUE)</f>
        <v>1.7189753732455786E-2</v>
      </c>
      <c r="H92" s="84">
        <f>_xll.qlBachelier($C$2,$B92,C92,$C$3,1)</f>
        <v>8.4392843562361821E-4</v>
      </c>
      <c r="I92" s="84">
        <f>_xll.qlBachelier($C$2,$B92,D92,$C$3,1)</f>
        <v>1.3741169631650558E-3</v>
      </c>
      <c r="J92" s="84">
        <f>_xll.qlBachelier($C$2,$B92,E92,$C$3,1)</f>
        <v>2.7846886034586854E-3</v>
      </c>
      <c r="K92" s="84">
        <f>_xll.qlBachelier($C$2,$B92,F92,$C$3,1)</f>
        <v>4.5677246726445958E-3</v>
      </c>
      <c r="M92" s="85">
        <f t="shared" si="2"/>
        <v>6.8234470169655168</v>
      </c>
      <c r="N92" s="85">
        <f t="shared" si="2"/>
        <v>5.8333066728886891</v>
      </c>
      <c r="O92" s="85">
        <f t="shared" si="2"/>
        <v>3.2705233286179438</v>
      </c>
      <c r="P92" s="85">
        <f t="shared" si="2"/>
        <v>2.2213357235966553</v>
      </c>
    </row>
    <row r="93" spans="2:16">
      <c r="B93" s="74">
        <v>8.2000000000000003E-2</v>
      </c>
      <c r="C93" s="77">
        <f>_xll.qlSabrVolatility($B93,$C$2,$C$3,C$6,C$7,C$8,C$9,TRUE)</f>
        <v>9.9972623565558454E-3</v>
      </c>
      <c r="D93" s="77">
        <f>_xll.qlSabrVolatility($B93,$C$2,$C$3,D$6,D$7,D$8,D$9,TRUE)</f>
        <v>1.1417473741448978E-2</v>
      </c>
      <c r="E93" s="77">
        <f>_xll.qlSabrVolatility($B93,$C$2,$C$3,E$6,E$7,E$8,E$9,TRUE)</f>
        <v>1.4406626811100141E-2</v>
      </c>
      <c r="F93" s="77">
        <f>_xll.qlSabrVolatility($B93,$C$2,$C$3,F$6,F$7,F$8,F$9,TRUE)</f>
        <v>1.741066585538955E-2</v>
      </c>
      <c r="H93" s="84">
        <f>_xll.qlBachelier($C$2,$B93,C93,$C$3,1)</f>
        <v>7.6451201352724287E-4</v>
      </c>
      <c r="I93" s="84">
        <f>_xll.qlBachelier($C$2,$B93,D93,$C$3,1)</f>
        <v>1.2823107384854668E-3</v>
      </c>
      <c r="J93" s="84">
        <f>_xll.qlBachelier($C$2,$B93,E93,$C$3,1)</f>
        <v>2.718097124524828E-3</v>
      </c>
      <c r="K93" s="84">
        <f>_xll.qlBachelier($C$2,$B93,F93,$C$3,1)</f>
        <v>4.5014372621011147E-3</v>
      </c>
      <c r="M93" s="85">
        <f t="shared" si="2"/>
        <v>6.4067426605454951</v>
      </c>
      <c r="N93" s="85">
        <f t="shared" si="2"/>
        <v>5.5382429176181125</v>
      </c>
      <c r="O93" s="85">
        <f t="shared" si="2"/>
        <v>3.0574260429464619</v>
      </c>
      <c r="P93" s="85">
        <f t="shared" si="2"/>
        <v>2.1117953812608032</v>
      </c>
    </row>
    <row r="94" spans="2:16">
      <c r="B94" s="74">
        <v>8.3000000000000004E-2</v>
      </c>
      <c r="C94" s="77">
        <f>_xll.qlSabrVolatility($B94,$C$2,$C$3,C$6,C$7,C$8,C$9,TRUE)</f>
        <v>9.9972695516699871E-3</v>
      </c>
      <c r="D94" s="77">
        <f>_xll.qlSabrVolatility($B94,$C$2,$C$3,D$6,D$7,D$8,D$9,TRUE)</f>
        <v>1.1456791622502228E-2</v>
      </c>
      <c r="E94" s="77">
        <f>_xll.qlSabrVolatility($B94,$C$2,$C$3,E$6,E$7,E$8,E$9,TRUE)</f>
        <v>1.4581688074496743E-2</v>
      </c>
      <c r="F94" s="77">
        <f>_xll.qlSabrVolatility($B94,$C$2,$C$3,F$6,F$7,F$8,F$9,TRUE)</f>
        <v>1.7630833597319703E-2</v>
      </c>
      <c r="H94" s="84">
        <f>_xll.qlBachelier($C$2,$B94,C94,$C$3,1)</f>
        <v>6.9150233409141304E-4</v>
      </c>
      <c r="I94" s="84">
        <f>_xll.qlBachelier($C$2,$B94,D94,$C$3,1)</f>
        <v>1.196042756723496E-3</v>
      </c>
      <c r="J94" s="84">
        <f>_xll.qlBachelier($C$2,$B94,E94,$C$3,1)</f>
        <v>2.6545630716339171E-3</v>
      </c>
      <c r="K94" s="84">
        <f>_xll.qlBachelier($C$2,$B94,F94,$C$3,1)</f>
        <v>4.4372616469388945E-3</v>
      </c>
      <c r="M94" s="85">
        <f t="shared" si="2"/>
        <v>6.0034658689164342</v>
      </c>
      <c r="N94" s="85">
        <f t="shared" si="2"/>
        <v>5.2537351551478872</v>
      </c>
      <c r="O94" s="85">
        <f t="shared" si="2"/>
        <v>2.8613433851742922</v>
      </c>
      <c r="P94" s="85">
        <f t="shared" si="2"/>
        <v>2.0094042119797209</v>
      </c>
    </row>
    <row r="95" spans="2:16">
      <c r="B95" s="74">
        <v>8.4000000000000005E-2</v>
      </c>
      <c r="C95" s="77">
        <f>_xll.qlSabrVolatility($B95,$C$2,$C$3,C$6,C$7,C$8,C$9,TRUE)</f>
        <v>9.997276683076076E-3</v>
      </c>
      <c r="D95" s="77">
        <f>_xll.qlSabrVolatility($B95,$C$2,$C$3,D$6,D$7,D$8,D$9,TRUE)</f>
        <v>1.1495871565708204E-2</v>
      </c>
      <c r="E95" s="77">
        <f>_xll.qlSabrVolatility($B95,$C$2,$C$3,E$6,E$7,E$8,E$9,TRUE)</f>
        <v>1.4757106874764022E-2</v>
      </c>
      <c r="F95" s="77">
        <f>_xll.qlSabrVolatility($B95,$C$2,$C$3,F$6,F$7,F$8,F$9,TRUE)</f>
        <v>1.7850268036133755E-2</v>
      </c>
      <c r="H95" s="84">
        <f>_xll.qlBachelier($C$2,$B95,C95,$C$3,1)</f>
        <v>6.2449612052449966E-4</v>
      </c>
      <c r="I95" s="84">
        <f>_xll.qlBachelier($C$2,$B95,D95,$C$3,1)</f>
        <v>1.115028510116673E-3</v>
      </c>
      <c r="J95" s="84">
        <f>_xll.qlBachelier($C$2,$B95,E95,$C$3,1)</f>
        <v>2.5938903621281805E-3</v>
      </c>
      <c r="K95" s="84">
        <f>_xll.qlBachelier($C$2,$B95,F95,$C$3,1)</f>
        <v>4.3750954359886539E-3</v>
      </c>
      <c r="M95" s="85">
        <f t="shared" si="2"/>
        <v>5.6143324155817353</v>
      </c>
      <c r="N95" s="85">
        <f t="shared" si="2"/>
        <v>4.9797730648543173</v>
      </c>
      <c r="O95" s="85">
        <f t="shared" si="2"/>
        <v>2.6807373942148249</v>
      </c>
      <c r="P95" s="85">
        <f t="shared" si="2"/>
        <v>1.9135886920327061</v>
      </c>
    </row>
    <row r="96" spans="2:16">
      <c r="B96" s="74">
        <v>8.5000000000000006E-2</v>
      </c>
      <c r="C96" s="77">
        <f>_xll.qlSabrVolatility($B96,$C$2,$C$3,C$6,C$7,C$8,C$9,TRUE)</f>
        <v>9.9972837520109614E-3</v>
      </c>
      <c r="D96" s="77">
        <f>_xll.qlSabrVolatility($B96,$C$2,$C$3,D$6,D$7,D$8,D$9,TRUE)</f>
        <v>1.1534717839013792E-2</v>
      </c>
      <c r="E96" s="77">
        <f>_xll.qlSabrVolatility($B96,$C$2,$C$3,E$6,E$7,E$8,E$9,TRUE)</f>
        <v>1.4932827955510184E-2</v>
      </c>
      <c r="F96" s="77">
        <f>_xll.qlSabrVolatility($B96,$C$2,$C$3,F$6,F$7,F$8,F$9,TRUE)</f>
        <v>1.8068980304171652E-2</v>
      </c>
      <c r="H96" s="84">
        <f>_xll.qlBachelier($C$2,$B96,C96,$C$3,1)</f>
        <v>5.6310423937316802E-4</v>
      </c>
      <c r="I96" s="84">
        <f>_xll.qlBachelier($C$2,$B96,D96,$C$3,1)</f>
        <v>1.0389940365747043E-3</v>
      </c>
      <c r="J96" s="84">
        <f>_xll.qlBachelier($C$2,$B96,E96,$C$3,1)</f>
        <v>2.5358983900166587E-3</v>
      </c>
      <c r="K96" s="84">
        <f>_xll.qlBachelier($C$2,$B96,F96,$C$3,1)</f>
        <v>4.314842813730446E-3</v>
      </c>
      <c r="M96" s="85">
        <f t="shared" si="2"/>
        <v>5.2399303493631315</v>
      </c>
      <c r="N96" s="85">
        <f t="shared" si="2"/>
        <v>4.7163081057823595</v>
      </c>
      <c r="O96" s="85">
        <f t="shared" si="2"/>
        <v>2.5142166878806784</v>
      </c>
      <c r="P96" s="85">
        <f t="shared" si="2"/>
        <v>1.8238292480580189</v>
      </c>
    </row>
    <row r="97" spans="2:16">
      <c r="B97" s="74">
        <v>8.5999999999999993E-2</v>
      </c>
      <c r="C97" s="77">
        <f>_xll.qlSabrVolatility($B97,$C$2,$C$3,C$6,C$7,C$8,C$9,TRUE)</f>
        <v>9.9972907596791935E-3</v>
      </c>
      <c r="D97" s="77">
        <f>_xll.qlSabrVolatility($B97,$C$2,$C$3,D$6,D$7,D$8,D$9,TRUE)</f>
        <v>1.1573334584252127E-2</v>
      </c>
      <c r="E97" s="77">
        <f>_xll.qlSabrVolatility($B97,$C$2,$C$3,E$6,E$7,E$8,E$9,TRUE)</f>
        <v>1.5108801350623671E-2</v>
      </c>
      <c r="F97" s="77">
        <f>_xll.qlSabrVolatility($B97,$C$2,$C$3,F$6,F$7,F$8,F$9,TRUE)</f>
        <v>1.8286981540586826E-2</v>
      </c>
      <c r="H97" s="84">
        <f>_xll.qlBachelier($C$2,$B97,C97,$C$3,1)</f>
        <v>5.0695228857119945E-4</v>
      </c>
      <c r="I97" s="84">
        <f>_xll.qlBachelier($C$2,$B97,D97,$C$3,1)</f>
        <v>9.6767587113851796E-4</v>
      </c>
      <c r="J97" s="84">
        <f>_xll.qlBachelier($C$2,$B97,E97,$C$3,1)</f>
        <v>2.4804206345930176E-3</v>
      </c>
      <c r="K97" s="84">
        <f>_xll.qlBachelier($C$2,$B97,F97,$C$3,1)</f>
        <v>4.2564140207202962E-3</v>
      </c>
      <c r="M97" s="85">
        <f t="shared" si="2"/>
        <v>4.880723694533688</v>
      </c>
      <c r="N97" s="85">
        <f t="shared" si="2"/>
        <v>4.4632570462234593</v>
      </c>
      <c r="O97" s="85">
        <f t="shared" si="2"/>
        <v>2.36052319434451</v>
      </c>
      <c r="P97" s="85">
        <f t="shared" si="2"/>
        <v>1.7396545038380342</v>
      </c>
    </row>
    <row r="98" spans="2:16">
      <c r="B98" s="74">
        <v>8.6999999999999994E-2</v>
      </c>
      <c r="C98" s="77">
        <f>_xll.qlSabrVolatility($B98,$C$2,$C$3,C$6,C$7,C$8,C$9,TRUE)</f>
        <v>9.9972977072510221E-3</v>
      </c>
      <c r="D98" s="77">
        <f>_xll.qlSabrVolatility($B98,$C$2,$C$3,D$6,D$7,D$8,D$9,TRUE)</f>
        <v>1.1611725822358115E-2</v>
      </c>
      <c r="E98" s="77">
        <f>_xll.qlSabrVolatility($B98,$C$2,$C$3,E$6,E$7,E$8,E$9,TRUE)</f>
        <v>1.5284981861731863E-2</v>
      </c>
      <c r="F98" s="77">
        <f>_xll.qlSabrVolatility($B98,$C$2,$C$3,F$6,F$7,F$8,F$9,TRUE)</f>
        <v>1.8504282851652357E-2</v>
      </c>
      <c r="H98" s="84">
        <f>_xll.qlBachelier($C$2,$B98,C98,$C$3,1)</f>
        <v>4.5568106146376451E-4</v>
      </c>
      <c r="I98" s="84">
        <f>_xll.qlBachelier($C$2,$B98,D98,$C$3,1)</f>
        <v>9.0082096274855502E-4</v>
      </c>
      <c r="J98" s="84">
        <f>_xll.qlBachelier($C$2,$B98,E98,$C$3,1)</f>
        <v>2.4273034023637209E-3</v>
      </c>
      <c r="K98" s="84">
        <f>_xll.qlBachelier($C$2,$B98,F98,$C$3,1)</f>
        <v>4.1997248822139843E-3</v>
      </c>
      <c r="M98" s="85">
        <f t="shared" si="2"/>
        <v>4.5370571486221847</v>
      </c>
      <c r="N98" s="85">
        <f t="shared" si="2"/>
        <v>4.2205052898950788</v>
      </c>
      <c r="O98" s="85">
        <f t="shared" si="2"/>
        <v>2.2185197026342336</v>
      </c>
      <c r="P98" s="85">
        <f t="shared" si="2"/>
        <v>1.6606362047179271</v>
      </c>
    </row>
    <row r="99" spans="2:16">
      <c r="B99" s="74">
        <v>8.7999999999999995E-2</v>
      </c>
      <c r="C99" s="77">
        <f>_xll.qlSabrVolatility($B99,$C$2,$C$3,C$6,C$7,C$8,C$9,TRUE)</f>
        <v>9.9973045958782619E-3</v>
      </c>
      <c r="D99" s="77">
        <f>_xll.qlSabrVolatility($B99,$C$2,$C$3,D$6,D$7,D$8,D$9,TRUE)</f>
        <v>1.1649895458241136E-2</v>
      </c>
      <c r="E99" s="77">
        <f>_xll.qlSabrVolatility($B99,$C$2,$C$3,E$6,E$7,E$8,E$9,TRUE)</f>
        <v>1.5461328589382079E-2</v>
      </c>
      <c r="F99" s="77">
        <f>_xll.qlSabrVolatility($B99,$C$2,$C$3,F$6,F$7,F$8,F$9,TRUE)</f>
        <v>1.8720895277809343E-2</v>
      </c>
      <c r="H99" s="84">
        <f>_xll.qlBachelier($C$2,$B99,C99,$C$3,1)</f>
        <v>4.0894689150495177E-4</v>
      </c>
      <c r="I99" s="84">
        <f>_xll.qlBachelier($C$2,$B99,D99,$C$3,1)</f>
        <v>8.3818655964848715E-4</v>
      </c>
      <c r="J99" s="84">
        <f>_xll.qlBachelier($C$2,$B99,E99,$C$3,1)</f>
        <v>2.3764046898370585E-3</v>
      </c>
      <c r="K99" s="84">
        <f>_xll.qlBachelier($C$2,$B99,F99,$C$3,1)</f>
        <v>4.1446963799123904E-3</v>
      </c>
      <c r="M99" s="85">
        <f t="shared" si="2"/>
        <v>4.2091615833185756</v>
      </c>
      <c r="N99" s="85">
        <f t="shared" si="2"/>
        <v>3.987910150540865</v>
      </c>
      <c r="O99" s="85">
        <f t="shared" si="2"/>
        <v>2.0871783094995493</v>
      </c>
      <c r="P99" s="85">
        <f t="shared" si="2"/>
        <v>1.5863847328875078</v>
      </c>
    </row>
    <row r="100" spans="2:16">
      <c r="B100" s="74">
        <v>8.8999999999999996E-2</v>
      </c>
      <c r="C100" s="77">
        <f>_xll.qlSabrVolatility($B100,$C$2,$C$3,C$6,C$7,C$8,C$9,TRUE)</f>
        <v>9.9973114266536638E-3</v>
      </c>
      <c r="D100" s="77">
        <f>_xll.qlSabrVolatility($B100,$C$2,$C$3,D$6,D$7,D$8,D$9,TRUE)</f>
        <v>1.1687847285375585E-2</v>
      </c>
      <c r="E100" s="77">
        <f>_xll.qlSabrVolatility($B100,$C$2,$C$3,E$6,E$7,E$8,E$9,TRUE)</f>
        <v>1.5637804512481489E-2</v>
      </c>
      <c r="F100" s="77">
        <f>_xll.qlSabrVolatility($B100,$C$2,$C$3,F$6,F$7,F$8,F$9,TRUE)</f>
        <v>1.8936829766440243E-2</v>
      </c>
      <c r="H100" s="84">
        <f>_xll.qlBachelier($C$2,$B100,C100,$C$3,1)</f>
        <v>3.664218831294576E-4</v>
      </c>
      <c r="I100" s="84">
        <f>_xll.qlBachelier($C$2,$B100,D100,$C$3,1)</f>
        <v>7.7954006669896016E-4</v>
      </c>
      <c r="J100" s="84">
        <f>_xll.qlBachelier($C$2,$B100,E100,$C$3,1)</f>
        <v>2.3275931556198956E-3</v>
      </c>
      <c r="K100" s="84">
        <f>_xll.qlBachelier($C$2,$B100,F100,$C$3,1)</f>
        <v>4.091254262343684E-3</v>
      </c>
      <c r="M100" s="85">
        <f t="shared" si="2"/>
        <v>3.8971603064574394</v>
      </c>
      <c r="N100" s="85">
        <f t="shared" si="2"/>
        <v>3.765303997184815</v>
      </c>
      <c r="O100" s="85">
        <f t="shared" si="2"/>
        <v>1.9655697895259274</v>
      </c>
      <c r="P100" s="85">
        <f t="shared" si="2"/>
        <v>1.5165451388533437</v>
      </c>
    </row>
    <row r="101" spans="2:16">
      <c r="B101" s="74">
        <v>0.09</v>
      </c>
      <c r="C101" s="77">
        <f>_xll.qlSabrVolatility($B101,$C$2,$C$3,C$6,C$7,C$8,C$9,TRUE)</f>
        <v>9.9973182006540973E-3</v>
      </c>
      <c r="D101" s="77">
        <f>_xll.qlSabrVolatility($B101,$C$2,$C$3,D$6,D$7,D$8,D$9,TRUE)</f>
        <v>1.1725584990238043E-2</v>
      </c>
      <c r="E101" s="77">
        <f>_xll.qlSabrVolatility($B101,$C$2,$C$3,E$6,E$7,E$8,E$9,TRUE)</f>
        <v>1.581437611101285E-2</v>
      </c>
      <c r="F101" s="77">
        <f>_xll.qlSabrVolatility($B101,$C$2,$C$3,F$6,F$7,F$8,F$9,TRUE)</f>
        <v>1.9152097149504964E-2</v>
      </c>
      <c r="H101" s="84">
        <f>_xll.qlBachelier($C$2,$B101,C101,$C$3,1)</f>
        <v>3.2779403506042089E-4</v>
      </c>
      <c r="I101" s="84">
        <f>_xll.qlBachelier($C$2,$B101,D101,$C$3,1)</f>
        <v>7.24658877746618E-4</v>
      </c>
      <c r="J101" s="84">
        <f>_xll.qlBachelier($C$2,$B101,E101,$C$3,1)</f>
        <v>2.2807471911922587E-3</v>
      </c>
      <c r="K101" s="84">
        <f>_xll.qlBachelier($C$2,$B101,F101,$C$3,1)</f>
        <v>4.0393286899138309E-3</v>
      </c>
      <c r="M101" s="85">
        <f t="shared" si="2"/>
        <v>3.601075848551603</v>
      </c>
      <c r="N101" s="85">
        <f t="shared" si="2"/>
        <v>3.5524971738645532</v>
      </c>
      <c r="O101" s="85">
        <f t="shared" si="2"/>
        <v>1.8528538775226082</v>
      </c>
      <c r="P101" s="85">
        <f t="shared" si="2"/>
        <v>1.4507936257519811</v>
      </c>
    </row>
    <row r="102" spans="2:16">
      <c r="B102" s="74">
        <v>9.0999999999999998E-2</v>
      </c>
      <c r="C102" s="77">
        <f>_xll.qlSabrVolatility($B102,$C$2,$C$3,C$6,C$7,C$8,C$9,TRUE)</f>
        <v>9.9973249189097453E-3</v>
      </c>
      <c r="D102" s="77">
        <f>_xll.qlSabrVolatility($B102,$C$2,$C$3,D$6,D$7,D$8,D$9,TRUE)</f>
        <v>1.1763112156480194E-2</v>
      </c>
      <c r="E102" s="77">
        <f>_xll.qlSabrVolatility($B102,$C$2,$C$3,E$6,E$7,E$8,E$9,TRUE)</f>
        <v>1.5991013027507151E-2</v>
      </c>
      <c r="F102" s="77">
        <f>_xll.qlSabrVolatility($B102,$C$2,$C$3,F$6,F$7,F$8,F$9,TRUE)</f>
        <v>1.936670812530928E-2</v>
      </c>
      <c r="H102" s="84">
        <f>_xll.qlBachelier($C$2,$B102,C102,$C$3,1)</f>
        <v>2.9276726283993578E-4</v>
      </c>
      <c r="I102" s="84">
        <f>_xll.qlBachelier($C$2,$B102,D102,$C$3,1)</f>
        <v>6.7333018596814039E-4</v>
      </c>
      <c r="J102" s="84">
        <f>_xll.qlBachelier($C$2,$B102,E102,$C$3,1)</f>
        <v>2.2357540806421444E-3</v>
      </c>
      <c r="K102" s="84">
        <f>_xll.qlBachelier($C$2,$B102,F102,$C$3,1)</f>
        <v>3.9888539111097299E-3</v>
      </c>
      <c r="M102" s="85">
        <f t="shared" si="2"/>
        <v>3.3208372817539216</v>
      </c>
      <c r="N102" s="85">
        <f t="shared" si="2"/>
        <v>3.3492808260504887</v>
      </c>
      <c r="O102" s="85">
        <f t="shared" si="2"/>
        <v>1.7482704309625434</v>
      </c>
      <c r="P102" s="85">
        <f t="shared" si="2"/>
        <v>1.3888344297992963</v>
      </c>
    </row>
    <row r="103" spans="2:16">
      <c r="B103" s="74">
        <v>9.1999999999999998E-2</v>
      </c>
      <c r="C103" s="77">
        <f>_xll.qlSabrVolatility($B103,$C$2,$C$3,C$6,C$7,C$8,C$9,TRUE)</f>
        <v>9.9973315824305881E-3</v>
      </c>
      <c r="D103" s="77">
        <f>_xll.qlSabrVolatility($B103,$C$2,$C$3,D$6,D$7,D$8,D$9,TRUE)</f>
        <v>1.1800432268911332E-2</v>
      </c>
      <c r="E103" s="77">
        <f>_xll.qlSabrVolatility($B103,$C$2,$C$3,E$6,E$7,E$8,E$9,TRUE)</f>
        <v>1.6167687763194494E-2</v>
      </c>
      <c r="F103" s="77">
        <f>_xll.qlSabrVolatility($B103,$C$2,$C$3,F$6,F$7,F$8,F$9,TRUE)</f>
        <v>1.9580673243785297E-2</v>
      </c>
      <c r="H103" s="84">
        <f>_xll.qlBachelier($C$2,$B103,C103,$C$3,1)</f>
        <v>2.610613279012046E-4</v>
      </c>
      <c r="I103" s="84">
        <f>_xll.qlBachelier($C$2,$B103,D103,$C$3,1)</f>
        <v>6.2535077501571328E-4</v>
      </c>
      <c r="J103" s="84">
        <f>_xll.qlBachelier($C$2,$B103,E103,$C$3,1)</f>
        <v>2.1925092405229926E-3</v>
      </c>
      <c r="K103" s="84">
        <f>_xll.qlBachelier($C$2,$B103,F103,$C$3,1)</f>
        <v>3.9397679667354281E-3</v>
      </c>
      <c r="M103" s="85">
        <f t="shared" si="2"/>
        <v>3.0562878454516573</v>
      </c>
      <c r="N103" s="85">
        <f t="shared" si="2"/>
        <v>3.1554295295836812</v>
      </c>
      <c r="O103" s="85">
        <f t="shared" si="2"/>
        <v>1.6511314239473256</v>
      </c>
      <c r="P103" s="85">
        <f t="shared" si="2"/>
        <v>1.3303970484643244</v>
      </c>
    </row>
    <row r="104" spans="2:16">
      <c r="B104" s="74">
        <v>9.2999999999999999E-2</v>
      </c>
      <c r="C104" s="77">
        <f>_xll.qlSabrVolatility($B104,$C$2,$C$3,C$6,C$7,C$8,C$9,TRUE)</f>
        <v>9.99733819221112E-3</v>
      </c>
      <c r="D104" s="77">
        <f>_xll.qlSabrVolatility($B104,$C$2,$C$3,D$6,D$7,D$8,D$9,TRUE)</f>
        <v>1.1837548717225053E-2</v>
      </c>
      <c r="E104" s="77">
        <f>_xll.qlSabrVolatility($B104,$C$2,$C$3,E$6,E$7,E$8,E$9,TRUE)</f>
        <v>1.6344375405164077E-2</v>
      </c>
      <c r="F104" s="77">
        <f>_xll.qlSabrVolatility($B104,$C$2,$C$3,F$6,F$7,F$8,F$9,TRUE)</f>
        <v>1.979400289475659E-2</v>
      </c>
      <c r="H104" s="84">
        <f>_xll.qlBachelier($C$2,$B104,C104,$C$3,1)</f>
        <v>2.3241168080792509E-4</v>
      </c>
      <c r="I104" s="84">
        <f>_xll.qlBachelier($C$2,$B104,D104,$C$3,1)</f>
        <v>5.8052679359286985E-4</v>
      </c>
      <c r="J104" s="84">
        <f>_xll.qlBachelier($C$2,$B104,E104,$C$3,1)</f>
        <v>2.1509155318277882E-3</v>
      </c>
      <c r="K104" s="84">
        <f>_xll.qlBachelier($C$2,$B104,F104,$C$3,1)</f>
        <v>3.8920124194095906E-3</v>
      </c>
      <c r="M104" s="85">
        <f t="shared" si="2"/>
        <v>2.8071928240645057</v>
      </c>
      <c r="N104" s="85">
        <f t="shared" si="2"/>
        <v>2.9707038277340789</v>
      </c>
      <c r="O104" s="85">
        <f t="shared" si="2"/>
        <v>1.5608137176265398</v>
      </c>
      <c r="P104" s="85">
        <f t="shared" si="2"/>
        <v>1.2752337735510964</v>
      </c>
    </row>
    <row r="105" spans="2:16">
      <c r="B105" s="74">
        <v>9.4E-2</v>
      </c>
      <c r="C105" s="77">
        <f>_xll.qlSabrVolatility($B105,$C$2,$C$3,C$6,C$7,C$8,C$9,TRUE)</f>
        <v>9.9973447491915508E-3</v>
      </c>
      <c r="D105" s="77">
        <f>_xll.qlSabrVolatility($B105,$C$2,$C$3,D$6,D$7,D$8,D$9,TRUE)</f>
        <v>1.1874464799666784E-2</v>
      </c>
      <c r="E105" s="77">
        <f>_xll.qlSabrVolatility($B105,$C$2,$C$3,E$6,E$7,E$8,E$9,TRUE)</f>
        <v>1.6521053381243024E-2</v>
      </c>
      <c r="F105" s="77">
        <f>_xll.qlSabrVolatility($B105,$C$2,$C$3,F$6,F$7,F$8,F$9,TRUE)</f>
        <v>2.0006707298738002E-2</v>
      </c>
      <c r="H105" s="84">
        <f>_xll.qlBachelier($C$2,$B105,C105,$C$3,1)</f>
        <v>2.0656922653871008E-4</v>
      </c>
      <c r="I105" s="84">
        <f>_xll.qlBachelier($C$2,$B105,D105,$C$3,1)</f>
        <v>5.3867351599776051E-4</v>
      </c>
      <c r="J105" s="84">
        <f>_xll.qlBachelier($C$2,$B105,E105,$C$3,1)</f>
        <v>2.1108826368502103E-3</v>
      </c>
      <c r="K105" s="84">
        <f>_xll.qlBachelier($C$2,$B105,F105,$C$3,1)</f>
        <v>3.8455321058573043E-3</v>
      </c>
      <c r="M105" s="85">
        <f t="shared" si="2"/>
        <v>2.5732475722492265</v>
      </c>
      <c r="N105" s="85">
        <f t="shared" si="2"/>
        <v>2.7948524912143076</v>
      </c>
      <c r="O105" s="85">
        <f t="shared" si="2"/>
        <v>1.4767525468367306</v>
      </c>
      <c r="P105" s="85">
        <f t="shared" si="2"/>
        <v>1.2231174935277747</v>
      </c>
    </row>
    <row r="106" spans="2:16">
      <c r="B106" s="74">
        <v>9.5000000000000001E-2</v>
      </c>
      <c r="C106" s="77">
        <f>_xll.qlSabrVolatility($B106,$C$2,$C$3,C$6,C$7,C$8,C$9,TRUE)</f>
        <v>9.9973512543129976E-3</v>
      </c>
      <c r="D106" s="77">
        <f>_xll.qlSabrVolatility($B106,$C$2,$C$3,D$6,D$7,D$8,D$9,TRUE)</f>
        <v>1.1911183726375967E-2</v>
      </c>
      <c r="E106" s="77">
        <f>_xll.qlSabrVolatility($B106,$C$2,$C$3,E$6,E$7,E$8,E$9,TRUE)</f>
        <v>1.6697701239648931E-2</v>
      </c>
      <c r="F106" s="77">
        <f>_xll.qlSabrVolatility($B106,$C$2,$C$3,F$6,F$7,F$8,F$9,TRUE)</f>
        <v>2.0218796499887785E-2</v>
      </c>
      <c r="H106" s="84">
        <f>_xll.qlBachelier($C$2,$B106,C106,$C$3,1)</f>
        <v>1.8330001984174431E-4</v>
      </c>
      <c r="I106" s="84">
        <f>_xll.qlBachelier($C$2,$B106,D106,$C$3,1)</f>
        <v>4.9961509089386548E-4</v>
      </c>
      <c r="J106" s="84">
        <f>_xll.qlBachelier($C$2,$B106,E106,$C$3,1)</f>
        <v>2.0723264944194691E-3</v>
      </c>
      <c r="K106" s="84">
        <f>_xll.qlBachelier($C$2,$B106,F106,$C$3,1)</f>
        <v>3.8002749097985457E-3</v>
      </c>
      <c r="M106" s="85">
        <f t="shared" si="2"/>
        <v>2.3540855167708368</v>
      </c>
      <c r="N106" s="85">
        <f t="shared" si="2"/>
        <v>2.6276147653725559</v>
      </c>
      <c r="O106" s="85">
        <f t="shared" si="2"/>
        <v>1.3984356629853967</v>
      </c>
      <c r="P106" s="85">
        <f t="shared" si="2"/>
        <v>1.1738397328025347</v>
      </c>
    </row>
    <row r="107" spans="2:16">
      <c r="B107" s="74">
        <v>9.6000000000000002E-2</v>
      </c>
      <c r="C107" s="77">
        <f>_xll.qlSabrVolatility($B107,$C$2,$C$3,C$6,C$7,C$8,C$9,TRUE)</f>
        <v>9.9973577084665616E-3</v>
      </c>
      <c r="D107" s="77">
        <f>_xll.qlSabrVolatility($B107,$C$2,$C$3,D$6,D$7,D$8,D$9,TRUE)</f>
        <v>1.1947708622721407E-2</v>
      </c>
      <c r="E107" s="77">
        <f>_xll.qlSabrVolatility($B107,$C$2,$C$3,E$6,E$7,E$8,E$9,TRUE)</f>
        <v>1.6874300450784536E-2</v>
      </c>
      <c r="F107" s="77">
        <f>_xll.qlSabrVolatility($B107,$C$2,$C$3,F$6,F$7,F$8,F$9,TRUE)</f>
        <v>2.0430280360785886E-2</v>
      </c>
      <c r="H107" s="84">
        <f>_xll.qlBachelier($C$2,$B107,C107,$C$3,1)</f>
        <v>1.6238489866154937E-4</v>
      </c>
      <c r="I107" s="84">
        <f>_xll.qlBachelier($C$2,$B107,D107,$C$3,1)</f>
        <v>4.6318428055534301E-4</v>
      </c>
      <c r="J107" s="84">
        <f>_xll.qlBachelier($C$2,$B107,E107,$C$3,1)</f>
        <v>2.0351687876517133E-3</v>
      </c>
      <c r="K107" s="84">
        <f>_xll.qlBachelier($C$2,$B107,F107,$C$3,1)</f>
        <v>3.7561915534725897E-3</v>
      </c>
      <c r="M107" s="85">
        <f t="shared" si="2"/>
        <v>2.1492861453086252</v>
      </c>
      <c r="N107" s="85">
        <f t="shared" si="2"/>
        <v>2.4687223131754581</v>
      </c>
      <c r="O107" s="85">
        <f t="shared" si="2"/>
        <v>1.3253980743442559</v>
      </c>
      <c r="P107" s="85">
        <f t="shared" si="2"/>
        <v>1.1272088987698805</v>
      </c>
    </row>
    <row r="108" spans="2:16">
      <c r="B108" s="74">
        <v>9.7000000000000003E-2</v>
      </c>
      <c r="C108" s="77">
        <f>_xll.qlSabrVolatility($B108,$C$2,$C$3,C$6,C$7,C$8,C$9,TRUE)</f>
        <v>9.9973641125339213E-3</v>
      </c>
      <c r="D108" s="77">
        <f>_xll.qlSabrVolatility($B108,$C$2,$C$3,D$6,D$7,D$8,D$9,TRUE)</f>
        <v>1.1984042532328633E-2</v>
      </c>
      <c r="E108" s="77">
        <f>_xll.qlSabrVolatility($B108,$C$2,$C$3,E$6,E$7,E$8,E$9,TRUE)</f>
        <v>1.7050834228826178E-2</v>
      </c>
      <c r="F108" s="77">
        <f>_xll.qlSabrVolatility($B108,$C$2,$C$3,F$6,F$7,F$8,F$9,TRUE)</f>
        <v>2.0641168558758746E-2</v>
      </c>
      <c r="H108" s="84">
        <f>_xll.qlBachelier($C$2,$B108,C108,$C$3,1)</f>
        <v>1.4361906362666307E-4</v>
      </c>
      <c r="I108" s="84">
        <f>_xll.qlBachelier($C$2,$B108,D108,$C$3,1)</f>
        <v>4.2922219252999601E-4</v>
      </c>
      <c r="J108" s="84">
        <f>_xll.qlBachelier($C$2,$B108,E108,$C$3,1)</f>
        <v>1.9993364789583018E-3</v>
      </c>
      <c r="K108" s="84">
        <f>_xll.qlBachelier($C$2,$B108,F108,$C$3,1)</f>
        <v>3.7132354060454035E-3</v>
      </c>
      <c r="M108" s="85">
        <f t="shared" si="2"/>
        <v>1.9583827939209442</v>
      </c>
      <c r="N108" s="85">
        <f t="shared" si="2"/>
        <v>2.3179011401635141</v>
      </c>
      <c r="O108" s="85">
        <f t="shared" si="2"/>
        <v>1.2572173273299088</v>
      </c>
      <c r="P108" s="85">
        <f t="shared" si="2"/>
        <v>1.0830487138704221</v>
      </c>
    </row>
    <row r="109" spans="2:16">
      <c r="B109" s="74">
        <v>9.8000000000000004E-2</v>
      </c>
      <c r="C109" s="77">
        <f>_xll.qlSabrVolatility($B109,$C$2,$C$3,C$6,C$7,C$8,C$9,TRUE)</f>
        <v>9.9973704673742992E-3</v>
      </c>
      <c r="D109" s="77">
        <f>_xll.qlSabrVolatility($B109,$C$2,$C$3,D$6,D$7,D$8,D$9,TRUE)</f>
        <v>1.2020188420089496E-2</v>
      </c>
      <c r="E109" s="77">
        <f>_xll.qlSabrVolatility($B109,$C$2,$C$3,E$6,E$7,E$8,E$9,TRUE)</f>
        <v>1.7227287371012305E-2</v>
      </c>
      <c r="F109" s="77">
        <f>_xll.qlSabrVolatility($B109,$C$2,$C$3,F$6,F$7,F$8,F$9,TRUE)</f>
        <v>2.0851470583512065E-2</v>
      </c>
      <c r="H109" s="84">
        <f>_xll.qlBachelier($C$2,$B109,C109,$C$3,1)</f>
        <v>1.2681161138569771E-4</v>
      </c>
      <c r="I109" s="84">
        <f>_xll.qlBachelier($C$2,$B109,D109,$C$3,1)</f>
        <v>3.9757800564481252E-4</v>
      </c>
      <c r="J109" s="84">
        <f>_xll.qlBachelier($C$2,$B109,E109,$C$3,1)</f>
        <v>1.9647613875922202E-3</v>
      </c>
      <c r="K109" s="84">
        <f>_xll.qlBachelier($C$2,$B109,F109,$C$3,1)</f>
        <v>3.6713623073320878E-3</v>
      </c>
      <c r="M109" s="85">
        <f t="shared" si="2"/>
        <v>1.780870231179269</v>
      </c>
      <c r="N109" s="85">
        <f t="shared" si="2"/>
        <v>2.1748732670788402</v>
      </c>
      <c r="O109" s="85">
        <f t="shared" si="2"/>
        <v>1.1935092759651744</v>
      </c>
      <c r="P109" s="85">
        <f t="shared" si="2"/>
        <v>1.0411968111899756</v>
      </c>
    </row>
    <row r="110" spans="2:16">
      <c r="B110" s="74">
        <v>9.9000000000000005E-2</v>
      </c>
      <c r="C110" s="77">
        <f>_xll.qlSabrVolatility($B110,$C$2,$C$3,C$6,C$7,C$8,C$9,TRUE)</f>
        <v>9.997376773815311E-3</v>
      </c>
      <c r="D110" s="77">
        <f>_xll.qlSabrVolatility($B110,$C$2,$C$3,D$6,D$7,D$8,D$9,TRUE)</f>
        <v>1.2056149174986413E-2</v>
      </c>
      <c r="E110" s="77">
        <f>_xll.qlSabrVolatility($B110,$C$2,$C$3,E$6,E$7,E$8,E$9,TRUE)</f>
        <v>1.7403646112765729E-2</v>
      </c>
      <c r="F110" s="77">
        <f>_xll.qlSabrVolatility($B110,$C$2,$C$3,F$6,F$7,F$8,F$9,TRUE)</f>
        <v>2.1061195735868621E-2</v>
      </c>
      <c r="H110" s="84">
        <f>_xll.qlBachelier($C$2,$B110,C110,$C$3,1)</f>
        <v>1.1178502937591163E-4</v>
      </c>
      <c r="I110" s="84">
        <f>_xll.qlBachelier($C$2,$B110,D110,$C$3,1)</f>
        <v>3.6810869202670788E-4</v>
      </c>
      <c r="J110" s="84">
        <f>_xll.qlBachelier($C$2,$B110,E110,$C$3,1)</f>
        <v>1.9313798055021038E-3</v>
      </c>
      <c r="K110" s="84">
        <f>_xll.qlBachelier($C$2,$B110,F110,$C$3,1)</f>
        <v>3.630530405429962E-3</v>
      </c>
      <c r="M110" s="85">
        <f t="shared" si="2"/>
        <v>1.6162119372094981</v>
      </c>
      <c r="N110" s="85">
        <f t="shared" si="2"/>
        <v>2.0393583033400229</v>
      </c>
      <c r="O110" s="85">
        <f t="shared" si="2"/>
        <v>1.1339242908751219</v>
      </c>
      <c r="P110" s="85">
        <f t="shared" si="2"/>
        <v>1.001503473159469</v>
      </c>
    </row>
    <row r="111" spans="2:16">
      <c r="B111" s="75">
        <v>0.1</v>
      </c>
      <c r="C111" s="78">
        <f>_xll.qlSabrVolatility($B111,$C$2,$C$3,C$6,C$7,C$8,C$9,TRUE)</f>
        <v>9.9973830326648902E-3</v>
      </c>
      <c r="D111" s="78">
        <f>_xll.qlSabrVolatility($B111,$C$2,$C$3,D$6,D$7,D$8,D$9,TRUE)</f>
        <v>1.2091927612753692E-2</v>
      </c>
      <c r="E111" s="78">
        <f>_xll.qlSabrVolatility($B111,$C$2,$C$3,E$6,E$7,E$8,E$9,TRUE)</f>
        <v>1.7579897996987809E-2</v>
      </c>
      <c r="F111" s="78">
        <f>_xll.qlSabrVolatility($B111,$C$2,$C$3,F$6,F$7,F$8,F$9,TRUE)</f>
        <v>2.127035312743495E-2</v>
      </c>
      <c r="H111" s="84">
        <f>_xll.qlBachelier($C$2,$B111,C111,$C$3,1)</f>
        <v>9.8374659303335048E-5</v>
      </c>
      <c r="I111" s="84">
        <f>_xll.qlBachelier($C$2,$B111,D111,$C$3,1)</f>
        <v>3.4067873671194326E-4</v>
      </c>
      <c r="J111" s="84">
        <f>_xll.qlBachelier($C$2,$B111,E111,$C$3,1)</f>
        <v>1.8991321477028625E-3</v>
      </c>
      <c r="K111" s="84">
        <f>_xll.qlBachelier($C$2,$B111,F111,$C$3,1)</f>
        <v>3.5907000070009958E-3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V66"/>
  <sheetViews>
    <sheetView showGridLines="0" topLeftCell="A11" zoomScale="85" zoomScaleNormal="85" workbookViewId="0">
      <selection activeCell="B69" sqref="B69"/>
    </sheetView>
  </sheetViews>
  <sheetFormatPr defaultRowHeight="12.5" outlineLevelCol="1"/>
  <cols>
    <col min="1" max="1" width="5.36328125" customWidth="1"/>
    <col min="2" max="2" width="16" bestFit="1" customWidth="1"/>
    <col min="3" max="3" width="10.90625" style="164" customWidth="1"/>
    <col min="4" max="11" width="10.90625" customWidth="1" outlineLevel="1"/>
    <col min="12" max="12" width="10.81640625" customWidth="1" outlineLevel="1"/>
    <col min="13" max="21" width="10.90625" customWidth="1"/>
  </cols>
  <sheetData>
    <row r="2" spans="2:22" ht="13">
      <c r="B2" s="83" t="s">
        <v>130</v>
      </c>
    </row>
    <row r="3" spans="2:22">
      <c r="B3" s="165" t="s">
        <v>1</v>
      </c>
      <c r="C3" s="166">
        <f>_xll.qlSettingsEvaluationDate()</f>
        <v>43739</v>
      </c>
    </row>
    <row r="4" spans="2:22">
      <c r="B4" s="7" t="s">
        <v>129</v>
      </c>
      <c r="C4" s="167">
        <v>43403</v>
      </c>
    </row>
    <row r="5" spans="2:22">
      <c r="B5" s="7" t="s">
        <v>118</v>
      </c>
      <c r="C5" s="168" t="str">
        <f>YieldCurve!C3</f>
        <v>obj_00041#0013</v>
      </c>
    </row>
    <row r="6" spans="2:22">
      <c r="B6" s="7" t="s">
        <v>98</v>
      </c>
      <c r="C6" s="168" t="str">
        <f>'Projection Curve'!C5</f>
        <v>obj_00058#0013</v>
      </c>
    </row>
    <row r="7" spans="2:22">
      <c r="B7" s="169" t="s">
        <v>119</v>
      </c>
      <c r="C7" s="170" t="str">
        <f>_xll.qlEuribor(,"6m",C6)</f>
        <v>obj_0005a#0013</v>
      </c>
    </row>
    <row r="8" spans="2:22">
      <c r="C8"/>
      <c r="M8" s="164"/>
    </row>
    <row r="9" spans="2:22" ht="13">
      <c r="B9" s="83" t="s">
        <v>114</v>
      </c>
      <c r="C9" s="83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</row>
    <row r="10" spans="2:22">
      <c r="B10" s="171" t="s">
        <v>31</v>
      </c>
      <c r="C10" s="231"/>
      <c r="D10" s="173" t="s">
        <v>2</v>
      </c>
      <c r="E10" s="173" t="s">
        <v>3</v>
      </c>
      <c r="F10" s="173" t="s">
        <v>4</v>
      </c>
      <c r="G10" s="173" t="s">
        <v>5</v>
      </c>
      <c r="H10" s="173" t="s">
        <v>6</v>
      </c>
      <c r="I10" s="173" t="s">
        <v>7</v>
      </c>
      <c r="J10" s="173" t="s">
        <v>8</v>
      </c>
      <c r="K10" s="173" t="s">
        <v>9</v>
      </c>
      <c r="L10" s="174" t="s">
        <v>10</v>
      </c>
      <c r="M10" s="172" t="s">
        <v>11</v>
      </c>
      <c r="N10" s="173" t="s">
        <v>145</v>
      </c>
      <c r="O10" s="173" t="s">
        <v>12</v>
      </c>
      <c r="P10" s="173" t="s">
        <v>146</v>
      </c>
      <c r="Q10" s="173" t="s">
        <v>147</v>
      </c>
      <c r="R10" s="173" t="s">
        <v>13</v>
      </c>
      <c r="S10" s="173" t="s">
        <v>148</v>
      </c>
      <c r="T10" s="173" t="s">
        <v>149</v>
      </c>
      <c r="U10" s="173" t="s">
        <v>150</v>
      </c>
      <c r="V10" s="174" t="s">
        <v>151</v>
      </c>
    </row>
    <row r="11" spans="2:22">
      <c r="B11" s="7" t="s">
        <v>33</v>
      </c>
      <c r="C11" s="232"/>
      <c r="D11" s="176" t="s">
        <v>14</v>
      </c>
      <c r="E11" s="176" t="s">
        <v>14</v>
      </c>
      <c r="F11" s="176" t="s">
        <v>14</v>
      </c>
      <c r="G11" s="176" t="s">
        <v>14</v>
      </c>
      <c r="H11" s="176" t="s">
        <v>14</v>
      </c>
      <c r="I11" s="176" t="s">
        <v>14</v>
      </c>
      <c r="J11" s="176" t="s">
        <v>14</v>
      </c>
      <c r="K11" s="176" t="s">
        <v>14</v>
      </c>
      <c r="L11" s="177" t="s">
        <v>14</v>
      </c>
      <c r="M11" s="175" t="s">
        <v>14</v>
      </c>
      <c r="N11" s="176" t="s">
        <v>14</v>
      </c>
      <c r="O11" s="176" t="s">
        <v>14</v>
      </c>
      <c r="P11" s="176" t="s">
        <v>14</v>
      </c>
      <c r="Q11" s="176" t="s">
        <v>14</v>
      </c>
      <c r="R11" s="176" t="s">
        <v>14</v>
      </c>
      <c r="S11" s="176" t="s">
        <v>14</v>
      </c>
      <c r="T11" s="176" t="s">
        <v>14</v>
      </c>
      <c r="U11" s="176" t="s">
        <v>14</v>
      </c>
      <c r="V11" s="177" t="s">
        <v>14</v>
      </c>
    </row>
    <row r="12" spans="2:22">
      <c r="B12" s="7" t="s">
        <v>134</v>
      </c>
      <c r="C12" s="232"/>
      <c r="D12" s="179">
        <f>_xll.qlCalendarAdvance("Target",D13,"-2d","Preceding")</f>
        <v>43766</v>
      </c>
      <c r="E12" s="179">
        <f>_xll.qlCalendarAdvance("Target",E13,"-2d","Preceding")</f>
        <v>44132</v>
      </c>
      <c r="F12" s="179">
        <f>_xll.qlCalendarAdvance("Target",F13,"-2d","Preceding")</f>
        <v>44497</v>
      </c>
      <c r="G12" s="179">
        <f>_xll.qlCalendarAdvance("Target",G13,"-2d","Preceding")</f>
        <v>44861</v>
      </c>
      <c r="H12" s="179">
        <f>_xll.qlCalendarAdvance("Target",H13,"-2d","Preceding")</f>
        <v>45225</v>
      </c>
      <c r="I12" s="179">
        <f>_xll.qlCalendarAdvance("Target",I13,"-2d","Preceding")</f>
        <v>45593</v>
      </c>
      <c r="J12" s="179">
        <f>_xll.qlCalendarAdvance("Target",J13,"-2d","Preceding")</f>
        <v>45958</v>
      </c>
      <c r="K12" s="179">
        <f>_xll.qlCalendarAdvance("Target",K13,"-2d","Preceding")</f>
        <v>46323</v>
      </c>
      <c r="L12" s="180">
        <f>_xll.qlCalendarAdvance("Target",L13,"-2d","Preceding")</f>
        <v>46688</v>
      </c>
      <c r="M12" s="178">
        <f>_xll.qlCalendarAdvance("Target",M13,"-2d","Preceding")</f>
        <v>47052</v>
      </c>
      <c r="N12" s="179">
        <f>_xll.qlCalendarAdvance("Target",N13,"-2d","Preceding")</f>
        <v>47417</v>
      </c>
      <c r="O12" s="179">
        <f>_xll.qlCalendarAdvance("Target",O13,"-2d","Preceding")</f>
        <v>47784</v>
      </c>
      <c r="P12" s="179">
        <f>_xll.qlCalendarAdvance("Target",P13,"-2d","Preceding")</f>
        <v>48149</v>
      </c>
      <c r="Q12" s="179">
        <f>_xll.qlCalendarAdvance("Target",Q13,"-2d","Preceding")</f>
        <v>48515</v>
      </c>
      <c r="R12" s="179">
        <f>_xll.qlCalendarAdvance("Target",R13,"-2d","Preceding")</f>
        <v>48879</v>
      </c>
      <c r="S12" s="179">
        <f>_xll.qlCalendarAdvance("Target",S13,"-2d","Preceding")</f>
        <v>49243</v>
      </c>
      <c r="T12" s="179">
        <f>_xll.qlCalendarAdvance("Target",T13,"-2d","Preceding")</f>
        <v>49608</v>
      </c>
      <c r="U12" s="179">
        <f>_xll.qlCalendarAdvance("Target",U13,"-2d","Preceding")</f>
        <v>49976</v>
      </c>
      <c r="V12" s="180">
        <f>_xll.qlCalendarAdvance("Target",V13,"-2d","Preceding")</f>
        <v>50341</v>
      </c>
    </row>
    <row r="13" spans="2:22">
      <c r="B13" s="7" t="s">
        <v>81</v>
      </c>
      <c r="C13" s="232"/>
      <c r="D13" s="179">
        <f>_xll.qlCalendarAdvance("Target",$C$4,D10,"Unadjusted")</f>
        <v>43768</v>
      </c>
      <c r="E13" s="179">
        <f>_xll.qlCalendarAdvance("Target",$C$4,E10,"Unadjusted")</f>
        <v>44134</v>
      </c>
      <c r="F13" s="179">
        <f>_xll.qlCalendarAdvance("Target",$C$4,F10,"Unadjusted")</f>
        <v>44499</v>
      </c>
      <c r="G13" s="179">
        <f>_xll.qlCalendarAdvance("Target",$C$4,G10,"Unadjusted")</f>
        <v>44864</v>
      </c>
      <c r="H13" s="179">
        <f>_xll.qlCalendarAdvance("Target",$C$4,H10,"Unadjusted")</f>
        <v>45229</v>
      </c>
      <c r="I13" s="179">
        <f>_xll.qlCalendarAdvance("Target",$C$4,I10,"Unadjusted")</f>
        <v>45595</v>
      </c>
      <c r="J13" s="179">
        <f>_xll.qlCalendarAdvance("Target",$C$4,J10,"Unadjusted")</f>
        <v>45960</v>
      </c>
      <c r="K13" s="179">
        <f>_xll.qlCalendarAdvance("Target",$C$4,K10,"Unadjusted")</f>
        <v>46325</v>
      </c>
      <c r="L13" s="180">
        <f>_xll.qlCalendarAdvance("Target",$C$4,L10,"Unadjusted")</f>
        <v>46690</v>
      </c>
      <c r="M13" s="178">
        <f>_xll.qlCalendarAdvance("Target",$C$4,M10,"Unadjusted")</f>
        <v>47056</v>
      </c>
      <c r="N13" s="179">
        <f>_xll.qlCalendarAdvance("Target",$C$4,N10,"Unadjusted")</f>
        <v>47421</v>
      </c>
      <c r="O13" s="179">
        <f>_xll.qlCalendarAdvance("Target",$C$4,O10,"Unadjusted")</f>
        <v>47786</v>
      </c>
      <c r="P13" s="179">
        <f>_xll.qlCalendarAdvance("Target",$C$4,P10,"Unadjusted")</f>
        <v>48151</v>
      </c>
      <c r="Q13" s="179">
        <f>_xll.qlCalendarAdvance("Target",$C$4,Q10,"Unadjusted")</f>
        <v>48517</v>
      </c>
      <c r="R13" s="179">
        <f>_xll.qlCalendarAdvance("Target",$C$4,R10,"Unadjusted")</f>
        <v>48882</v>
      </c>
      <c r="S13" s="179">
        <f>_xll.qlCalendarAdvance("Target",$C$4,S10,"Unadjusted")</f>
        <v>49247</v>
      </c>
      <c r="T13" s="179">
        <f>_xll.qlCalendarAdvance("Target",$C$4,T10,"Unadjusted")</f>
        <v>49612</v>
      </c>
      <c r="U13" s="179">
        <f>_xll.qlCalendarAdvance("Target",$C$4,U10,"Unadjusted")</f>
        <v>49978</v>
      </c>
      <c r="V13" s="180">
        <f>_xll.qlCalendarAdvance("Target",$C$4,V10,"Unadjusted")</f>
        <v>50343</v>
      </c>
    </row>
    <row r="14" spans="2:22">
      <c r="B14" s="169" t="s">
        <v>82</v>
      </c>
      <c r="C14" s="233"/>
      <c r="D14" s="182">
        <f>_xll.qlCalendarAdvance("Target",$C$4,D11,"Unadjusted")</f>
        <v>50708</v>
      </c>
      <c r="E14" s="182">
        <f>_xll.qlCalendarAdvance("Target",$C$4,E11,"Unadjusted")</f>
        <v>50708</v>
      </c>
      <c r="F14" s="182">
        <f>_xll.qlCalendarAdvance("Target",$C$4,F11,"Unadjusted")</f>
        <v>50708</v>
      </c>
      <c r="G14" s="182">
        <f>_xll.qlCalendarAdvance("Target",$C$4,G11,"Unadjusted")</f>
        <v>50708</v>
      </c>
      <c r="H14" s="182">
        <f>_xll.qlCalendarAdvance("Target",$C$4,H11,"Unadjusted")</f>
        <v>50708</v>
      </c>
      <c r="I14" s="182">
        <f>_xll.qlCalendarAdvance("Target",$C$4,I11,"Unadjusted")</f>
        <v>50708</v>
      </c>
      <c r="J14" s="182">
        <f>_xll.qlCalendarAdvance("Target",$C$4,J11,"Unadjusted")</f>
        <v>50708</v>
      </c>
      <c r="K14" s="182">
        <f>_xll.qlCalendarAdvance("Target",$C$4,K11,"Unadjusted")</f>
        <v>50708</v>
      </c>
      <c r="L14" s="183">
        <f>_xll.qlCalendarAdvance("Target",$C$4,L11,"Unadjusted")</f>
        <v>50708</v>
      </c>
      <c r="M14" s="181">
        <f>_xll.qlCalendarAdvance("Target",$C$4,M11,"Unadjusted")</f>
        <v>50708</v>
      </c>
      <c r="N14" s="182">
        <f>_xll.qlCalendarAdvance("Target",$C$4,N11,"Unadjusted")</f>
        <v>50708</v>
      </c>
      <c r="O14" s="182">
        <f>_xll.qlCalendarAdvance("Target",$C$4,O11,"Unadjusted")</f>
        <v>50708</v>
      </c>
      <c r="P14" s="182">
        <f>_xll.qlCalendarAdvance("Target",$C$4,P11,"Unadjusted")</f>
        <v>50708</v>
      </c>
      <c r="Q14" s="182">
        <f>_xll.qlCalendarAdvance("Target",$C$4,Q11,"Unadjusted")</f>
        <v>50708</v>
      </c>
      <c r="R14" s="182">
        <f>_xll.qlCalendarAdvance("Target",$C$4,R11,"Unadjusted")</f>
        <v>50708</v>
      </c>
      <c r="S14" s="182">
        <f>_xll.qlCalendarAdvance("Target",$C$4,S11,"Unadjusted")</f>
        <v>50708</v>
      </c>
      <c r="T14" s="182">
        <f>_xll.qlCalendarAdvance("Target",$C$4,T11,"Unadjusted")</f>
        <v>50708</v>
      </c>
      <c r="U14" s="182">
        <f>_xll.qlCalendarAdvance("Target",$C$4,U11,"Unadjusted")</f>
        <v>50708</v>
      </c>
      <c r="V14" s="183">
        <f>_xll.qlCalendarAdvance("Target",$C$4,V11,"Unadjusted")</f>
        <v>50708</v>
      </c>
    </row>
    <row r="15" spans="2:22" ht="13">
      <c r="B15" s="83" t="s">
        <v>107</v>
      </c>
      <c r="C15" s="83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</row>
    <row r="16" spans="2:22">
      <c r="B16" s="171" t="s">
        <v>91</v>
      </c>
      <c r="C16" s="231"/>
      <c r="D16" s="173" t="s">
        <v>2</v>
      </c>
      <c r="E16" s="173" t="s">
        <v>2</v>
      </c>
      <c r="F16" s="173" t="s">
        <v>2</v>
      </c>
      <c r="G16" s="173" t="s">
        <v>2</v>
      </c>
      <c r="H16" s="173" t="s">
        <v>2</v>
      </c>
      <c r="I16" s="173" t="s">
        <v>2</v>
      </c>
      <c r="J16" s="173" t="s">
        <v>2</v>
      </c>
      <c r="K16" s="173" t="s">
        <v>2</v>
      </c>
      <c r="L16" s="174" t="s">
        <v>2</v>
      </c>
      <c r="M16" s="172" t="s">
        <v>2</v>
      </c>
      <c r="N16" s="173" t="s">
        <v>2</v>
      </c>
      <c r="O16" s="173" t="s">
        <v>2</v>
      </c>
      <c r="P16" s="173" t="s">
        <v>2</v>
      </c>
      <c r="Q16" s="173" t="s">
        <v>2</v>
      </c>
      <c r="R16" s="173" t="s">
        <v>2</v>
      </c>
      <c r="S16" s="173" t="s">
        <v>2</v>
      </c>
      <c r="T16" s="173" t="s">
        <v>2</v>
      </c>
      <c r="U16" s="173" t="s">
        <v>2</v>
      </c>
      <c r="V16" s="174" t="s">
        <v>2</v>
      </c>
    </row>
    <row r="17" spans="2:22">
      <c r="B17" s="7" t="s">
        <v>93</v>
      </c>
      <c r="C17" s="232"/>
      <c r="D17" s="176" t="s">
        <v>94</v>
      </c>
      <c r="E17" s="176" t="s">
        <v>94</v>
      </c>
      <c r="F17" s="176" t="s">
        <v>94</v>
      </c>
      <c r="G17" s="176" t="s">
        <v>94</v>
      </c>
      <c r="H17" s="176" t="s">
        <v>94</v>
      </c>
      <c r="I17" s="176" t="s">
        <v>94</v>
      </c>
      <c r="J17" s="176" t="s">
        <v>94</v>
      </c>
      <c r="K17" s="176" t="s">
        <v>94</v>
      </c>
      <c r="L17" s="177" t="s">
        <v>94</v>
      </c>
      <c r="M17" s="175" t="s">
        <v>94</v>
      </c>
      <c r="N17" s="176" t="s">
        <v>94</v>
      </c>
      <c r="O17" s="176" t="s">
        <v>94</v>
      </c>
      <c r="P17" s="176" t="s">
        <v>94</v>
      </c>
      <c r="Q17" s="176" t="s">
        <v>94</v>
      </c>
      <c r="R17" s="176" t="s">
        <v>94</v>
      </c>
      <c r="S17" s="176" t="s">
        <v>94</v>
      </c>
      <c r="T17" s="176" t="s">
        <v>94</v>
      </c>
      <c r="U17" s="176" t="s">
        <v>94</v>
      </c>
      <c r="V17" s="177" t="s">
        <v>94</v>
      </c>
    </row>
    <row r="18" spans="2:22">
      <c r="B18" s="7" t="s">
        <v>95</v>
      </c>
      <c r="C18" s="232"/>
      <c r="D18" s="176" t="s">
        <v>25</v>
      </c>
      <c r="E18" s="176" t="s">
        <v>25</v>
      </c>
      <c r="F18" s="176" t="s">
        <v>25</v>
      </c>
      <c r="G18" s="176" t="s">
        <v>25</v>
      </c>
      <c r="H18" s="176" t="s">
        <v>25</v>
      </c>
      <c r="I18" s="176" t="s">
        <v>25</v>
      </c>
      <c r="J18" s="176" t="s">
        <v>25</v>
      </c>
      <c r="K18" s="176" t="s">
        <v>25</v>
      </c>
      <c r="L18" s="177" t="s">
        <v>25</v>
      </c>
      <c r="M18" s="175" t="s">
        <v>25</v>
      </c>
      <c r="N18" s="176" t="s">
        <v>25</v>
      </c>
      <c r="O18" s="176" t="s">
        <v>25</v>
      </c>
      <c r="P18" s="176" t="s">
        <v>25</v>
      </c>
      <c r="Q18" s="176" t="s">
        <v>25</v>
      </c>
      <c r="R18" s="176" t="s">
        <v>25</v>
      </c>
      <c r="S18" s="176" t="s">
        <v>25</v>
      </c>
      <c r="T18" s="176" t="s">
        <v>25</v>
      </c>
      <c r="U18" s="176" t="s">
        <v>25</v>
      </c>
      <c r="V18" s="177" t="s">
        <v>25</v>
      </c>
    </row>
    <row r="19" spans="2:22">
      <c r="B19" s="169" t="s">
        <v>96</v>
      </c>
      <c r="C19" s="233"/>
      <c r="D19" s="184" t="str">
        <f>_xll.qlSchedule(,D13,D14,D16,D17,D18,D18)</f>
        <v>obj_00023#0007</v>
      </c>
      <c r="E19" s="184" t="str">
        <f>_xll.qlSchedule(,E13,E14,E16,E17,E18,E18)</f>
        <v>obj_0000f#0007</v>
      </c>
      <c r="F19" s="184" t="str">
        <f>_xll.qlSchedule(,F13,F14,F16,F17,F18,F18)</f>
        <v>obj_00030#0007</v>
      </c>
      <c r="G19" s="184" t="str">
        <f>_xll.qlSchedule(,G13,G14,G16,G17,G18,G18)</f>
        <v>obj_0000b#0007</v>
      </c>
      <c r="H19" s="184" t="str">
        <f>_xll.qlSchedule(,H13,H14,H16,H17,H18,H18)</f>
        <v>obj_00004#0007</v>
      </c>
      <c r="I19" s="184" t="str">
        <f>_xll.qlSchedule(,I13,I14,I16,I17,I18,I18)</f>
        <v>obj_0002e#0007</v>
      </c>
      <c r="J19" s="184" t="str">
        <f>_xll.qlSchedule(,J13,J14,J16,J17,J18,J18)</f>
        <v>obj_00002#0007</v>
      </c>
      <c r="K19" s="184" t="str">
        <f>_xll.qlSchedule(,K13,K14,K16,K17,K18,K18)</f>
        <v>obj_00033#0007</v>
      </c>
      <c r="L19" s="185" t="str">
        <f>_xll.qlSchedule(,L13,L14,L16,L17,L18,L18)</f>
        <v>obj_00006#0007</v>
      </c>
      <c r="M19" s="104" t="str">
        <f>_xll.qlSchedule(,M13,M14,M16,M17,M18,M18)</f>
        <v>obj_0000d#0007</v>
      </c>
      <c r="N19" s="184" t="str">
        <f>_xll.qlSchedule(,N13,N14,N16,N17,N18,N18)</f>
        <v>obj_0001a#0007</v>
      </c>
      <c r="O19" s="184" t="str">
        <f>_xll.qlSchedule(,O13,O14,O16,O17,O18,O18)</f>
        <v>obj_00003#0007</v>
      </c>
      <c r="P19" s="184" t="str">
        <f>_xll.qlSchedule(,P13,P14,P16,P17,P18,P18)</f>
        <v>obj_00001#0007</v>
      </c>
      <c r="Q19" s="184" t="str">
        <f>_xll.qlSchedule(,Q13,Q14,Q16,Q17,Q18,Q18)</f>
        <v>obj_00034#0007</v>
      </c>
      <c r="R19" s="184" t="str">
        <f>_xll.qlSchedule(,R13,R14,R16,R17,R18,R18)</f>
        <v>obj_0001f#0007</v>
      </c>
      <c r="S19" s="184" t="str">
        <f>_xll.qlSchedule(,S13,S14,S16,S17,S18,S18)</f>
        <v>obj_0001c#0007</v>
      </c>
      <c r="T19" s="184" t="str">
        <f>_xll.qlSchedule(,T13,T14,T16,T17,T18,T18)</f>
        <v>obj_0001e#0007</v>
      </c>
      <c r="U19" s="184" t="str">
        <f>_xll.qlSchedule(,U13,U14,U16,U17,U18,U18)</f>
        <v>obj_0002a#0007</v>
      </c>
      <c r="V19" s="185" t="str">
        <f>_xll.qlSchedule(,V13,V14,V16,V17,V18,V18)</f>
        <v>obj_00015#0007</v>
      </c>
    </row>
    <row r="20" spans="2:22" ht="13">
      <c r="B20" s="83" t="s">
        <v>115</v>
      </c>
      <c r="C20" s="83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</row>
    <row r="21" spans="2:22">
      <c r="B21" s="171" t="s">
        <v>91</v>
      </c>
      <c r="C21" s="231"/>
      <c r="D21" s="173" t="s">
        <v>92</v>
      </c>
      <c r="E21" s="173" t="s">
        <v>92</v>
      </c>
      <c r="F21" s="173" t="s">
        <v>92</v>
      </c>
      <c r="G21" s="173" t="s">
        <v>92</v>
      </c>
      <c r="H21" s="173" t="s">
        <v>92</v>
      </c>
      <c r="I21" s="173" t="s">
        <v>92</v>
      </c>
      <c r="J21" s="173" t="s">
        <v>92</v>
      </c>
      <c r="K21" s="173" t="s">
        <v>92</v>
      </c>
      <c r="L21" s="174" t="s">
        <v>92</v>
      </c>
      <c r="M21" s="172" t="s">
        <v>92</v>
      </c>
      <c r="N21" s="173" t="s">
        <v>92</v>
      </c>
      <c r="O21" s="173" t="s">
        <v>92</v>
      </c>
      <c r="P21" s="173" t="s">
        <v>92</v>
      </c>
      <c r="Q21" s="173" t="s">
        <v>92</v>
      </c>
      <c r="R21" s="173" t="s">
        <v>92</v>
      </c>
      <c r="S21" s="173" t="s">
        <v>92</v>
      </c>
      <c r="T21" s="173" t="s">
        <v>92</v>
      </c>
      <c r="U21" s="173" t="s">
        <v>92</v>
      </c>
      <c r="V21" s="174" t="s">
        <v>92</v>
      </c>
    </row>
    <row r="22" spans="2:22">
      <c r="B22" s="7" t="s">
        <v>93</v>
      </c>
      <c r="C22" s="232"/>
      <c r="D22" s="176" t="s">
        <v>94</v>
      </c>
      <c r="E22" s="176" t="s">
        <v>94</v>
      </c>
      <c r="F22" s="176" t="s">
        <v>94</v>
      </c>
      <c r="G22" s="176" t="s">
        <v>94</v>
      </c>
      <c r="H22" s="176" t="s">
        <v>94</v>
      </c>
      <c r="I22" s="176" t="s">
        <v>94</v>
      </c>
      <c r="J22" s="176" t="s">
        <v>94</v>
      </c>
      <c r="K22" s="176" t="s">
        <v>94</v>
      </c>
      <c r="L22" s="177" t="s">
        <v>94</v>
      </c>
      <c r="M22" s="175" t="s">
        <v>94</v>
      </c>
      <c r="N22" s="176" t="s">
        <v>94</v>
      </c>
      <c r="O22" s="176" t="s">
        <v>94</v>
      </c>
      <c r="P22" s="176" t="s">
        <v>94</v>
      </c>
      <c r="Q22" s="176" t="s">
        <v>94</v>
      </c>
      <c r="R22" s="176" t="s">
        <v>94</v>
      </c>
      <c r="S22" s="176" t="s">
        <v>94</v>
      </c>
      <c r="T22" s="176" t="s">
        <v>94</v>
      </c>
      <c r="U22" s="176" t="s">
        <v>94</v>
      </c>
      <c r="V22" s="177" t="s">
        <v>94</v>
      </c>
    </row>
    <row r="23" spans="2:22">
      <c r="B23" s="7" t="s">
        <v>95</v>
      </c>
      <c r="C23" s="232"/>
      <c r="D23" s="176" t="s">
        <v>25</v>
      </c>
      <c r="E23" s="176" t="s">
        <v>25</v>
      </c>
      <c r="F23" s="176" t="s">
        <v>25</v>
      </c>
      <c r="G23" s="176" t="s">
        <v>25</v>
      </c>
      <c r="H23" s="176" t="s">
        <v>25</v>
      </c>
      <c r="I23" s="176" t="s">
        <v>25</v>
      </c>
      <c r="J23" s="176" t="s">
        <v>25</v>
      </c>
      <c r="K23" s="176" t="s">
        <v>25</v>
      </c>
      <c r="L23" s="177" t="s">
        <v>25</v>
      </c>
      <c r="M23" s="175" t="s">
        <v>25</v>
      </c>
      <c r="N23" s="176" t="s">
        <v>25</v>
      </c>
      <c r="O23" s="176" t="s">
        <v>25</v>
      </c>
      <c r="P23" s="176" t="s">
        <v>25</v>
      </c>
      <c r="Q23" s="176" t="s">
        <v>25</v>
      </c>
      <c r="R23" s="176" t="s">
        <v>25</v>
      </c>
      <c r="S23" s="176" t="s">
        <v>25</v>
      </c>
      <c r="T23" s="176" t="s">
        <v>25</v>
      </c>
      <c r="U23" s="176" t="s">
        <v>25</v>
      </c>
      <c r="V23" s="177" t="s">
        <v>25</v>
      </c>
    </row>
    <row r="24" spans="2:22">
      <c r="B24" s="169" t="s">
        <v>96</v>
      </c>
      <c r="C24" s="233"/>
      <c r="D24" s="184" t="str">
        <f>_xll.qlSchedule(,D13,D14,D21,D22,D23,D23)</f>
        <v>obj_00010#0007</v>
      </c>
      <c r="E24" s="184" t="str">
        <f>_xll.qlSchedule(,E13,E14,E21,E22,E23,E23)</f>
        <v>obj_00009#0007</v>
      </c>
      <c r="F24" s="184" t="str">
        <f>_xll.qlSchedule(,F13,F14,F21,F22,F23,F23)</f>
        <v>obj_00018#0007</v>
      </c>
      <c r="G24" s="184" t="str">
        <f>_xll.qlSchedule(,G13,G14,G21,G22,G23,G23)</f>
        <v>obj_0000a#0007</v>
      </c>
      <c r="H24" s="184" t="str">
        <f>_xll.qlSchedule(,H13,H14,H21,H22,H23,H23)</f>
        <v>obj_00005#0007</v>
      </c>
      <c r="I24" s="184" t="str">
        <f>_xll.qlSchedule(,I13,I14,I21,I22,I23,I23)</f>
        <v>obj_00008#0007</v>
      </c>
      <c r="J24" s="184" t="str">
        <f>_xll.qlSchedule(,J13,J14,J21,J22,J23,J23)</f>
        <v>obj_00007#0007</v>
      </c>
      <c r="K24" s="184" t="str">
        <f>_xll.qlSchedule(,K13,K14,K21,K22,K23,K23)</f>
        <v>obj_00012#0007</v>
      </c>
      <c r="L24" s="185" t="str">
        <f>_xll.qlSchedule(,L13,L14,L21,L22,L23,L23)</f>
        <v>obj_0000e#0007</v>
      </c>
      <c r="M24" s="104" t="str">
        <f>_xll.qlSchedule(,M13,M14,M21,M22,M23,M23)</f>
        <v>obj_00027#0007</v>
      </c>
      <c r="N24" s="184" t="str">
        <f>_xll.qlSchedule(,N13,N14,N21,N22,N23,N23)</f>
        <v>obj_00019#0007</v>
      </c>
      <c r="O24" s="184" t="str">
        <f>_xll.qlSchedule(,O13,O14,O21,O22,O23,O23)</f>
        <v>obj_00026#0007</v>
      </c>
      <c r="P24" s="184" t="str">
        <f>_xll.qlSchedule(,P13,P14,P21,P22,P23,P23)</f>
        <v>obj_00000#0007</v>
      </c>
      <c r="Q24" s="184" t="str">
        <f>_xll.qlSchedule(,Q13,Q14,Q21,Q22,Q23,Q23)</f>
        <v>obj_00013#0007</v>
      </c>
      <c r="R24" s="184" t="str">
        <f>_xll.qlSchedule(,R13,R14,R21,R22,R23,R23)</f>
        <v>obj_00017#0007</v>
      </c>
      <c r="S24" s="184" t="str">
        <f>_xll.qlSchedule(,S13,S14,S21,S22,S23,S23)</f>
        <v>obj_0001b#0007</v>
      </c>
      <c r="T24" s="184" t="str">
        <f>_xll.qlSchedule(,T13,T14,T21,T22,T23,T23)</f>
        <v>obj_0001d#0007</v>
      </c>
      <c r="U24" s="184" t="str">
        <f>_xll.qlSchedule(,U13,U14,U21,U22,U23,U23)</f>
        <v>obj_00016#0007</v>
      </c>
      <c r="V24" s="185" t="str">
        <f>_xll.qlSchedule(,V13,V14,V21,V22,V23,V23)</f>
        <v>obj_00014#0007</v>
      </c>
    </row>
    <row r="25" spans="2:22" ht="13">
      <c r="B25" s="83" t="s">
        <v>106</v>
      </c>
      <c r="C25" s="83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</row>
    <row r="26" spans="2:22">
      <c r="B26" s="171" t="s">
        <v>29</v>
      </c>
      <c r="C26" s="231"/>
      <c r="D26" s="187">
        <v>0.03</v>
      </c>
      <c r="E26" s="187">
        <v>0.03</v>
      </c>
      <c r="F26" s="187">
        <v>0.03</v>
      </c>
      <c r="G26" s="187">
        <v>0.03</v>
      </c>
      <c r="H26" s="187">
        <v>0.03</v>
      </c>
      <c r="I26" s="187">
        <v>0.03</v>
      </c>
      <c r="J26" s="187">
        <v>0.03</v>
      </c>
      <c r="K26" s="187">
        <v>0.03</v>
      </c>
      <c r="L26" s="188">
        <v>0.03</v>
      </c>
      <c r="M26" s="186">
        <v>0.03</v>
      </c>
      <c r="N26" s="187">
        <v>0.03</v>
      </c>
      <c r="O26" s="187">
        <v>0.03</v>
      </c>
      <c r="P26" s="187">
        <v>0.03</v>
      </c>
      <c r="Q26" s="187">
        <v>0.03</v>
      </c>
      <c r="R26" s="187">
        <v>0.03</v>
      </c>
      <c r="S26" s="187">
        <v>0.03</v>
      </c>
      <c r="T26" s="187">
        <v>0.03</v>
      </c>
      <c r="U26" s="187">
        <v>0.03</v>
      </c>
      <c r="V26" s="188">
        <v>0.03</v>
      </c>
    </row>
    <row r="27" spans="2:22">
      <c r="B27" s="169" t="s">
        <v>116</v>
      </c>
      <c r="C27" s="233"/>
      <c r="D27" s="190" t="s">
        <v>108</v>
      </c>
      <c r="E27" s="190" t="s">
        <v>108</v>
      </c>
      <c r="F27" s="190" t="s">
        <v>108</v>
      </c>
      <c r="G27" s="190" t="s">
        <v>108</v>
      </c>
      <c r="H27" s="190" t="s">
        <v>108</v>
      </c>
      <c r="I27" s="190" t="s">
        <v>108</v>
      </c>
      <c r="J27" s="190" t="s">
        <v>108</v>
      </c>
      <c r="K27" s="190" t="s">
        <v>108</v>
      </c>
      <c r="L27" s="191" t="s">
        <v>108</v>
      </c>
      <c r="M27" s="189" t="s">
        <v>108</v>
      </c>
      <c r="N27" s="190" t="s">
        <v>108</v>
      </c>
      <c r="O27" s="190" t="s">
        <v>108</v>
      </c>
      <c r="P27" s="190" t="s">
        <v>108</v>
      </c>
      <c r="Q27" s="190" t="s">
        <v>108</v>
      </c>
      <c r="R27" s="190" t="s">
        <v>108</v>
      </c>
      <c r="S27" s="190" t="s">
        <v>108</v>
      </c>
      <c r="T27" s="190" t="s">
        <v>108</v>
      </c>
      <c r="U27" s="190" t="s">
        <v>108</v>
      </c>
      <c r="V27" s="191" t="s">
        <v>108</v>
      </c>
    </row>
    <row r="28" spans="2:22" ht="13">
      <c r="B28" s="83" t="s">
        <v>117</v>
      </c>
      <c r="C28" s="83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</row>
    <row r="29" spans="2:22">
      <c r="B29" s="171" t="s">
        <v>97</v>
      </c>
      <c r="C29" s="231"/>
      <c r="D29" s="193" t="str">
        <f t="shared" ref="D29:V29" si="0">$C$7</f>
        <v>obj_0005a#0013</v>
      </c>
      <c r="E29" s="193" t="str">
        <f t="shared" si="0"/>
        <v>obj_0005a#0013</v>
      </c>
      <c r="F29" s="193" t="str">
        <f t="shared" si="0"/>
        <v>obj_0005a#0013</v>
      </c>
      <c r="G29" s="193" t="str">
        <f t="shared" si="0"/>
        <v>obj_0005a#0013</v>
      </c>
      <c r="H29" s="193" t="str">
        <f t="shared" si="0"/>
        <v>obj_0005a#0013</v>
      </c>
      <c r="I29" s="193" t="str">
        <f t="shared" si="0"/>
        <v>obj_0005a#0013</v>
      </c>
      <c r="J29" s="193" t="str">
        <f t="shared" si="0"/>
        <v>obj_0005a#0013</v>
      </c>
      <c r="K29" s="193" t="str">
        <f t="shared" si="0"/>
        <v>obj_0005a#0013</v>
      </c>
      <c r="L29" s="194" t="str">
        <f t="shared" si="0"/>
        <v>obj_0005a#0013</v>
      </c>
      <c r="M29" s="192" t="str">
        <f t="shared" si="0"/>
        <v>obj_0005a#0013</v>
      </c>
      <c r="N29" s="193" t="str">
        <f t="shared" si="0"/>
        <v>obj_0005a#0013</v>
      </c>
      <c r="O29" s="193" t="str">
        <f t="shared" si="0"/>
        <v>obj_0005a#0013</v>
      </c>
      <c r="P29" s="193" t="str">
        <f t="shared" si="0"/>
        <v>obj_0005a#0013</v>
      </c>
      <c r="Q29" s="193" t="str">
        <f t="shared" si="0"/>
        <v>obj_0005a#0013</v>
      </c>
      <c r="R29" s="193" t="str">
        <f t="shared" si="0"/>
        <v>obj_0005a#0013</v>
      </c>
      <c r="S29" s="193" t="str">
        <f t="shared" si="0"/>
        <v>obj_0005a#0013</v>
      </c>
      <c r="T29" s="193" t="str">
        <f t="shared" si="0"/>
        <v>obj_0005a#0013</v>
      </c>
      <c r="U29" s="193" t="str">
        <f t="shared" si="0"/>
        <v>obj_0005a#0013</v>
      </c>
      <c r="V29" s="194" t="str">
        <f t="shared" si="0"/>
        <v>obj_0005a#0013</v>
      </c>
    </row>
    <row r="30" spans="2:22">
      <c r="B30" s="169" t="s">
        <v>116</v>
      </c>
      <c r="C30" s="233"/>
      <c r="D30" s="196" t="s">
        <v>100</v>
      </c>
      <c r="E30" s="196" t="s">
        <v>100</v>
      </c>
      <c r="F30" s="196" t="s">
        <v>100</v>
      </c>
      <c r="G30" s="196" t="s">
        <v>100</v>
      </c>
      <c r="H30" s="196" t="s">
        <v>100</v>
      </c>
      <c r="I30" s="196" t="s">
        <v>100</v>
      </c>
      <c r="J30" s="196" t="s">
        <v>100</v>
      </c>
      <c r="K30" s="196" t="s">
        <v>100</v>
      </c>
      <c r="L30" s="197" t="s">
        <v>100</v>
      </c>
      <c r="M30" s="195" t="s">
        <v>100</v>
      </c>
      <c r="N30" s="196" t="s">
        <v>100</v>
      </c>
      <c r="O30" s="196" t="s">
        <v>100</v>
      </c>
      <c r="P30" s="196" t="s">
        <v>100</v>
      </c>
      <c r="Q30" s="196" t="s">
        <v>100</v>
      </c>
      <c r="R30" s="196" t="s">
        <v>100</v>
      </c>
      <c r="S30" s="196" t="s">
        <v>100</v>
      </c>
      <c r="T30" s="196" t="s">
        <v>100</v>
      </c>
      <c r="U30" s="196" t="s">
        <v>100</v>
      </c>
      <c r="V30" s="197" t="s">
        <v>100</v>
      </c>
    </row>
    <row r="31" spans="2:22" ht="13">
      <c r="B31" s="83" t="s">
        <v>120</v>
      </c>
      <c r="C31" s="83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</row>
    <row r="32" spans="2:22">
      <c r="B32" s="165" t="s">
        <v>32</v>
      </c>
      <c r="C32" s="234"/>
      <c r="D32" s="200">
        <v>100000000</v>
      </c>
      <c r="E32" s="200">
        <v>100000000</v>
      </c>
      <c r="F32" s="200">
        <v>100000000</v>
      </c>
      <c r="G32" s="200">
        <v>100000000</v>
      </c>
      <c r="H32" s="200">
        <v>100000000</v>
      </c>
      <c r="I32" s="200">
        <v>100000000</v>
      </c>
      <c r="J32" s="200">
        <v>100000000</v>
      </c>
      <c r="K32" s="200">
        <v>100000000</v>
      </c>
      <c r="L32" s="201">
        <v>100000000</v>
      </c>
      <c r="M32" s="199">
        <v>100000000</v>
      </c>
      <c r="N32" s="200">
        <v>100000000</v>
      </c>
      <c r="O32" s="200">
        <v>100000000</v>
      </c>
      <c r="P32" s="200">
        <v>100000000</v>
      </c>
      <c r="Q32" s="200">
        <v>100000000</v>
      </c>
      <c r="R32" s="200">
        <v>100000000</v>
      </c>
      <c r="S32" s="200">
        <v>100000000</v>
      </c>
      <c r="T32" s="200">
        <v>100000000</v>
      </c>
      <c r="U32" s="200">
        <v>100000000</v>
      </c>
      <c r="V32" s="201">
        <v>100000000</v>
      </c>
    </row>
    <row r="33" spans="2:22">
      <c r="B33" s="198" t="s">
        <v>123</v>
      </c>
      <c r="C33" s="235"/>
      <c r="D33" s="176" t="s">
        <v>143</v>
      </c>
      <c r="E33" s="176" t="s">
        <v>143</v>
      </c>
      <c r="F33" s="176" t="s">
        <v>143</v>
      </c>
      <c r="G33" s="176" t="s">
        <v>143</v>
      </c>
      <c r="H33" s="176" t="s">
        <v>143</v>
      </c>
      <c r="I33" s="176" t="s">
        <v>143</v>
      </c>
      <c r="J33" s="176" t="s">
        <v>143</v>
      </c>
      <c r="K33" s="176" t="s">
        <v>143</v>
      </c>
      <c r="L33" s="177" t="s">
        <v>143</v>
      </c>
      <c r="M33" s="175" t="s">
        <v>143</v>
      </c>
      <c r="N33" s="176" t="s">
        <v>143</v>
      </c>
      <c r="O33" s="176" t="s">
        <v>143</v>
      </c>
      <c r="P33" s="176" t="s">
        <v>143</v>
      </c>
      <c r="Q33" s="176" t="s">
        <v>143</v>
      </c>
      <c r="R33" s="176" t="s">
        <v>143</v>
      </c>
      <c r="S33" s="176" t="s">
        <v>143</v>
      </c>
      <c r="T33" s="176" t="s">
        <v>143</v>
      </c>
      <c r="U33" s="176" t="s">
        <v>143</v>
      </c>
      <c r="V33" s="177" t="s">
        <v>143</v>
      </c>
    </row>
    <row r="34" spans="2:22">
      <c r="B34" s="169" t="s">
        <v>95</v>
      </c>
      <c r="C34" s="233"/>
      <c r="D34" s="196" t="s">
        <v>25</v>
      </c>
      <c r="E34" s="196" t="s">
        <v>25</v>
      </c>
      <c r="F34" s="196" t="s">
        <v>25</v>
      </c>
      <c r="G34" s="196" t="s">
        <v>25</v>
      </c>
      <c r="H34" s="196" t="s">
        <v>25</v>
      </c>
      <c r="I34" s="196" t="s">
        <v>25</v>
      </c>
      <c r="J34" s="196" t="s">
        <v>25</v>
      </c>
      <c r="K34" s="196" t="s">
        <v>25</v>
      </c>
      <c r="L34" s="197" t="s">
        <v>25</v>
      </c>
      <c r="M34" s="195" t="s">
        <v>25</v>
      </c>
      <c r="N34" s="196" t="s">
        <v>25</v>
      </c>
      <c r="O34" s="196" t="s">
        <v>25</v>
      </c>
      <c r="P34" s="196" t="s">
        <v>25</v>
      </c>
      <c r="Q34" s="196" t="s">
        <v>25</v>
      </c>
      <c r="R34" s="196" t="s">
        <v>25</v>
      </c>
      <c r="S34" s="196" t="s">
        <v>25</v>
      </c>
      <c r="T34" s="196" t="s">
        <v>25</v>
      </c>
      <c r="U34" s="196" t="s">
        <v>25</v>
      </c>
      <c r="V34" s="197" t="s">
        <v>25</v>
      </c>
    </row>
    <row r="35" spans="2:22" ht="13">
      <c r="B35" s="83" t="s">
        <v>121</v>
      </c>
      <c r="C35" s="83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</row>
    <row r="36" spans="2:22">
      <c r="B36" s="171" t="s">
        <v>122</v>
      </c>
      <c r="C36" s="231"/>
      <c r="D36" s="203" t="str">
        <f>_xll.qlVanillaSwap(,D33,D32,D19,D26,D27,D24,D29,0,D30,D34)</f>
        <v>obj_0006e#0013</v>
      </c>
      <c r="E36" s="203" t="str">
        <f>_xll.qlVanillaSwap(,E33,E32,E19,E26,E27,E24,E29,0,E30,E34)</f>
        <v>obj_0006f#0013</v>
      </c>
      <c r="F36" s="203" t="str">
        <f>_xll.qlVanillaSwap(,F33,F32,F19,F26,F27,F24,F29,0,F30,F34)</f>
        <v>obj_00061#0013</v>
      </c>
      <c r="G36" s="203" t="str">
        <f>_xll.qlVanillaSwap(,G33,G32,G19,G26,G27,G24,G29,0,G30,G34)</f>
        <v>obj_00060#0013</v>
      </c>
      <c r="H36" s="203" t="str">
        <f>_xll.qlVanillaSwap(,H33,H32,H19,H26,H27,H24,H29,0,H30,H34)</f>
        <v>obj_00066#0013</v>
      </c>
      <c r="I36" s="203" t="str">
        <f>_xll.qlVanillaSwap(,I33,I32,I19,I26,I27,I24,I29,0,I30,I34)</f>
        <v>obj_0006d#0013</v>
      </c>
      <c r="J36" s="203" t="str">
        <f>_xll.qlVanillaSwap(,J33,J32,J19,J26,J27,J24,J29,0,J30,J34)</f>
        <v>obj_0006c#0013</v>
      </c>
      <c r="K36" s="203" t="str">
        <f>_xll.qlVanillaSwap(,K33,K32,K19,K26,K27,K24,K29,0,K30,K34)</f>
        <v>obj_00063#0013</v>
      </c>
      <c r="L36" s="204" t="str">
        <f>_xll.qlVanillaSwap(,L33,L32,L19,L26,L27,L24,L29,0,L30,L34)</f>
        <v>obj_00064#0013</v>
      </c>
      <c r="M36" s="202" t="str">
        <f>_xll.qlVanillaSwap(,M33,M32,M19,M26,M27,M24,M29,0,M30,M34)</f>
        <v>obj_0006b#0013</v>
      </c>
      <c r="N36" s="203" t="str">
        <f>_xll.qlVanillaSwap(,N33,N32,N19,N26,N27,N24,N29,0,N30,N34)</f>
        <v>obj_00067#0013</v>
      </c>
      <c r="O36" s="203" t="str">
        <f>_xll.qlVanillaSwap(,O33,O32,O19,O26,O27,O24,O29,0,O30,O34)</f>
        <v>obj_00069#0013</v>
      </c>
      <c r="P36" s="203" t="str">
        <f>_xll.qlVanillaSwap(,P33,P32,P19,P26,P27,P24,P29,0,P30,P34)</f>
        <v>obj_0005f#0013</v>
      </c>
      <c r="Q36" s="203" t="str">
        <f>_xll.qlVanillaSwap(,Q33,Q32,Q19,Q26,Q27,Q24,Q29,0,Q30,Q34)</f>
        <v>obj_0005e#0013</v>
      </c>
      <c r="R36" s="203" t="str">
        <f>_xll.qlVanillaSwap(,R33,R32,R19,R26,R27,R24,R29,0,R30,R34)</f>
        <v>obj_0006a#0013</v>
      </c>
      <c r="S36" s="203" t="str">
        <f>_xll.qlVanillaSwap(,S33,S32,S19,S26,S27,S24,S29,0,S30,S34)</f>
        <v>obj_00065#0013</v>
      </c>
      <c r="T36" s="203" t="str">
        <f>_xll.qlVanillaSwap(,T33,T32,T19,T26,T27,T24,T29,0,T30,T34)</f>
        <v>obj_0005d#0013</v>
      </c>
      <c r="U36" s="203" t="str">
        <f>_xll.qlVanillaSwap(,U33,U32,U19,U26,U27,U24,U29,0,U30,U34)</f>
        <v>obj_00068#0013</v>
      </c>
      <c r="V36" s="204" t="str">
        <f>_xll.qlVanillaSwap(,V33,V32,V19,V26,V27,V24,V29,0,V30,V34)</f>
        <v>obj_00062#0013</v>
      </c>
    </row>
    <row r="37" spans="2:22">
      <c r="B37" s="7" t="s">
        <v>124</v>
      </c>
      <c r="C37" s="232"/>
      <c r="D37" s="205" t="str">
        <f>_xll.qlDiscountingSwapEngine(,$C$5)</f>
        <v>obj_00047#0013</v>
      </c>
      <c r="E37" s="205" t="str">
        <f>_xll.qlDiscountingSwapEngine(,$C$5)</f>
        <v>obj_00054#0013</v>
      </c>
      <c r="F37" s="205" t="str">
        <f>_xll.qlDiscountingSwapEngine(,$C$5)</f>
        <v>obj_00057#0013</v>
      </c>
      <c r="G37" s="205" t="str">
        <f>_xll.qlDiscountingSwapEngine(,$C$5)</f>
        <v>obj_00045#0013</v>
      </c>
      <c r="H37" s="205" t="str">
        <f>_xll.qlDiscountingSwapEngine(,$C$5)</f>
        <v>obj_00053#0013</v>
      </c>
      <c r="I37" s="205" t="str">
        <f>_xll.qlDiscountingSwapEngine(,$C$5)</f>
        <v>obj_00056#0013</v>
      </c>
      <c r="J37" s="205" t="str">
        <f>_xll.qlDiscountingSwapEngine(,$C$5)</f>
        <v>obj_00052#0013</v>
      </c>
      <c r="K37" s="205" t="str">
        <f>_xll.qlDiscountingSwapEngine(,$C$5)</f>
        <v>obj_00050#0013</v>
      </c>
      <c r="L37" s="206" t="str">
        <f>_xll.qlDiscountingSwapEngine(,$C$5)</f>
        <v>obj_00046#0013</v>
      </c>
      <c r="M37" s="102" t="str">
        <f>_xll.qlDiscountingSwapEngine(,$C$5)</f>
        <v>obj_0004e#0013</v>
      </c>
      <c r="N37" s="205" t="str">
        <f>_xll.qlDiscountingSwapEngine(,$C$5)</f>
        <v>obj_00051#0013</v>
      </c>
      <c r="O37" s="205" t="str">
        <f>_xll.qlDiscountingSwapEngine(,$C$5)</f>
        <v>obj_0004d#0013</v>
      </c>
      <c r="P37" s="205" t="str">
        <f>_xll.qlDiscountingSwapEngine(,$C$5)</f>
        <v>obj_0004b#0013</v>
      </c>
      <c r="Q37" s="205" t="str">
        <f>_xll.qlDiscountingSwapEngine(,$C$5)</f>
        <v>obj_0004f#0013</v>
      </c>
      <c r="R37" s="205" t="str">
        <f>_xll.qlDiscountingSwapEngine(,$C$5)</f>
        <v>obj_0004a#0013</v>
      </c>
      <c r="S37" s="205" t="str">
        <f>_xll.qlDiscountingSwapEngine(,$C$5)</f>
        <v>obj_00048#0013</v>
      </c>
      <c r="T37" s="205" t="str">
        <f>_xll.qlDiscountingSwapEngine(,$C$5)</f>
        <v>obj_0004c#0013</v>
      </c>
      <c r="U37" s="205" t="str">
        <f>_xll.qlDiscountingSwapEngine(,$C$5)</f>
        <v>obj_00055#0013</v>
      </c>
      <c r="V37" s="206" t="str">
        <f>_xll.qlDiscountingSwapEngine(,$C$5)</f>
        <v>obj_00049#0013</v>
      </c>
    </row>
    <row r="38" spans="2:22">
      <c r="B38" s="7" t="s">
        <v>125</v>
      </c>
      <c r="C38" s="232"/>
      <c r="D38" s="205" t="b">
        <f>_xll.qlInstrumentSetPricingEngine(D36,D37)</f>
        <v>1</v>
      </c>
      <c r="E38" s="205" t="b">
        <f>_xll.qlInstrumentSetPricingEngine(E36,E37)</f>
        <v>1</v>
      </c>
      <c r="F38" s="205" t="b">
        <f>_xll.qlInstrumentSetPricingEngine(F36,F37)</f>
        <v>1</v>
      </c>
      <c r="G38" s="205" t="b">
        <f>_xll.qlInstrumentSetPricingEngine(G36,G37)</f>
        <v>1</v>
      </c>
      <c r="H38" s="205" t="b">
        <f>_xll.qlInstrumentSetPricingEngine(H36,H37)</f>
        <v>1</v>
      </c>
      <c r="I38" s="205" t="b">
        <f>_xll.qlInstrumentSetPricingEngine(I36,I37)</f>
        <v>1</v>
      </c>
      <c r="J38" s="205" t="b">
        <f>_xll.qlInstrumentSetPricingEngine(J36,J37)</f>
        <v>1</v>
      </c>
      <c r="K38" s="205" t="b">
        <f>_xll.qlInstrumentSetPricingEngine(K36,K37)</f>
        <v>1</v>
      </c>
      <c r="L38" s="206" t="b">
        <f>_xll.qlInstrumentSetPricingEngine(L36,L37)</f>
        <v>1</v>
      </c>
      <c r="M38" s="102" t="b">
        <f>_xll.qlInstrumentSetPricingEngine(M36,M37)</f>
        <v>1</v>
      </c>
      <c r="N38" s="205" t="b">
        <f>_xll.qlInstrumentSetPricingEngine(N36,N37)</f>
        <v>1</v>
      </c>
      <c r="O38" s="205" t="b">
        <f>_xll.qlInstrumentSetPricingEngine(O36,O37)</f>
        <v>1</v>
      </c>
      <c r="P38" s="205" t="b">
        <f>_xll.qlInstrumentSetPricingEngine(P36,P37)</f>
        <v>1</v>
      </c>
      <c r="Q38" s="205" t="b">
        <f>_xll.qlInstrumentSetPricingEngine(Q36,Q37)</f>
        <v>1</v>
      </c>
      <c r="R38" s="205" t="b">
        <f>_xll.qlInstrumentSetPricingEngine(R36,R37)</f>
        <v>1</v>
      </c>
      <c r="S38" s="205" t="b">
        <f>_xll.qlInstrumentSetPricingEngine(S36,S37)</f>
        <v>1</v>
      </c>
      <c r="T38" s="205" t="b">
        <f>_xll.qlInstrumentSetPricingEngine(T36,T37)</f>
        <v>1</v>
      </c>
      <c r="U38" s="205" t="b">
        <f>_xll.qlInstrumentSetPricingEngine(U36,U37)</f>
        <v>1</v>
      </c>
      <c r="V38" s="206" t="b">
        <f>_xll.qlInstrumentSetPricingEngine(V36,V37)</f>
        <v>1</v>
      </c>
    </row>
    <row r="39" spans="2:22">
      <c r="B39" s="7" t="s">
        <v>111</v>
      </c>
      <c r="C39" s="232"/>
      <c r="D39" s="208">
        <f>_xll.qlInstrumentNPV(D36,D38)</f>
        <v>-17329405.321731992</v>
      </c>
      <c r="E39" s="208">
        <f>_xll.qlInstrumentNPV(E36,E38)</f>
        <v>-17279122.682065561</v>
      </c>
      <c r="F39" s="208">
        <f>_xll.qlInstrumentNPV(F36,F38)</f>
        <v>-17210390.788131028</v>
      </c>
      <c r="G39" s="208">
        <f>_xll.qlInstrumentNPV(G36,G38)</f>
        <v>-17094821.169148006</v>
      </c>
      <c r="H39" s="208">
        <f>_xll.qlInstrumentNPV(H36,H38)</f>
        <v>-16864463.166840401</v>
      </c>
      <c r="I39" s="208">
        <f>_xll.qlInstrumentNPV(I36,I38)</f>
        <v>-16366518.093470175</v>
      </c>
      <c r="J39" s="208">
        <f>_xll.qlInstrumentNPV(J36,J38)</f>
        <v>-15604629.385965075</v>
      </c>
      <c r="K39" s="208">
        <f>_xll.qlInstrumentNPV(K36,K38)</f>
        <v>-14616740.469617162</v>
      </c>
      <c r="L39" s="209">
        <f>_xll.qlInstrumentNPV(L36,L38)</f>
        <v>-13445311.557622567</v>
      </c>
      <c r="M39" s="207">
        <f>_xll.qlInstrumentNPV(M36,M38)</f>
        <v>-12103560.526380375</v>
      </c>
      <c r="N39" s="208">
        <f>_xll.qlInstrumentNPV(N36,N38)</f>
        <v>-10651879.976280827</v>
      </c>
      <c r="O39" s="208">
        <f>_xll.qlInstrumentNPV(O36,O38)</f>
        <v>-9193906.2993525658</v>
      </c>
      <c r="P39" s="208">
        <f>_xll.qlInstrumentNPV(P36,P38)</f>
        <v>-7802034.5129068606</v>
      </c>
      <c r="Q39" s="208">
        <f>_xll.qlInstrumentNPV(Q36,Q38)</f>
        <v>-6475044.2982687689</v>
      </c>
      <c r="R39" s="208">
        <f>_xll.qlInstrumentNPV(R36,R38)</f>
        <v>-5217546.6406762721</v>
      </c>
      <c r="S39" s="208">
        <f>_xll.qlInstrumentNPV(S36,S38)</f>
        <v>-4042279.3083801921</v>
      </c>
      <c r="T39" s="208">
        <f>_xll.qlInstrumentNPV(T36,T38)</f>
        <v>-2929823.9870088091</v>
      </c>
      <c r="U39" s="208">
        <f>_xll.qlInstrumentNPV(U36,U38)</f>
        <v>-1881996.5170164704</v>
      </c>
      <c r="V39" s="209">
        <f>_xll.qlInstrumentNPV(V36,V38)</f>
        <v>-908405.25615260261</v>
      </c>
    </row>
    <row r="40" spans="2:22">
      <c r="B40" s="7" t="s">
        <v>107</v>
      </c>
      <c r="C40" s="232"/>
      <c r="D40" s="208">
        <f>_xll.qlVanillaSwapFixedLegNPV(D36,D38)</f>
        <v>40452514.359203354</v>
      </c>
      <c r="E40" s="208">
        <f>_xll.qlVanillaSwapFixedLegNPV(E36,E38)</f>
        <v>37538908.233535126</v>
      </c>
      <c r="F40" s="208">
        <f>_xll.qlVanillaSwapFixedLegNPV(F36,F38)</f>
        <v>34711400.644913875</v>
      </c>
      <c r="G40" s="208">
        <f>_xll.qlVanillaSwapFixedLegNPV(G36,G38)</f>
        <v>31938842.709733136</v>
      </c>
      <c r="H40" s="208">
        <f>_xll.qlVanillaSwapFixedLegNPV(H36,H38)</f>
        <v>29260662.251010511</v>
      </c>
      <c r="I40" s="208">
        <f>_xll.qlVanillaSwapFixedLegNPV(I36,I38)</f>
        <v>26667223.227168452</v>
      </c>
      <c r="J40" s="208">
        <f>_xll.qlVanillaSwapFixedLegNPV(J36,J38)</f>
        <v>24164017.669948939</v>
      </c>
      <c r="K40" s="208">
        <f>_xll.qlVanillaSwapFixedLegNPV(K36,K38)</f>
        <v>21755266.288191278</v>
      </c>
      <c r="L40" s="209">
        <f>_xll.qlVanillaSwapFixedLegNPV(L36,L38)</f>
        <v>19450094.441651717</v>
      </c>
      <c r="M40" s="207">
        <f>_xll.qlVanillaSwapFixedLegNPV(M36,M38)</f>
        <v>17232243.003711484</v>
      </c>
      <c r="N40" s="208">
        <f>_xll.qlVanillaSwapFixedLegNPV(N36,N38)</f>
        <v>15120862.139116291</v>
      </c>
      <c r="O40" s="208">
        <f>_xll.qlVanillaSwapFixedLegNPV(O36,O38)</f>
        <v>13107360.954364812</v>
      </c>
      <c r="P40" s="208">
        <f>_xll.qlVanillaSwapFixedLegNPV(P36,P38)</f>
        <v>11187245.27536926</v>
      </c>
      <c r="Q40" s="208">
        <f>_xll.qlVanillaSwapFixedLegNPV(Q36,Q38)</f>
        <v>9361112.893252302</v>
      </c>
      <c r="R40" s="208">
        <f>_xll.qlVanillaSwapFixedLegNPV(R36,R38)</f>
        <v>7605133.5546608074</v>
      </c>
      <c r="S40" s="208">
        <f>_xll.qlVanillaSwapFixedLegNPV(S36,S38)</f>
        <v>5938932.1227654237</v>
      </c>
      <c r="T40" s="208">
        <f>_xll.qlVanillaSwapFixedLegNPV(T36,T38)</f>
        <v>4348862.0314888116</v>
      </c>
      <c r="U40" s="208">
        <f>_xll.qlVanillaSwapFixedLegNPV(U36,U38)</f>
        <v>2831029.9651242541</v>
      </c>
      <c r="V40" s="209">
        <f>_xll.qlVanillaSwapFixedLegNPV(V36,V38)</f>
        <v>1381389.8115306615</v>
      </c>
    </row>
    <row r="41" spans="2:22">
      <c r="B41" s="7" t="s">
        <v>126</v>
      </c>
      <c r="C41" s="232"/>
      <c r="D41" s="208">
        <f>_xll.qlVanillaSwapFloatingLegNPV(D36,D38)</f>
        <v>-57781919.680935346</v>
      </c>
      <c r="E41" s="208">
        <f>_xll.qlVanillaSwapFloatingLegNPV(E36,E38)</f>
        <v>-54818030.915600687</v>
      </c>
      <c r="F41" s="208">
        <f>_xll.qlVanillaSwapFloatingLegNPV(F36,F38)</f>
        <v>-51921791.433044903</v>
      </c>
      <c r="G41" s="208">
        <f>_xll.qlVanillaSwapFloatingLegNPV(G36,G38)</f>
        <v>-49033663.878881142</v>
      </c>
      <c r="H41" s="208">
        <f>_xll.qlVanillaSwapFloatingLegNPV(H36,H38)</f>
        <v>-46125125.417850912</v>
      </c>
      <c r="I41" s="208">
        <f>_xll.qlVanillaSwapFloatingLegNPV(I36,I38)</f>
        <v>-43033741.320638627</v>
      </c>
      <c r="J41" s="208">
        <f>_xll.qlVanillaSwapFloatingLegNPV(J36,J38)</f>
        <v>-39768647.055914015</v>
      </c>
      <c r="K41" s="208">
        <f>_xll.qlVanillaSwapFloatingLegNPV(K36,K38)</f>
        <v>-36372006.757808439</v>
      </c>
      <c r="L41" s="209">
        <f>_xll.qlVanillaSwapFloatingLegNPV(L36,L38)</f>
        <v>-32895405.999274284</v>
      </c>
      <c r="M41" s="207">
        <f>_xll.qlVanillaSwapFloatingLegNPV(M36,M38)</f>
        <v>-29335803.530091859</v>
      </c>
      <c r="N41" s="208">
        <f>_xll.qlVanillaSwapFloatingLegNPV(N36,N38)</f>
        <v>-25772742.115397118</v>
      </c>
      <c r="O41" s="208">
        <f>_xll.qlVanillaSwapFloatingLegNPV(O36,O38)</f>
        <v>-22301267.253717378</v>
      </c>
      <c r="P41" s="208">
        <f>_xll.qlVanillaSwapFloatingLegNPV(P36,P38)</f>
        <v>-18989279.788276121</v>
      </c>
      <c r="Q41" s="208">
        <f>_xll.qlVanillaSwapFloatingLegNPV(Q36,Q38)</f>
        <v>-15836157.191521071</v>
      </c>
      <c r="R41" s="208">
        <f>_xll.qlVanillaSwapFloatingLegNPV(R36,R38)</f>
        <v>-12822680.195337079</v>
      </c>
      <c r="S41" s="208">
        <f>_xll.qlVanillaSwapFloatingLegNPV(S36,S38)</f>
        <v>-9981211.4311456159</v>
      </c>
      <c r="T41" s="208">
        <f>_xll.qlVanillaSwapFloatingLegNPV(T36,T38)</f>
        <v>-7278686.0184976207</v>
      </c>
      <c r="U41" s="208">
        <f>_xll.qlVanillaSwapFloatingLegNPV(U36,U38)</f>
        <v>-4713026.4821407245</v>
      </c>
      <c r="V41" s="209">
        <f>_xll.qlVanillaSwapFloatingLegNPV(V36,V38)</f>
        <v>-2289795.0676832641</v>
      </c>
    </row>
    <row r="42" spans="2:22">
      <c r="B42" s="7" t="s">
        <v>127</v>
      </c>
      <c r="C42" s="232"/>
      <c r="D42" s="211">
        <f t="shared" ref="D42:V42" si="1">D40/D26/D32</f>
        <v>13.484171453067784</v>
      </c>
      <c r="E42" s="211">
        <f t="shared" si="1"/>
        <v>12.512969411178377</v>
      </c>
      <c r="F42" s="211">
        <f t="shared" si="1"/>
        <v>11.570466881637959</v>
      </c>
      <c r="G42" s="211">
        <f t="shared" si="1"/>
        <v>10.646280903244378</v>
      </c>
      <c r="H42" s="211">
        <f t="shared" si="1"/>
        <v>9.7535540836701706</v>
      </c>
      <c r="I42" s="211">
        <f t="shared" si="1"/>
        <v>8.8890744090561515</v>
      </c>
      <c r="J42" s="211">
        <f t="shared" si="1"/>
        <v>8.0546725566496473</v>
      </c>
      <c r="K42" s="211">
        <f t="shared" si="1"/>
        <v>7.2517554293970932</v>
      </c>
      <c r="L42" s="212">
        <f t="shared" si="1"/>
        <v>6.4833648138839051</v>
      </c>
      <c r="M42" s="210">
        <f t="shared" si="1"/>
        <v>5.744081001237161</v>
      </c>
      <c r="N42" s="211">
        <f t="shared" si="1"/>
        <v>5.0402873797054299</v>
      </c>
      <c r="O42" s="211">
        <f t="shared" si="1"/>
        <v>4.3691203181216043</v>
      </c>
      <c r="P42" s="211">
        <f t="shared" si="1"/>
        <v>3.7290817584564202</v>
      </c>
      <c r="Q42" s="211">
        <f t="shared" si="1"/>
        <v>3.1203709644174342</v>
      </c>
      <c r="R42" s="211">
        <f t="shared" si="1"/>
        <v>2.535044518220269</v>
      </c>
      <c r="S42" s="211">
        <f t="shared" si="1"/>
        <v>1.9796440409218079</v>
      </c>
      <c r="T42" s="211">
        <f t="shared" si="1"/>
        <v>1.4496206771629372</v>
      </c>
      <c r="U42" s="211">
        <f t="shared" si="1"/>
        <v>0.94367665504141807</v>
      </c>
      <c r="V42" s="212">
        <f t="shared" si="1"/>
        <v>0.46046327051022051</v>
      </c>
    </row>
    <row r="43" spans="2:22">
      <c r="B43" s="169" t="s">
        <v>128</v>
      </c>
      <c r="C43" s="233"/>
      <c r="D43" s="214">
        <f t="shared" ref="D43:V43" si="2">-D41/D32/D42</f>
        <v>4.2851664918417645E-2</v>
      </c>
      <c r="E43" s="214">
        <f t="shared" si="2"/>
        <v>4.3808970608230989E-2</v>
      </c>
      <c r="F43" s="214">
        <f t="shared" si="2"/>
        <v>4.487441342185032E-2</v>
      </c>
      <c r="G43" s="214">
        <f t="shared" si="2"/>
        <v>4.6057082585467458E-2</v>
      </c>
      <c r="H43" s="214">
        <f t="shared" si="2"/>
        <v>4.7290582511943645E-2</v>
      </c>
      <c r="I43" s="214">
        <f t="shared" si="2"/>
        <v>4.8411948579028689E-2</v>
      </c>
      <c r="J43" s="214">
        <f t="shared" si="2"/>
        <v>4.9373387653210622E-2</v>
      </c>
      <c r="K43" s="214">
        <f t="shared" si="2"/>
        <v>5.0156140967418682E-2</v>
      </c>
      <c r="L43" s="215">
        <f t="shared" si="2"/>
        <v>5.0738169058187031E-2</v>
      </c>
      <c r="M43" s="213">
        <f t="shared" si="2"/>
        <v>5.1071361152068555E-2</v>
      </c>
      <c r="N43" s="214">
        <f t="shared" si="2"/>
        <v>5.113347746632526E-2</v>
      </c>
      <c r="O43" s="214">
        <f t="shared" si="2"/>
        <v>5.1042923128528671E-2</v>
      </c>
      <c r="P43" s="214">
        <f t="shared" si="2"/>
        <v>5.0922133163785493E-2</v>
      </c>
      <c r="Q43" s="214">
        <f t="shared" si="2"/>
        <v>5.0750879854048525E-2</v>
      </c>
      <c r="R43" s="214">
        <f t="shared" si="2"/>
        <v>5.0581676586647313E-2</v>
      </c>
      <c r="S43" s="214">
        <f t="shared" si="2"/>
        <v>5.0419222975550355E-2</v>
      </c>
      <c r="T43" s="214">
        <f t="shared" si="2"/>
        <v>5.0210969898296348E-2</v>
      </c>
      <c r="U43" s="214">
        <f t="shared" si="2"/>
        <v>4.9943234867178839E-2</v>
      </c>
      <c r="V43" s="215">
        <f t="shared" si="2"/>
        <v>4.9728072016385495E-2</v>
      </c>
    </row>
    <row r="44" spans="2:22" ht="13">
      <c r="B44" s="83" t="s">
        <v>65</v>
      </c>
      <c r="C44" s="83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</row>
    <row r="45" spans="2:22">
      <c r="B45" s="171" t="s">
        <v>131</v>
      </c>
      <c r="C45" s="231"/>
      <c r="D45" s="187">
        <v>0.01</v>
      </c>
      <c r="E45" s="187">
        <v>0.01</v>
      </c>
      <c r="F45" s="187">
        <v>0.01</v>
      </c>
      <c r="G45" s="187">
        <v>0.01</v>
      </c>
      <c r="H45" s="187">
        <v>0.01</v>
      </c>
      <c r="I45" s="187">
        <v>0.01</v>
      </c>
      <c r="J45" s="187">
        <v>0.01</v>
      </c>
      <c r="K45" s="187">
        <v>0.01</v>
      </c>
      <c r="L45" s="188">
        <v>0.01</v>
      </c>
      <c r="M45" s="186">
        <v>0.01</v>
      </c>
      <c r="N45" s="187">
        <v>0.01</v>
      </c>
      <c r="O45" s="187">
        <v>0.01</v>
      </c>
      <c r="P45" s="187">
        <v>0.01</v>
      </c>
      <c r="Q45" s="187">
        <v>0.01</v>
      </c>
      <c r="R45" s="187">
        <v>0.01</v>
      </c>
      <c r="S45" s="187">
        <v>0.01</v>
      </c>
      <c r="T45" s="187">
        <v>0.01</v>
      </c>
      <c r="U45" s="187">
        <v>0.01</v>
      </c>
      <c r="V45" s="188">
        <v>0.01</v>
      </c>
    </row>
    <row r="46" spans="2:22">
      <c r="B46" s="7" t="s">
        <v>62</v>
      </c>
      <c r="C46" s="232"/>
      <c r="D46" s="217">
        <f t="shared" ref="D46:V46" si="3">D45/D43^D47</f>
        <v>4.8307676561700187E-2</v>
      </c>
      <c r="E46" s="217">
        <f t="shared" si="3"/>
        <v>4.7776955946111706E-2</v>
      </c>
      <c r="F46" s="217">
        <f t="shared" si="3"/>
        <v>4.7206370174693375E-2</v>
      </c>
      <c r="G46" s="217">
        <f t="shared" si="3"/>
        <v>4.6596338077270864E-2</v>
      </c>
      <c r="H46" s="217">
        <f t="shared" si="3"/>
        <v>4.5984627012894325E-2</v>
      </c>
      <c r="I46" s="217">
        <f t="shared" si="3"/>
        <v>4.544893577800465E-2</v>
      </c>
      <c r="J46" s="217">
        <f t="shared" si="3"/>
        <v>4.5004250852755029E-2</v>
      </c>
      <c r="K46" s="217">
        <f t="shared" si="3"/>
        <v>4.4651694308130749E-2</v>
      </c>
      <c r="L46" s="218">
        <f t="shared" si="3"/>
        <v>4.4394851171851615E-2</v>
      </c>
      <c r="M46" s="216">
        <f t="shared" si="3"/>
        <v>4.4249797093944963E-2</v>
      </c>
      <c r="N46" s="217">
        <f t="shared" si="3"/>
        <v>4.4222911874149215E-2</v>
      </c>
      <c r="O46" s="217">
        <f t="shared" si="3"/>
        <v>4.4262122030197276E-2</v>
      </c>
      <c r="P46" s="217">
        <f t="shared" si="3"/>
        <v>4.4314586971129E-2</v>
      </c>
      <c r="Q46" s="217">
        <f t="shared" si="3"/>
        <v>4.4389291374375119E-2</v>
      </c>
      <c r="R46" s="217">
        <f t="shared" si="3"/>
        <v>4.4463473795069222E-2</v>
      </c>
      <c r="S46" s="217">
        <f t="shared" si="3"/>
        <v>4.4535048111138134E-2</v>
      </c>
      <c r="T46" s="217">
        <f t="shared" si="3"/>
        <v>4.4627308468013299E-2</v>
      </c>
      <c r="U46" s="217">
        <f t="shared" si="3"/>
        <v>4.4746767325327834E-2</v>
      </c>
      <c r="V46" s="218">
        <f t="shared" si="3"/>
        <v>4.4843467737109302E-2</v>
      </c>
    </row>
    <row r="47" spans="2:22">
      <c r="B47" s="7" t="s">
        <v>63</v>
      </c>
      <c r="C47" s="232"/>
      <c r="D47" s="176">
        <v>0.5</v>
      </c>
      <c r="E47" s="176">
        <v>0.5</v>
      </c>
      <c r="F47" s="176">
        <v>0.5</v>
      </c>
      <c r="G47" s="176">
        <v>0.5</v>
      </c>
      <c r="H47" s="176">
        <v>0.5</v>
      </c>
      <c r="I47" s="176">
        <v>0.5</v>
      </c>
      <c r="J47" s="176">
        <v>0.5</v>
      </c>
      <c r="K47" s="176">
        <v>0.5</v>
      </c>
      <c r="L47" s="177">
        <v>0.5</v>
      </c>
      <c r="M47" s="175">
        <v>0.5</v>
      </c>
      <c r="N47" s="176">
        <v>0.5</v>
      </c>
      <c r="O47" s="176">
        <v>0.5</v>
      </c>
      <c r="P47" s="176">
        <v>0.5</v>
      </c>
      <c r="Q47" s="176">
        <v>0.5</v>
      </c>
      <c r="R47" s="176">
        <v>0.5</v>
      </c>
      <c r="S47" s="176">
        <v>0.5</v>
      </c>
      <c r="T47" s="176">
        <v>0.5</v>
      </c>
      <c r="U47" s="176">
        <v>0.5</v>
      </c>
      <c r="V47" s="177">
        <v>0.5</v>
      </c>
    </row>
    <row r="48" spans="2:22">
      <c r="B48" s="7" t="s">
        <v>68</v>
      </c>
      <c r="C48" s="232"/>
      <c r="D48" s="176">
        <v>0.5</v>
      </c>
      <c r="E48" s="176">
        <v>0.5</v>
      </c>
      <c r="F48" s="176">
        <v>0.5</v>
      </c>
      <c r="G48" s="176">
        <v>0.5</v>
      </c>
      <c r="H48" s="176">
        <v>0.5</v>
      </c>
      <c r="I48" s="176">
        <v>0.5</v>
      </c>
      <c r="J48" s="176">
        <v>0.5</v>
      </c>
      <c r="K48" s="176">
        <v>0.5</v>
      </c>
      <c r="L48" s="177">
        <v>0.5</v>
      </c>
      <c r="M48" s="175">
        <v>0.5</v>
      </c>
      <c r="N48" s="176">
        <v>0.5</v>
      </c>
      <c r="O48" s="176">
        <v>0.5</v>
      </c>
      <c r="P48" s="176">
        <v>0.5</v>
      </c>
      <c r="Q48" s="176">
        <v>0.5</v>
      </c>
      <c r="R48" s="176">
        <v>0.5</v>
      </c>
      <c r="S48" s="176">
        <v>0.5</v>
      </c>
      <c r="T48" s="176">
        <v>0.5</v>
      </c>
      <c r="U48" s="176">
        <v>0.5</v>
      </c>
      <c r="V48" s="177">
        <v>0.5</v>
      </c>
    </row>
    <row r="49" spans="2:22">
      <c r="B49" s="7" t="s">
        <v>69</v>
      </c>
      <c r="C49" s="232"/>
      <c r="D49" s="176">
        <v>0.7</v>
      </c>
      <c r="E49" s="176">
        <v>0.7</v>
      </c>
      <c r="F49" s="176">
        <v>0.7</v>
      </c>
      <c r="G49" s="176">
        <v>0.7</v>
      </c>
      <c r="H49" s="176">
        <v>0.7</v>
      </c>
      <c r="I49" s="176">
        <v>0.7</v>
      </c>
      <c r="J49" s="176">
        <v>0.7</v>
      </c>
      <c r="K49" s="176">
        <v>0.7</v>
      </c>
      <c r="L49" s="177">
        <v>0.7</v>
      </c>
      <c r="M49" s="175">
        <v>0.7</v>
      </c>
      <c r="N49" s="176">
        <v>0.7</v>
      </c>
      <c r="O49" s="176">
        <v>0.7</v>
      </c>
      <c r="P49" s="176">
        <v>0.7</v>
      </c>
      <c r="Q49" s="176">
        <v>0.7</v>
      </c>
      <c r="R49" s="176">
        <v>0.7</v>
      </c>
      <c r="S49" s="176">
        <v>0.7</v>
      </c>
      <c r="T49" s="176">
        <v>0.7</v>
      </c>
      <c r="U49" s="176">
        <v>0.7</v>
      </c>
      <c r="V49" s="177">
        <v>0.7</v>
      </c>
    </row>
    <row r="50" spans="2:22">
      <c r="B50" s="7" t="s">
        <v>132</v>
      </c>
      <c r="C50" s="232"/>
      <c r="D50" s="220">
        <f>_xll.qlDayCounterYearFraction("Act/365 (Fixed)",$C$3,D12)</f>
        <v>7.3972602739726029E-2</v>
      </c>
      <c r="E50" s="220">
        <f>_xll.qlDayCounterYearFraction("Act/365 (Fixed)",$C$3,E12)</f>
        <v>1.0767123287671232</v>
      </c>
      <c r="F50" s="220">
        <f>_xll.qlDayCounterYearFraction("Act/365 (Fixed)",$C$3,F12)</f>
        <v>2.0767123287671234</v>
      </c>
      <c r="G50" s="220">
        <f>_xll.qlDayCounterYearFraction("Act/365 (Fixed)",$C$3,G12)</f>
        <v>3.0739726027397261</v>
      </c>
      <c r="H50" s="220">
        <f>_xll.qlDayCounterYearFraction("Act/365 (Fixed)",$C$3,H12)</f>
        <v>4.0712328767123287</v>
      </c>
      <c r="I50" s="220">
        <f>_xll.qlDayCounterYearFraction("Act/365 (Fixed)",$C$3,I12)</f>
        <v>5.0794520547945208</v>
      </c>
      <c r="J50" s="220">
        <f>_xll.qlDayCounterYearFraction("Act/365 (Fixed)",$C$3,J12)</f>
        <v>6.0794520547945208</v>
      </c>
      <c r="K50" s="220">
        <f>_xll.qlDayCounterYearFraction("Act/365 (Fixed)",$C$3,K12)</f>
        <v>7.0794520547945208</v>
      </c>
      <c r="L50" s="221">
        <f>_xll.qlDayCounterYearFraction("Act/365 (Fixed)",$C$3,L12)</f>
        <v>8.0794520547945208</v>
      </c>
      <c r="M50" s="219">
        <f>_xll.qlDayCounterYearFraction("Act/365 (Fixed)",$C$3,M12)</f>
        <v>9.0767123287671225</v>
      </c>
      <c r="N50" s="220">
        <f>_xll.qlDayCounterYearFraction("Act/365 (Fixed)",$C$3,N12)</f>
        <v>10.076712328767123</v>
      </c>
      <c r="O50" s="220">
        <f>_xll.qlDayCounterYearFraction("Act/365 (Fixed)",$C$3,O12)</f>
        <v>11.082191780821917</v>
      </c>
      <c r="P50" s="220">
        <f>_xll.qlDayCounterYearFraction("Act/365 (Fixed)",$C$3,P12)</f>
        <v>12.082191780821917</v>
      </c>
      <c r="Q50" s="220">
        <f>_xll.qlDayCounterYearFraction("Act/365 (Fixed)",$C$3,Q12)</f>
        <v>13.084931506849315</v>
      </c>
      <c r="R50" s="220">
        <f>_xll.qlDayCounterYearFraction("Act/365 (Fixed)",$C$3,R12)</f>
        <v>14.082191780821917</v>
      </c>
      <c r="S50" s="220">
        <f>_xll.qlDayCounterYearFraction("Act/365 (Fixed)",$C$3,S12)</f>
        <v>15.079452054794521</v>
      </c>
      <c r="T50" s="220">
        <f>_xll.qlDayCounterYearFraction("Act/365 (Fixed)",$C$3,T12)</f>
        <v>16.079452054794519</v>
      </c>
      <c r="U50" s="220">
        <f>_xll.qlDayCounterYearFraction("Act/365 (Fixed)",$C$3,U12)</f>
        <v>17.087671232876712</v>
      </c>
      <c r="V50" s="221">
        <f>_xll.qlDayCounterYearFraction("Act/365 (Fixed)",$C$3,V12)</f>
        <v>18.087671232876712</v>
      </c>
    </row>
    <row r="51" spans="2:22">
      <c r="B51" s="7" t="s">
        <v>135</v>
      </c>
      <c r="C51" s="232"/>
      <c r="D51" s="223">
        <f>_xll.qlSabrVolatility(D26,D43,D50,D46,D47,D48,D49,TRUE)</f>
        <v>7.420507940219148E-3</v>
      </c>
      <c r="E51" s="223">
        <f>_xll.qlSabrVolatility(E26,E43,E50,E46,E47,E48,E49,TRUE)</f>
        <v>7.4199062017940125E-3</v>
      </c>
      <c r="F51" s="223">
        <f>_xll.qlSabrVolatility(F26,F43,F50,F46,F47,F48,F49,TRUE)</f>
        <v>7.4203319125991617E-3</v>
      </c>
      <c r="G51" s="223">
        <f>_xll.qlSabrVolatility(G26,G43,G50,G46,G47,G48,G49,TRUE)</f>
        <v>7.427233655485789E-3</v>
      </c>
      <c r="H51" s="223">
        <f>_xll.qlSabrVolatility(H26,H43,H50,H46,H47,H48,H49,TRUE)</f>
        <v>7.4511192021918526E-3</v>
      </c>
      <c r="I51" s="223">
        <f>_xll.qlSabrVolatility(I26,I43,I50,I46,I47,I48,I49,TRUE)</f>
        <v>7.5011776560437232E-3</v>
      </c>
      <c r="J51" s="223">
        <f>_xll.qlSabrVolatility(J26,J43,J50,J46,J47,J48,J49,TRUE)</f>
        <v>7.5704170150654344E-3</v>
      </c>
      <c r="K51" s="223">
        <f>_xll.qlSabrVolatility(K26,K43,K50,K46,K47,K48,K49,TRUE)</f>
        <v>7.6530712380927278E-3</v>
      </c>
      <c r="L51" s="224">
        <f>_xll.qlSabrVolatility(L26,L43,L50,L46,L47,L48,L49,TRUE)</f>
        <v>7.7436521127681769E-3</v>
      </c>
      <c r="M51" s="222">
        <f>_xll.qlSabrVolatility(M26,M43,M50,M46,M47,M48,M49,TRUE)</f>
        <v>7.8377728237402529E-3</v>
      </c>
      <c r="N51" s="223">
        <f>_xll.qlSabrVolatility(N26,N43,N50,N46,N47,N48,N49,TRUE)</f>
        <v>7.9333552271829543E-3</v>
      </c>
      <c r="O51" s="223">
        <f>_xll.qlSabrVolatility(O26,O43,O50,O46,O47,O48,O49,TRUE)</f>
        <v>8.0299490320036894E-3</v>
      </c>
      <c r="P51" s="223">
        <f>_xll.qlSabrVolatility(P26,P43,P50,P46,P47,P48,P49,TRUE)</f>
        <v>8.126433435300227E-3</v>
      </c>
      <c r="Q51" s="223">
        <f>_xll.qlSabrVolatility(Q26,Q43,Q50,Q46,Q47,Q48,Q49,TRUE)</f>
        <v>8.2239989901523071E-3</v>
      </c>
      <c r="R51" s="223">
        <f>_xll.qlSabrVolatility(R26,R43,R50,R46,R47,R48,R49,TRUE)</f>
        <v>8.3216497238317189E-3</v>
      </c>
      <c r="S51" s="223">
        <f>_xll.qlSabrVolatility(S26,S43,S50,S46,S47,S48,S49,TRUE)</f>
        <v>8.419840671387022E-3</v>
      </c>
      <c r="T51" s="223">
        <f>_xll.qlSabrVolatility(T26,T43,T50,T46,T47,T48,T49,TRUE)</f>
        <v>8.519798540497418E-3</v>
      </c>
      <c r="U51" s="223">
        <f>_xll.qlSabrVolatility(U26,U43,U50,U46,U47,U48,U49,TRUE)</f>
        <v>8.6229527949872684E-3</v>
      </c>
      <c r="V51" s="224">
        <f>_xll.qlSabrVolatility(V26,V43,V50,V46,V47,V48,V49,TRUE)</f>
        <v>8.7253519123389883E-3</v>
      </c>
    </row>
    <row r="52" spans="2:22">
      <c r="B52" s="169" t="s">
        <v>136</v>
      </c>
      <c r="C52" s="233"/>
      <c r="D52" s="184" t="str">
        <f>_xll.qlConstantSwaptionVolatility(,0,"NullCalendar","unadjusted",D51,"Act/365 (Fixed)","Normal")</f>
        <v>obj_0009f#0013</v>
      </c>
      <c r="E52" s="184" t="str">
        <f>_xll.qlConstantSwaptionVolatility(,0,"NullCalendar","unadjusted",E51,"Act/365 (Fixed)","Normal")</f>
        <v>obj_0008f#0013</v>
      </c>
      <c r="F52" s="184" t="str">
        <f>_xll.qlConstantSwaptionVolatility(,0,"NullCalendar","unadjusted",F51,"Act/365 (Fixed)","Normal")</f>
        <v>obj_00083#0013</v>
      </c>
      <c r="G52" s="184" t="str">
        <f>_xll.qlConstantSwaptionVolatility(,0,"NullCalendar","unadjusted",G51,"Act/365 (Fixed)","Normal")</f>
        <v>obj_0009d#0013</v>
      </c>
      <c r="H52" s="184" t="str">
        <f>_xll.qlConstantSwaptionVolatility(,0,"NullCalendar","unadjusted",H51,"Act/365 (Fixed)","Normal")</f>
        <v>obj_00085#0013</v>
      </c>
      <c r="I52" s="184" t="str">
        <f>_xll.qlConstantSwaptionVolatility(,0,"NullCalendar","unadjusted",I51,"Act/365 (Fixed)","Normal")</f>
        <v>obj_00093#0013</v>
      </c>
      <c r="J52" s="184" t="str">
        <f>_xll.qlConstantSwaptionVolatility(,0,"NullCalendar","unadjusted",J51,"Act/365 (Fixed)","Normal")</f>
        <v>obj_0008d#0013</v>
      </c>
      <c r="K52" s="184" t="str">
        <f>_xll.qlConstantSwaptionVolatility(,0,"NullCalendar","unadjusted",K51,"Act/365 (Fixed)","Normal")</f>
        <v>obj_00095#0013</v>
      </c>
      <c r="L52" s="185" t="str">
        <f>_xll.qlConstantSwaptionVolatility(,0,"NullCalendar","unadjusted",L51,"Act/365 (Fixed)","Normal")</f>
        <v>obj_00091#0013</v>
      </c>
      <c r="M52" s="104" t="str">
        <f>_xll.qlConstantSwaptionVolatility(,0,"NullCalendar","unadjusted",M51,"Act/365 (Fixed)","Normal")</f>
        <v>obj_000a3#0013</v>
      </c>
      <c r="N52" s="184" t="str">
        <f>_xll.qlConstantSwaptionVolatility(,0,"NullCalendar","unadjusted",N51,"Act/365 (Fixed)","Normal")</f>
        <v>obj_0008b#0013</v>
      </c>
      <c r="O52" s="184" t="str">
        <f>_xll.qlConstantSwaptionVolatility(,0,"NullCalendar","unadjusted",O51,"Act/365 (Fixed)","Normal")</f>
        <v>obj_0009b#0013</v>
      </c>
      <c r="P52" s="184" t="str">
        <f>_xll.qlConstantSwaptionVolatility(,0,"NullCalendar","unadjusted",P51,"Act/365 (Fixed)","Normal")</f>
        <v>obj_00097#0013</v>
      </c>
      <c r="Q52" s="184" t="str">
        <f>_xll.qlConstantSwaptionVolatility(,0,"NullCalendar","unadjusted",Q51,"Act/365 (Fixed)","Normal")</f>
        <v>obj_00087#0013</v>
      </c>
      <c r="R52" s="184" t="str">
        <f>_xll.qlConstantSwaptionVolatility(,0,"NullCalendar","unadjusted",R51,"Act/365 (Fixed)","Normal")</f>
        <v>obj_000a7#0013</v>
      </c>
      <c r="S52" s="184" t="str">
        <f>_xll.qlConstantSwaptionVolatility(,0,"NullCalendar","unadjusted",S51,"Act/365 (Fixed)","Normal")</f>
        <v>obj_00089#0013</v>
      </c>
      <c r="T52" s="184" t="str">
        <f>_xll.qlConstantSwaptionVolatility(,0,"NullCalendar","unadjusted",T51,"Act/365 (Fixed)","Normal")</f>
        <v>obj_000a5#0013</v>
      </c>
      <c r="U52" s="184" t="str">
        <f>_xll.qlConstantSwaptionVolatility(,0,"NullCalendar","unadjusted",U51,"Act/365 (Fixed)","Normal")</f>
        <v>obj_00099#0013</v>
      </c>
      <c r="V52" s="185" t="str">
        <f>_xll.qlConstantSwaptionVolatility(,0,"NullCalendar","unadjusted",V51,"Act/365 (Fixed)","Normal")</f>
        <v>obj_000a1#0013</v>
      </c>
    </row>
    <row r="53" spans="2:22" ht="13">
      <c r="B53" s="83" t="s">
        <v>133</v>
      </c>
      <c r="C53" s="83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</row>
    <row r="54" spans="2:22">
      <c r="B54" s="171" t="s">
        <v>0</v>
      </c>
      <c r="C54" s="231"/>
      <c r="D54" s="193">
        <f t="shared" ref="D54:V54" si="4">D12</f>
        <v>43766</v>
      </c>
      <c r="E54" s="193">
        <f t="shared" si="4"/>
        <v>44132</v>
      </c>
      <c r="F54" s="193">
        <f t="shared" si="4"/>
        <v>44497</v>
      </c>
      <c r="G54" s="193">
        <f t="shared" si="4"/>
        <v>44861</v>
      </c>
      <c r="H54" s="193">
        <f t="shared" si="4"/>
        <v>45225</v>
      </c>
      <c r="I54" s="193">
        <f t="shared" si="4"/>
        <v>45593</v>
      </c>
      <c r="J54" s="193">
        <f t="shared" si="4"/>
        <v>45958</v>
      </c>
      <c r="K54" s="193">
        <f t="shared" si="4"/>
        <v>46323</v>
      </c>
      <c r="L54" s="194">
        <f t="shared" si="4"/>
        <v>46688</v>
      </c>
      <c r="M54" s="192">
        <f t="shared" si="4"/>
        <v>47052</v>
      </c>
      <c r="N54" s="193">
        <f t="shared" si="4"/>
        <v>47417</v>
      </c>
      <c r="O54" s="193">
        <f t="shared" si="4"/>
        <v>47784</v>
      </c>
      <c r="P54" s="193">
        <f t="shared" si="4"/>
        <v>48149</v>
      </c>
      <c r="Q54" s="193">
        <f t="shared" si="4"/>
        <v>48515</v>
      </c>
      <c r="R54" s="193">
        <f t="shared" si="4"/>
        <v>48879</v>
      </c>
      <c r="S54" s="193">
        <f t="shared" si="4"/>
        <v>49243</v>
      </c>
      <c r="T54" s="193">
        <f t="shared" si="4"/>
        <v>49608</v>
      </c>
      <c r="U54" s="193">
        <f t="shared" si="4"/>
        <v>49976</v>
      </c>
      <c r="V54" s="194">
        <f t="shared" si="4"/>
        <v>50341</v>
      </c>
    </row>
    <row r="55" spans="2:22">
      <c r="B55" s="169" t="s">
        <v>138</v>
      </c>
      <c r="C55" s="233"/>
      <c r="D55" s="184" t="str">
        <f>_xll.qlEuropeanExercise(,D54)</f>
        <v>obj_0003a#0007</v>
      </c>
      <c r="E55" s="184" t="str">
        <f>_xll.qlEuropeanExercise(,E54)</f>
        <v>obj_00022#0007</v>
      </c>
      <c r="F55" s="184" t="str">
        <f>_xll.qlEuropeanExercise(,F54)</f>
        <v>obj_0002f#0007</v>
      </c>
      <c r="G55" s="184" t="str">
        <f>_xll.qlEuropeanExercise(,G54)</f>
        <v>obj_0003b#0007</v>
      </c>
      <c r="H55" s="184" t="str">
        <f>_xll.qlEuropeanExercise(,H54)</f>
        <v>obj_00020#0007</v>
      </c>
      <c r="I55" s="184" t="str">
        <f>_xll.qlEuropeanExercise(,I54)</f>
        <v>obj_0002d#0007</v>
      </c>
      <c r="J55" s="184" t="str">
        <f>_xll.qlEuropeanExercise(,J54)</f>
        <v>obj_00021#0007</v>
      </c>
      <c r="K55" s="184" t="str">
        <f>_xll.qlEuropeanExercise(,K54)</f>
        <v>obj_00024#0007</v>
      </c>
      <c r="L55" s="185" t="str">
        <f>_xll.qlEuropeanExercise(,L54)</f>
        <v>obj_00032#0007</v>
      </c>
      <c r="M55" s="104" t="str">
        <f>_xll.qlEuropeanExercise(,M54)</f>
        <v>obj_00040#0007</v>
      </c>
      <c r="N55" s="184" t="str">
        <f>_xll.qlEuropeanExercise(,N54)</f>
        <v>obj_00025#0007</v>
      </c>
      <c r="O55" s="184" t="str">
        <f>_xll.qlEuropeanExercise(,O54)</f>
        <v>obj_00035#0007</v>
      </c>
      <c r="P55" s="184" t="str">
        <f>_xll.qlEuropeanExercise(,P54)</f>
        <v>obj_0003c#0007</v>
      </c>
      <c r="Q55" s="184" t="str">
        <f>_xll.qlEuropeanExercise(,Q54)</f>
        <v>obj_00038#0007</v>
      </c>
      <c r="R55" s="184" t="str">
        <f>_xll.qlEuropeanExercise(,R54)</f>
        <v>obj_00029#0007</v>
      </c>
      <c r="S55" s="184" t="str">
        <f>_xll.qlEuropeanExercise(,S54)</f>
        <v>obj_0003d#0007</v>
      </c>
      <c r="T55" s="184" t="str">
        <f>_xll.qlEuropeanExercise(,T54)</f>
        <v>obj_00039#0007</v>
      </c>
      <c r="U55" s="184" t="str">
        <f>_xll.qlEuropeanExercise(,U54)</f>
        <v>obj_00028#0007</v>
      </c>
      <c r="V55" s="185" t="str">
        <f>_xll.qlEuropeanExercise(,V54)</f>
        <v>obj_00036#0007</v>
      </c>
    </row>
    <row r="56" spans="2:22" ht="13">
      <c r="B56" s="83" t="s">
        <v>139</v>
      </c>
      <c r="C56" s="83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</row>
    <row r="57" spans="2:22">
      <c r="B57" s="171" t="s">
        <v>140</v>
      </c>
      <c r="C57" s="231"/>
      <c r="D57" s="173" t="s">
        <v>137</v>
      </c>
      <c r="E57" s="173" t="s">
        <v>137</v>
      </c>
      <c r="F57" s="173" t="s">
        <v>137</v>
      </c>
      <c r="G57" s="173" t="s">
        <v>137</v>
      </c>
      <c r="H57" s="173" t="s">
        <v>137</v>
      </c>
      <c r="I57" s="173" t="s">
        <v>137</v>
      </c>
      <c r="J57" s="173" t="s">
        <v>137</v>
      </c>
      <c r="K57" s="173" t="s">
        <v>137</v>
      </c>
      <c r="L57" s="174" t="s">
        <v>137</v>
      </c>
      <c r="M57" s="172" t="s">
        <v>137</v>
      </c>
      <c r="N57" s="173" t="s">
        <v>137</v>
      </c>
      <c r="O57" s="173" t="s">
        <v>137</v>
      </c>
      <c r="P57" s="173" t="s">
        <v>137</v>
      </c>
      <c r="Q57" s="173" t="s">
        <v>137</v>
      </c>
      <c r="R57" s="173" t="s">
        <v>137</v>
      </c>
      <c r="S57" s="173" t="s">
        <v>137</v>
      </c>
      <c r="T57" s="173" t="s">
        <v>137</v>
      </c>
      <c r="U57" s="173" t="s">
        <v>137</v>
      </c>
      <c r="V57" s="174" t="s">
        <v>137</v>
      </c>
    </row>
    <row r="58" spans="2:22">
      <c r="B58" s="7" t="s">
        <v>139</v>
      </c>
      <c r="C58" s="232"/>
      <c r="D58" s="205" t="str">
        <f>_xll.qlSwaption(,D36,D55,D57)</f>
        <v>obj_00081#0013</v>
      </c>
      <c r="E58" s="205" t="str">
        <f>_xll.qlSwaption(,E36,E55,E57)</f>
        <v>obj_00082#0013</v>
      </c>
      <c r="F58" s="205" t="str">
        <f>_xll.qlSwaption(,F36,F55,F57)</f>
        <v>obj_00074#0013</v>
      </c>
      <c r="G58" s="205" t="str">
        <f>_xll.qlSwaption(,G36,G55,G57)</f>
        <v>obj_00073#0013</v>
      </c>
      <c r="H58" s="205" t="str">
        <f>_xll.qlSwaption(,H36,H55,H57)</f>
        <v>obj_00079#0013</v>
      </c>
      <c r="I58" s="205" t="str">
        <f>_xll.qlSwaption(,I36,I55,I57)</f>
        <v>obj_00080#0013</v>
      </c>
      <c r="J58" s="205" t="str">
        <f>_xll.qlSwaption(,J36,J55,J57)</f>
        <v>obj_0007f#0013</v>
      </c>
      <c r="K58" s="205" t="str">
        <f>_xll.qlSwaption(,K36,K55,K57)</f>
        <v>obj_00076#0013</v>
      </c>
      <c r="L58" s="206" t="str">
        <f>_xll.qlSwaption(,L36,L55,L57)</f>
        <v>obj_00077#0013</v>
      </c>
      <c r="M58" s="102" t="str">
        <f>_xll.qlSwaption(,M36,M55,M57)</f>
        <v>obj_0007e#0013</v>
      </c>
      <c r="N58" s="205" t="str">
        <f>_xll.qlSwaption(,N36,N55,N57)</f>
        <v>obj_0007a#0013</v>
      </c>
      <c r="O58" s="205" t="str">
        <f>_xll.qlSwaption(,O36,O55,O57)</f>
        <v>obj_0007c#0013</v>
      </c>
      <c r="P58" s="205" t="str">
        <f>_xll.qlSwaption(,P36,P55,P57)</f>
        <v>obj_00072#0013</v>
      </c>
      <c r="Q58" s="205" t="str">
        <f>_xll.qlSwaption(,Q36,Q55,Q57)</f>
        <v>obj_00071#0013</v>
      </c>
      <c r="R58" s="205" t="str">
        <f>_xll.qlSwaption(,R36,R55,R57)</f>
        <v>obj_0007d#0013</v>
      </c>
      <c r="S58" s="205" t="str">
        <f>_xll.qlSwaption(,S36,S55,S57)</f>
        <v>obj_00078#0013</v>
      </c>
      <c r="T58" s="205" t="str">
        <f>_xll.qlSwaption(,T36,T55,T57)</f>
        <v>obj_00070#0013</v>
      </c>
      <c r="U58" s="205" t="str">
        <f>_xll.qlSwaption(,U36,U55,U57)</f>
        <v>obj_0007b#0013</v>
      </c>
      <c r="V58" s="206" t="str">
        <f>_xll.qlSwaption(,V36,V55,V57)</f>
        <v>obj_00075#0013</v>
      </c>
    </row>
    <row r="59" spans="2:22">
      <c r="B59" s="7" t="s">
        <v>124</v>
      </c>
      <c r="C59" s="232"/>
      <c r="D59" s="205" t="str">
        <f>_xll.qlBachelierBlackSwaptionEngine(,$C$5,D52)</f>
        <v>obj_000a0#0013</v>
      </c>
      <c r="E59" s="205" t="str">
        <f>_xll.qlBachelierBlackSwaptionEngine(,$C$5,E52)</f>
        <v>obj_00090#0013</v>
      </c>
      <c r="F59" s="205" t="str">
        <f>_xll.qlBachelierBlackSwaptionEngine(,$C$5,F52)</f>
        <v>obj_00084#0013</v>
      </c>
      <c r="G59" s="205" t="str">
        <f>_xll.qlBachelierBlackSwaptionEngine(,$C$5,G52)</f>
        <v>obj_0009e#0013</v>
      </c>
      <c r="H59" s="205" t="str">
        <f>_xll.qlBachelierBlackSwaptionEngine(,$C$5,H52)</f>
        <v>obj_00086#0013</v>
      </c>
      <c r="I59" s="205" t="str">
        <f>_xll.qlBachelierBlackSwaptionEngine(,$C$5,I52)</f>
        <v>obj_00094#0013</v>
      </c>
      <c r="J59" s="205" t="str">
        <f>_xll.qlBachelierBlackSwaptionEngine(,$C$5,J52)</f>
        <v>obj_0008e#0013</v>
      </c>
      <c r="K59" s="205" t="str">
        <f>_xll.qlBachelierBlackSwaptionEngine(,$C$5,K52)</f>
        <v>obj_00096#0013</v>
      </c>
      <c r="L59" s="206" t="str">
        <f>_xll.qlBachelierBlackSwaptionEngine(,$C$5,L52)</f>
        <v>obj_00092#0013</v>
      </c>
      <c r="M59" s="102" t="str">
        <f>_xll.qlBachelierBlackSwaptionEngine(,$C$5,M52)</f>
        <v>obj_000a4#0013</v>
      </c>
      <c r="N59" s="205" t="str">
        <f>_xll.qlBachelierBlackSwaptionEngine(,$C$5,N52)</f>
        <v>obj_0008c#0013</v>
      </c>
      <c r="O59" s="205" t="str">
        <f>_xll.qlBachelierBlackSwaptionEngine(,$C$5,O52)</f>
        <v>obj_0009c#0013</v>
      </c>
      <c r="P59" s="205" t="str">
        <f>_xll.qlBachelierBlackSwaptionEngine(,$C$5,P52)</f>
        <v>obj_00098#0013</v>
      </c>
      <c r="Q59" s="205" t="str">
        <f>_xll.qlBachelierBlackSwaptionEngine(,$C$5,Q52)</f>
        <v>obj_00088#0013</v>
      </c>
      <c r="R59" s="205" t="str">
        <f>_xll.qlBachelierBlackSwaptionEngine(,$C$5,R52)</f>
        <v>obj_000a8#0013</v>
      </c>
      <c r="S59" s="205" t="str">
        <f>_xll.qlBachelierBlackSwaptionEngine(,$C$5,S52)</f>
        <v>obj_0008a#0013</v>
      </c>
      <c r="T59" s="205" t="str">
        <f>_xll.qlBachelierBlackSwaptionEngine(,$C$5,T52)</f>
        <v>obj_000a6#0013</v>
      </c>
      <c r="U59" s="205" t="str">
        <f>_xll.qlBachelierBlackSwaptionEngine(,$C$5,U52)</f>
        <v>obj_0009a#0013</v>
      </c>
      <c r="V59" s="206" t="str">
        <f>_xll.qlBachelierBlackSwaptionEngine(,$C$5,V52)</f>
        <v>obj_000a2#0013</v>
      </c>
    </row>
    <row r="60" spans="2:22">
      <c r="B60" s="7" t="s">
        <v>125</v>
      </c>
      <c r="C60" s="232"/>
      <c r="D60" s="205" t="b">
        <f>_xll.qlInstrumentSetPricingEngine(D58,D59)</f>
        <v>1</v>
      </c>
      <c r="E60" s="205" t="b">
        <f>_xll.qlInstrumentSetPricingEngine(E58,E59)</f>
        <v>1</v>
      </c>
      <c r="F60" s="205" t="b">
        <f>_xll.qlInstrumentSetPricingEngine(F58,F59)</f>
        <v>1</v>
      </c>
      <c r="G60" s="205" t="b">
        <f>_xll.qlInstrumentSetPricingEngine(G58,G59)</f>
        <v>1</v>
      </c>
      <c r="H60" s="205" t="b">
        <f>_xll.qlInstrumentSetPricingEngine(H58,H59)</f>
        <v>1</v>
      </c>
      <c r="I60" s="205" t="b">
        <f>_xll.qlInstrumentSetPricingEngine(I58,I59)</f>
        <v>1</v>
      </c>
      <c r="J60" s="205" t="b">
        <f>_xll.qlInstrumentSetPricingEngine(J58,J59)</f>
        <v>1</v>
      </c>
      <c r="K60" s="205" t="b">
        <f>_xll.qlInstrumentSetPricingEngine(K58,K59)</f>
        <v>1</v>
      </c>
      <c r="L60" s="206" t="b">
        <f>_xll.qlInstrumentSetPricingEngine(L58,L59)</f>
        <v>1</v>
      </c>
      <c r="M60" s="102" t="b">
        <f>_xll.qlInstrumentSetPricingEngine(M58,M59)</f>
        <v>1</v>
      </c>
      <c r="N60" s="205" t="b">
        <f>_xll.qlInstrumentSetPricingEngine(N58,N59)</f>
        <v>1</v>
      </c>
      <c r="O60" s="205" t="b">
        <f>_xll.qlInstrumentSetPricingEngine(O58,O59)</f>
        <v>1</v>
      </c>
      <c r="P60" s="205" t="b">
        <f>_xll.qlInstrumentSetPricingEngine(P58,P59)</f>
        <v>1</v>
      </c>
      <c r="Q60" s="205" t="b">
        <f>_xll.qlInstrumentSetPricingEngine(Q58,Q59)</f>
        <v>1</v>
      </c>
      <c r="R60" s="205" t="b">
        <f>_xll.qlInstrumentSetPricingEngine(R58,R59)</f>
        <v>1</v>
      </c>
      <c r="S60" s="205" t="b">
        <f>_xll.qlInstrumentSetPricingEngine(S58,S59)</f>
        <v>1</v>
      </c>
      <c r="T60" s="205" t="b">
        <f>_xll.qlInstrumentSetPricingEngine(T58,T59)</f>
        <v>1</v>
      </c>
      <c r="U60" s="205" t="b">
        <f>_xll.qlInstrumentSetPricingEngine(U58,U59)</f>
        <v>1</v>
      </c>
      <c r="V60" s="206" t="b">
        <f>_xll.qlInstrumentSetPricingEngine(V58,V59)</f>
        <v>1</v>
      </c>
    </row>
    <row r="61" spans="2:22">
      <c r="B61" s="169" t="s">
        <v>111</v>
      </c>
      <c r="C61" s="233"/>
      <c r="D61" s="226">
        <f>_xll.qlInstrumentNPV(D58,D60)</f>
        <v>3.9163590590818083E-5</v>
      </c>
      <c r="E61" s="226">
        <f>_xll.qlInstrumentNPV(E58,E60)</f>
        <v>139780.82622786099</v>
      </c>
      <c r="F61" s="226">
        <f>_xll.qlInstrumentNPV(F58,F60)</f>
        <v>462745.68330708018</v>
      </c>
      <c r="G61" s="226">
        <f>_xll.qlInstrumentNPV(G58,G60)</f>
        <v>726469.18294608139</v>
      </c>
      <c r="H61" s="226">
        <f>_xll.qlInstrumentNPV(H58,H60)</f>
        <v>910543.13473458379</v>
      </c>
      <c r="I61" s="226">
        <f>_xll.qlInstrumentNPV(I58,I60)</f>
        <v>1053646.3003954303</v>
      </c>
      <c r="J61" s="226">
        <f>_xll.qlInstrumentNPV(J58,J60)</f>
        <v>1164823.1059229167</v>
      </c>
      <c r="K61" s="226">
        <f>_xll.qlInstrumentNPV(K58,K60)</f>
        <v>1254232.0301889547</v>
      </c>
      <c r="L61" s="227">
        <f>_xll.qlInstrumentNPV(L58,L60)</f>
        <v>1325741.7842716498</v>
      </c>
      <c r="M61" s="225">
        <f>_xll.qlInstrumentNPV(M58,M60)</f>
        <v>1381417.9534792681</v>
      </c>
      <c r="N61" s="226">
        <f>_xll.qlInstrumentNPV(N58,N60)</f>
        <v>1423251.4072755661</v>
      </c>
      <c r="O61" s="226">
        <f>_xll.qlInstrumentNPV(O58,O60)</f>
        <v>1435916.2401350541</v>
      </c>
      <c r="P61" s="226">
        <f>_xll.qlInstrumentNPV(P58,P60)</f>
        <v>1404029.6528513283</v>
      </c>
      <c r="Q61" s="226">
        <f>_xll.qlInstrumentNPV(Q58,Q60)</f>
        <v>1331847.6046662086</v>
      </c>
      <c r="R61" s="226">
        <f>_xll.qlInstrumentNPV(R58,R60)</f>
        <v>1211573.6433477895</v>
      </c>
      <c r="S61" s="226">
        <f>_xll.qlInstrumentNPV(S58,S60)</f>
        <v>1048891.5493688157</v>
      </c>
      <c r="T61" s="226">
        <f>_xll.qlInstrumentNPV(T58,T60)</f>
        <v>846820.30347609881</v>
      </c>
      <c r="U61" s="226">
        <f>_xll.qlInstrumentNPV(U58,U60)</f>
        <v>605659.70879286644</v>
      </c>
      <c r="V61" s="227">
        <f>_xll.qlInstrumentNPV(V58,V60)</f>
        <v>321601.02888779447</v>
      </c>
    </row>
    <row r="62" spans="2:22" ht="13">
      <c r="B62" s="83" t="s">
        <v>141</v>
      </c>
      <c r="C62" s="83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</row>
    <row r="63" spans="2:22">
      <c r="B63" s="171" t="s">
        <v>142</v>
      </c>
      <c r="C63" s="231"/>
      <c r="D63" s="229">
        <f>_xll.qlBachelierBlackFormula(IF(D33="Payer","Call","Put"),D26,D43,D51*SQRT(D50))</f>
        <v>2.9044120899180223E-14</v>
      </c>
      <c r="E63" s="229">
        <f>_xll.qlBachelierBlackFormula(IF(E33="Payer","Call","Put"),E26,E43,E51*SQRT(E50))</f>
        <v>1.1170875723790104E-4</v>
      </c>
      <c r="F63" s="229">
        <f>_xll.qlBachelierBlackFormula(IF(F33="Payer","Call","Put"),F26,F43,F51*SQRT(F50))</f>
        <v>3.9993691528683768E-4</v>
      </c>
      <c r="G63" s="229">
        <f>_xll.qlBachelierBlackFormula(IF(G33="Payer","Call","Put"),G26,G43,G51*SQRT(G50))</f>
        <v>6.8236897894051853E-4</v>
      </c>
      <c r="H63" s="229">
        <f>_xll.qlBachelierBlackFormula(IF(H33="Payer","Call","Put"),H26,H43,H51*SQRT(H50))</f>
        <v>9.3355009560981911E-4</v>
      </c>
      <c r="I63" s="229">
        <f>_xll.qlBachelierBlackFormula(IF(I33="Payer","Call","Put"),I26,I43,I51*SQRT(I50))</f>
        <v>1.1853273489554543E-3</v>
      </c>
      <c r="J63" s="229">
        <f>_xll.qlBachelierBlackFormula(IF(J33="Payer","Call","Put"),J26,J43,J51*SQRT(J50))</f>
        <v>1.4461458212367442E-3</v>
      </c>
      <c r="K63" s="229">
        <f>_xll.qlBachelierBlackFormula(IF(K33="Payer","Call","Put"),K26,K43,K51*SQRT(K50))</f>
        <v>1.7295564396788143E-3</v>
      </c>
      <c r="L63" s="230">
        <f>_xll.qlBachelierBlackFormula(IF(L33="Payer","Call","Put"),L26,L43,L51*SQRT(L50))</f>
        <v>2.0448360108205194E-3</v>
      </c>
      <c r="M63" s="228">
        <f>_xll.qlBachelierBlackFormula(IF(M33="Payer","Call","Put"),M26,M43,M51*SQRT(M50))</f>
        <v>2.4049416315364272E-3</v>
      </c>
      <c r="N63" s="229">
        <f>_xll.qlBachelierBlackFormula(IF(N33="Payer","Call","Put"),N26,N43,N51*SQRT(N50))</f>
        <v>2.8237505127311716E-3</v>
      </c>
      <c r="O63" s="229">
        <f>_xll.qlBachelierBlackFormula(IF(O33="Payer","Call","Put"),O26,O43,O51*SQRT(O50))</f>
        <v>3.2865110951039037E-3</v>
      </c>
      <c r="P63" s="229">
        <f>_xll.qlBachelierBlackFormula(IF(P33="Payer","Call","Put"),P26,P43,P51*SQRT(P50))</f>
        <v>3.7650814430855986E-3</v>
      </c>
      <c r="Q63" s="229">
        <f>_xll.qlBachelierBlackFormula(IF(Q33="Payer","Call","Put"),Q26,Q43,Q51*SQRT(Q50))</f>
        <v>4.2682348344273285E-3</v>
      </c>
      <c r="R63" s="229">
        <f>_xll.qlBachelierBlackFormula(IF(R33="Payer","Call","Put"),R26,R43,R51*SQRT(R50))</f>
        <v>4.7792992771518526E-3</v>
      </c>
      <c r="S63" s="229">
        <f>_xll.qlBachelierBlackFormula(IF(S33="Payer","Call","Put"),S26,S43,S51*SQRT(S50))</f>
        <v>5.2983845968611904E-3</v>
      </c>
      <c r="T63" s="229">
        <f>_xll.qlBachelierBlackFormula(IF(T33="Payer","Call","Put"),T26,T43,T51*SQRT(T50))</f>
        <v>5.8416682158081278E-3</v>
      </c>
      <c r="U63" s="229">
        <f>_xll.qlBachelierBlackFormula(IF(U33="Payer","Call","Put"),U26,U43,U51*SQRT(U50))</f>
        <v>6.4180851095260241E-3</v>
      </c>
      <c r="V63" s="230">
        <f>_xll.qlBachelierBlackFormula(IF(V33="Payer","Call","Put"),V26,V43,V51*SQRT(V50))</f>
        <v>6.9842927652283768E-3</v>
      </c>
    </row>
    <row r="64" spans="2:22">
      <c r="B64" s="7" t="s">
        <v>111</v>
      </c>
      <c r="C64" s="232"/>
      <c r="D64" s="208">
        <f t="shared" ref="D64:V64" si="5">D32*D42*D63</f>
        <v>3.9163590590817541E-5</v>
      </c>
      <c r="E64" s="208">
        <f t="shared" si="5"/>
        <v>139780.82622786067</v>
      </c>
      <c r="F64" s="208">
        <f t="shared" si="5"/>
        <v>462745.68330708018</v>
      </c>
      <c r="G64" s="208">
        <f t="shared" si="5"/>
        <v>726469.18294608069</v>
      </c>
      <c r="H64" s="208">
        <f t="shared" si="5"/>
        <v>910543.13473458297</v>
      </c>
      <c r="I64" s="208">
        <f t="shared" si="5"/>
        <v>1053646.3003954301</v>
      </c>
      <c r="J64" s="208">
        <f t="shared" si="5"/>
        <v>1164823.1059229169</v>
      </c>
      <c r="K64" s="208">
        <f t="shared" si="5"/>
        <v>1254232.0301889547</v>
      </c>
      <c r="L64" s="209">
        <f t="shared" si="5"/>
        <v>1325741.7842716484</v>
      </c>
      <c r="M64" s="207">
        <f t="shared" si="5"/>
        <v>1381417.9534792693</v>
      </c>
      <c r="N64" s="208">
        <f t="shared" si="5"/>
        <v>1423251.4072755661</v>
      </c>
      <c r="O64" s="208">
        <f t="shared" si="5"/>
        <v>1435916.240135055</v>
      </c>
      <c r="P64" s="208">
        <f t="shared" si="5"/>
        <v>1404029.652851328</v>
      </c>
      <c r="Q64" s="208">
        <f t="shared" si="5"/>
        <v>1331847.6046662091</v>
      </c>
      <c r="R64" s="208">
        <f t="shared" si="5"/>
        <v>1211573.6433477898</v>
      </c>
      <c r="S64" s="208">
        <f t="shared" si="5"/>
        <v>1048891.549368815</v>
      </c>
      <c r="T64" s="208">
        <f t="shared" si="5"/>
        <v>846820.30347609858</v>
      </c>
      <c r="U64" s="208">
        <f t="shared" si="5"/>
        <v>605659.70879286516</v>
      </c>
      <c r="V64" s="209">
        <f t="shared" si="5"/>
        <v>321601.02888779301</v>
      </c>
    </row>
    <row r="65" spans="2:22">
      <c r="B65" s="169" t="s">
        <v>144</v>
      </c>
      <c r="C65" s="233"/>
      <c r="D65" s="214">
        <f t="shared" ref="D65:V65" si="6">D64/D32</f>
        <v>3.9163590590817538E-13</v>
      </c>
      <c r="E65" s="214">
        <f t="shared" si="6"/>
        <v>1.3978082622786068E-3</v>
      </c>
      <c r="F65" s="214">
        <f t="shared" si="6"/>
        <v>4.6274568330708019E-3</v>
      </c>
      <c r="G65" s="214">
        <f t="shared" si="6"/>
        <v>7.2646918294608067E-3</v>
      </c>
      <c r="H65" s="214">
        <f t="shared" si="6"/>
        <v>9.1054313473458298E-3</v>
      </c>
      <c r="I65" s="214">
        <f t="shared" si="6"/>
        <v>1.05364630039543E-2</v>
      </c>
      <c r="J65" s="214">
        <f t="shared" si="6"/>
        <v>1.1648231059229169E-2</v>
      </c>
      <c r="K65" s="214">
        <f t="shared" si="6"/>
        <v>1.2542320301889547E-2</v>
      </c>
      <c r="L65" s="215">
        <f t="shared" si="6"/>
        <v>1.3257417842716484E-2</v>
      </c>
      <c r="M65" s="213">
        <f t="shared" si="6"/>
        <v>1.3814179534792692E-2</v>
      </c>
      <c r="N65" s="214">
        <f t="shared" si="6"/>
        <v>1.4232514072755661E-2</v>
      </c>
      <c r="O65" s="214">
        <f t="shared" si="6"/>
        <v>1.435916240135055E-2</v>
      </c>
      <c r="P65" s="214">
        <f t="shared" si="6"/>
        <v>1.4040296528513281E-2</v>
      </c>
      <c r="Q65" s="214">
        <f t="shared" si="6"/>
        <v>1.331847604666209E-2</v>
      </c>
      <c r="R65" s="214">
        <f t="shared" si="6"/>
        <v>1.2115736433477898E-2</v>
      </c>
      <c r="S65" s="214">
        <f t="shared" si="6"/>
        <v>1.0488915493688151E-2</v>
      </c>
      <c r="T65" s="214">
        <f t="shared" si="6"/>
        <v>8.4682030347609863E-3</v>
      </c>
      <c r="U65" s="214">
        <f t="shared" si="6"/>
        <v>6.0565970879286517E-3</v>
      </c>
      <c r="V65" s="215">
        <f t="shared" si="6"/>
        <v>3.2160102888779303E-3</v>
      </c>
    </row>
    <row r="66" spans="2:22">
      <c r="C66"/>
      <c r="M66" s="16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I457"/>
  <sheetViews>
    <sheetView showGridLines="0" zoomScale="85" zoomScaleNormal="85" workbookViewId="0">
      <selection activeCell="H11" sqref="H11"/>
    </sheetView>
  </sheetViews>
  <sheetFormatPr defaultRowHeight="12.5"/>
  <cols>
    <col min="2" max="2" width="12.90625" customWidth="1"/>
    <col min="3" max="3" width="10.08984375" bestFit="1" customWidth="1"/>
    <col min="4" max="4" width="12.6328125" bestFit="1" customWidth="1"/>
    <col min="5" max="5" width="13.6328125" bestFit="1" customWidth="1"/>
    <col min="6" max="6" width="15.1796875" customWidth="1"/>
    <col min="7" max="7" width="13.90625" bestFit="1" customWidth="1"/>
    <col min="8" max="8" width="11.81640625" customWidth="1"/>
  </cols>
  <sheetData>
    <row r="2" spans="2:6" ht="13">
      <c r="B2" s="67" t="s">
        <v>1</v>
      </c>
      <c r="C2" s="100">
        <f>_xll.qlSettingsEvaluationDate()</f>
        <v>43739</v>
      </c>
      <c r="D2" s="254" t="s">
        <v>164</v>
      </c>
    </row>
    <row r="3" spans="2:6" ht="13">
      <c r="B3" s="68" t="s">
        <v>77</v>
      </c>
      <c r="C3" s="102" t="str">
        <f>_xll.qlInterpolatedYieldCurve(,C7:C22,E7:E22,"Null","Act/365 (fixed)",,,"ForwardRate","CubicNaturalSpline",,D2)</f>
        <v>obj_000aa#0008</v>
      </c>
      <c r="D3" s="103"/>
    </row>
    <row r="4" spans="2:6" ht="13">
      <c r="B4" s="12" t="s">
        <v>78</v>
      </c>
      <c r="C4" s="104" t="str">
        <f>_xll.qlInterpolatedYieldCurve(,C7:C22,F7:F22,"Null","Act/365 (fixed)",,,"ForwardRate","CubicNaturalSpline",,D2)</f>
        <v>obj_000ab#0008</v>
      </c>
      <c r="D4" s="105"/>
    </row>
    <row r="6" spans="2:6" ht="13">
      <c r="B6" s="99" t="s">
        <v>79</v>
      </c>
      <c r="C6" s="99" t="s">
        <v>0</v>
      </c>
      <c r="D6" s="99" t="s">
        <v>17</v>
      </c>
      <c r="E6" s="99" t="s">
        <v>22</v>
      </c>
      <c r="F6" s="99" t="s">
        <v>22</v>
      </c>
    </row>
    <row r="7" spans="2:6">
      <c r="B7" s="106" t="s">
        <v>1</v>
      </c>
      <c r="C7" s="107">
        <f>_xll.qlSettingsEvaluationDate()</f>
        <v>43739</v>
      </c>
      <c r="D7" s="108">
        <f t="shared" ref="D7:D22" si="0">(C7-$C$7)/365</f>
        <v>0</v>
      </c>
      <c r="E7" s="109">
        <v>2.7E-2</v>
      </c>
      <c r="F7" s="109">
        <f>E7</f>
        <v>2.7E-2</v>
      </c>
    </row>
    <row r="8" spans="2:6">
      <c r="B8" s="110" t="s">
        <v>2</v>
      </c>
      <c r="C8" s="111">
        <f>_xll.qlCalendarAdvance("Null",$C$7,B8)</f>
        <v>44105</v>
      </c>
      <c r="D8" s="112">
        <f t="shared" si="0"/>
        <v>1.0027397260273974</v>
      </c>
      <c r="E8" s="72">
        <v>2.7E-2</v>
      </c>
      <c r="F8" s="72">
        <f t="shared" ref="F8:F22" si="1">E8</f>
        <v>2.7E-2</v>
      </c>
    </row>
    <row r="9" spans="2:6">
      <c r="B9" s="110" t="s">
        <v>3</v>
      </c>
      <c r="C9" s="111">
        <f>_xll.qlCalendarAdvance("Null",$C$7,B9)</f>
        <v>44470</v>
      </c>
      <c r="D9" s="112">
        <f t="shared" si="0"/>
        <v>2.0027397260273974</v>
      </c>
      <c r="E9" s="72">
        <v>2.75E-2</v>
      </c>
      <c r="F9" s="72">
        <f t="shared" si="1"/>
        <v>2.75E-2</v>
      </c>
    </row>
    <row r="10" spans="2:6">
      <c r="B10" s="110" t="s">
        <v>4</v>
      </c>
      <c r="C10" s="111">
        <f>_xll.qlCalendarAdvance("Null",$C$7,B10)</f>
        <v>44835</v>
      </c>
      <c r="D10" s="112">
        <f t="shared" si="0"/>
        <v>3.0027397260273974</v>
      </c>
      <c r="E10" s="72">
        <v>2.8000000000000001E-2</v>
      </c>
      <c r="F10" s="72">
        <f t="shared" si="1"/>
        <v>2.8000000000000001E-2</v>
      </c>
    </row>
    <row r="11" spans="2:6">
      <c r="B11" s="110" t="s">
        <v>5</v>
      </c>
      <c r="C11" s="111">
        <f>_xll.qlCalendarAdvance("Null",$C$7,B11)</f>
        <v>45200</v>
      </c>
      <c r="D11" s="112">
        <f t="shared" si="0"/>
        <v>4.0027397260273974</v>
      </c>
      <c r="E11" s="72">
        <f t="shared" ref="E11:E17" si="2">1.5*SQRT(D11)%</f>
        <v>3.0010272213963077E-2</v>
      </c>
      <c r="F11" s="72">
        <f t="shared" si="1"/>
        <v>3.0010272213963077E-2</v>
      </c>
    </row>
    <row r="12" spans="2:6">
      <c r="B12" s="110" t="s">
        <v>6</v>
      </c>
      <c r="C12" s="111">
        <f>_xll.qlCalendarAdvance("Null",$C$7,B12)</f>
        <v>45566</v>
      </c>
      <c r="D12" s="112">
        <f t="shared" si="0"/>
        <v>5.0054794520547947</v>
      </c>
      <c r="E12" s="72">
        <f t="shared" si="2"/>
        <v>3.3559393270920869E-2</v>
      </c>
      <c r="F12" s="72">
        <f t="shared" si="1"/>
        <v>3.3559393270920869E-2</v>
      </c>
    </row>
    <row r="13" spans="2:6">
      <c r="B13" s="110" t="s">
        <v>7</v>
      </c>
      <c r="C13" s="111">
        <f>_xll.qlCalendarAdvance("Null",$C$7,B13)</f>
        <v>45931</v>
      </c>
      <c r="D13" s="112">
        <f t="shared" si="0"/>
        <v>6.0054794520547947</v>
      </c>
      <c r="E13" s="72">
        <f t="shared" si="2"/>
        <v>3.6759119640061136E-2</v>
      </c>
      <c r="F13" s="72">
        <f t="shared" si="1"/>
        <v>3.6759119640061136E-2</v>
      </c>
    </row>
    <row r="14" spans="2:6">
      <c r="B14" s="110" t="s">
        <v>8</v>
      </c>
      <c r="C14" s="111">
        <f>_xll.qlCalendarAdvance("Null",$C$7,B14)</f>
        <v>46296</v>
      </c>
      <c r="D14" s="112">
        <f t="shared" si="0"/>
        <v>7.0054794520547947</v>
      </c>
      <c r="E14" s="72">
        <f t="shared" si="2"/>
        <v>3.9701799414035746E-2</v>
      </c>
      <c r="F14" s="72">
        <f t="shared" si="1"/>
        <v>3.9701799414035746E-2</v>
      </c>
    </row>
    <row r="15" spans="2:6">
      <c r="B15" s="110" t="s">
        <v>9</v>
      </c>
      <c r="C15" s="111">
        <f>_xll.qlCalendarAdvance("Null",$C$7,B15)</f>
        <v>46661</v>
      </c>
      <c r="D15" s="112">
        <f t="shared" si="0"/>
        <v>8.0054794520547947</v>
      </c>
      <c r="E15" s="72">
        <f t="shared" si="2"/>
        <v>4.2440933975495032E-2</v>
      </c>
      <c r="F15" s="72">
        <f t="shared" si="1"/>
        <v>4.2440933975495032E-2</v>
      </c>
    </row>
    <row r="16" spans="2:6">
      <c r="B16" s="110" t="s">
        <v>10</v>
      </c>
      <c r="C16" s="111">
        <f>_xll.qlCalendarAdvance("Null",$C$7,B16)</f>
        <v>47027</v>
      </c>
      <c r="D16" s="112">
        <f t="shared" si="0"/>
        <v>9.0082191780821912</v>
      </c>
      <c r="E16" s="72">
        <f t="shared" si="2"/>
        <v>4.5020543256034717E-2</v>
      </c>
      <c r="F16" s="72">
        <f t="shared" si="1"/>
        <v>4.5020543256034717E-2</v>
      </c>
    </row>
    <row r="17" spans="2:9">
      <c r="B17" s="110" t="s">
        <v>11</v>
      </c>
      <c r="C17" s="111">
        <f>_xll.qlCalendarAdvance("Null",$C$7,B17)</f>
        <v>47392</v>
      </c>
      <c r="D17" s="112">
        <f t="shared" si="0"/>
        <v>10.008219178082191</v>
      </c>
      <c r="E17" s="72">
        <f t="shared" si="2"/>
        <v>4.7453654391084496E-2</v>
      </c>
      <c r="F17" s="239">
        <f>E17+1%</f>
        <v>5.7453654391084498E-2</v>
      </c>
    </row>
    <row r="18" spans="2:9">
      <c r="B18" s="110" t="s">
        <v>12</v>
      </c>
      <c r="C18" s="111">
        <f>_xll.qlCalendarAdvance("Null",$C$7,B18)</f>
        <v>48122</v>
      </c>
      <c r="D18" s="112">
        <f t="shared" si="0"/>
        <v>12.008219178082191</v>
      </c>
      <c r="E18" s="72">
        <v>4.7500000000000001E-2</v>
      </c>
      <c r="F18" s="72">
        <f t="shared" si="1"/>
        <v>4.7500000000000001E-2</v>
      </c>
    </row>
    <row r="19" spans="2:9">
      <c r="B19" s="110" t="s">
        <v>13</v>
      </c>
      <c r="C19" s="111">
        <f>_xll.qlCalendarAdvance("Null",$C$7,B19)</f>
        <v>49218</v>
      </c>
      <c r="D19" s="112">
        <f t="shared" si="0"/>
        <v>15.010958904109589</v>
      </c>
      <c r="E19" s="72">
        <v>4.7E-2</v>
      </c>
      <c r="F19" s="72">
        <f t="shared" si="1"/>
        <v>4.7E-2</v>
      </c>
    </row>
    <row r="20" spans="2:9">
      <c r="B20" s="110" t="s">
        <v>14</v>
      </c>
      <c r="C20" s="111">
        <f>_xll.qlCalendarAdvance("Null",$C$7,B20)</f>
        <v>51044</v>
      </c>
      <c r="D20" s="112">
        <f t="shared" si="0"/>
        <v>20.013698630136986</v>
      </c>
      <c r="E20" s="72">
        <v>4.4999999999999998E-2</v>
      </c>
      <c r="F20" s="72">
        <f t="shared" si="1"/>
        <v>4.4999999999999998E-2</v>
      </c>
    </row>
    <row r="21" spans="2:9">
      <c r="B21" s="110" t="s">
        <v>15</v>
      </c>
      <c r="C21" s="111">
        <f>_xll.qlCalendarAdvance("Null",$C$7,B21)</f>
        <v>52871</v>
      </c>
      <c r="D21" s="112">
        <f t="shared" si="0"/>
        <v>25.019178082191782</v>
      </c>
      <c r="E21" s="72">
        <v>4.2999999999999997E-2</v>
      </c>
      <c r="F21" s="72">
        <f t="shared" si="1"/>
        <v>4.2999999999999997E-2</v>
      </c>
    </row>
    <row r="22" spans="2:9">
      <c r="B22" s="113" t="s">
        <v>16</v>
      </c>
      <c r="C22" s="114">
        <f>_xll.qlCalendarAdvance("Null",$C$7,B22)</f>
        <v>54697</v>
      </c>
      <c r="D22" s="115">
        <f t="shared" si="0"/>
        <v>30.021917808219179</v>
      </c>
      <c r="E22" s="73">
        <v>4.2999999999999997E-2</v>
      </c>
      <c r="F22" s="73">
        <f t="shared" si="1"/>
        <v>4.2999999999999997E-2</v>
      </c>
    </row>
    <row r="25" spans="2:9" ht="13">
      <c r="B25" s="99" t="s">
        <v>0</v>
      </c>
      <c r="C25" s="99" t="s">
        <v>17</v>
      </c>
      <c r="D25" s="99" t="s">
        <v>154</v>
      </c>
      <c r="E25" s="99" t="s">
        <v>152</v>
      </c>
      <c r="F25" s="99" t="s">
        <v>153</v>
      </c>
      <c r="G25" s="99" t="s">
        <v>155</v>
      </c>
      <c r="H25" s="240" t="s">
        <v>156</v>
      </c>
      <c r="I25" s="240" t="s">
        <v>157</v>
      </c>
    </row>
    <row r="26" spans="2:9">
      <c r="B26" s="116">
        <f>C7</f>
        <v>43739</v>
      </c>
      <c r="C26" s="108">
        <f t="shared" ref="C26:C89" si="3">(B26-$B$26)/365</f>
        <v>0</v>
      </c>
      <c r="D26" s="76">
        <f>_xll.qlYieldTSForwardRate($C$3,B26,B26,"Act/365 (fixed)","Continuous",,TRUE)</f>
        <v>2.699999225169504E-2</v>
      </c>
      <c r="E26" s="236">
        <f>(D27-D26)/(C27-C26)*10</f>
        <v>-1.5375964769558418E-3</v>
      </c>
      <c r="F26" s="238">
        <f>(E27-E26)/(C27-C26)</f>
        <v>3.7064736986373934E-4</v>
      </c>
      <c r="G26" s="76">
        <f>_xll.qlYieldTSForwardRate($C$4,B26,B26,"Act/365 (fixed)","Continuous",,TRUE)</f>
        <v>2.6999992247254159E-2</v>
      </c>
      <c r="H26" s="241">
        <f>(_xll.qlYieldTSDiscount($C$4,B26)-_xll.qlYieldTSDiscount($C$3,B26))/1%</f>
        <v>0</v>
      </c>
      <c r="I26" s="244">
        <v>0</v>
      </c>
    </row>
    <row r="27" spans="2:9">
      <c r="B27" s="111">
        <f>_xll.qlCalendarAdvance("Null",B26,"1m")</f>
        <v>43770</v>
      </c>
      <c r="C27" s="112">
        <f t="shared" si="3"/>
        <v>8.4931506849315067E-2</v>
      </c>
      <c r="D27" s="77">
        <f>_xll.qlYieldTSForwardRate($C$3,B27,B27,"Act/365 (fixed)","Continuous",,TRUE)</f>
        <v>2.6986933213123634E-2</v>
      </c>
      <c r="E27" s="236">
        <f>(D28-D26)/(C28-C26)*10</f>
        <v>-1.506116837323579E-3</v>
      </c>
      <c r="F27" s="236">
        <f>(E28-E26)/(C28-C26)</f>
        <v>7.7782847604354697E-4</v>
      </c>
      <c r="G27" s="77">
        <f>_xll.qlYieldTSForwardRate($C$4,B27,B27,"Act/365 (fixed)","Continuous",,TRUE)</f>
        <v>2.698692566362744E-2</v>
      </c>
      <c r="H27" s="242">
        <f>(_xll.qlYieldTSDiscount($C$4,B27)-_xll.qlYieldTSDiscount($C$3,B27))/1%</f>
        <v>3.2107816405613221E-8</v>
      </c>
      <c r="I27" s="245">
        <v>0</v>
      </c>
    </row>
    <row r="28" spans="2:9">
      <c r="B28" s="111">
        <f>_xll.qlCalendarAdvance("Null",B27,"1m")</f>
        <v>43800</v>
      </c>
      <c r="C28" s="112">
        <f t="shared" si="3"/>
        <v>0.16712328767123288</v>
      </c>
      <c r="D28" s="77">
        <f>_xll.qlYieldTSForwardRate($C$3,B28,B28,"Act/365 (fixed)","Continuous",,TRUE)</f>
        <v>2.6974821531947989E-2</v>
      </c>
      <c r="E28" s="236">
        <f t="shared" ref="E28:E91" si="4">(D29-D27)/(C29-C27)*10</f>
        <v>-1.4076032247951394E-3</v>
      </c>
      <c r="F28" s="236">
        <f t="shared" ref="F28:F91" si="5">(E29-E27)/(C29-C27)</f>
        <v>1.563797433876813E-3</v>
      </c>
      <c r="G28" s="77">
        <f>_xll.qlYieldTSForwardRate($C$4,B28,B28,"Act/365 (fixed)","Continuous",,TRUE)</f>
        <v>2.6974806981404278E-2</v>
      </c>
      <c r="H28" s="242">
        <f>(_xll.qlYieldTSDiscount($C$4,B28)-_xll.qlYieldTSDiscount($C$3,B28))/1%</f>
        <v>1.2276378802411614E-7</v>
      </c>
      <c r="I28" s="245">
        <v>0</v>
      </c>
    </row>
    <row r="29" spans="2:9">
      <c r="B29" s="111">
        <f>_xll.qlCalendarAdvance("Null",B28,"1m")</f>
        <v>43831</v>
      </c>
      <c r="C29" s="112">
        <f t="shared" si="3"/>
        <v>0.25205479452054796</v>
      </c>
      <c r="D29" s="77">
        <f>_xll.qlYieldTSForwardRate($C$3,B29,B29,"Act/365 (fixed)","Continuous",,TRUE)</f>
        <v>2.6963408885257195E-2</v>
      </c>
      <c r="E29" s="236">
        <f t="shared" si="4"/>
        <v>-1.2447698689222486E-3</v>
      </c>
      <c r="F29" s="236">
        <f t="shared" si="5"/>
        <v>2.2661247610725761E-3</v>
      </c>
      <c r="G29" s="77">
        <f>_xll.qlYieldTSForwardRate($C$4,B29,B29,"Act/365 (fixed)","Continuous",,TRUE)</f>
        <v>2.6963387740006482E-2</v>
      </c>
      <c r="H29" s="242">
        <f>(_xll.qlYieldTSDiscount($C$4,B29)-_xll.qlYieldTSDiscount($C$3,B29))/1%</f>
        <v>2.7360488319416731E-7</v>
      </c>
      <c r="I29" s="245">
        <v>0</v>
      </c>
    </row>
    <row r="30" spans="2:9">
      <c r="B30" s="111">
        <f>_xll.qlCalendarAdvance("Null",B29,"1m")</f>
        <v>43862</v>
      </c>
      <c r="C30" s="112">
        <f t="shared" si="3"/>
        <v>0.33698630136986302</v>
      </c>
      <c r="D30" s="77">
        <f>_xll.qlYieldTSForwardRate($C$3,B30,B30,"Act/365 (fixed)","Continuous",,TRUE)</f>
        <v>2.695367749581835E-2</v>
      </c>
      <c r="E30" s="236">
        <f t="shared" si="4"/>
        <v>-1.0226724434622635E-3</v>
      </c>
      <c r="F30" s="236">
        <f t="shared" si="5"/>
        <v>3.1508838466268317E-3</v>
      </c>
      <c r="G30" s="77">
        <f>_xll.qlYieldTSForwardRate($C$4,B30,B30,"Act/365 (fixed)","Continuous",,TRUE)</f>
        <v>2.6953650728413374E-2</v>
      </c>
      <c r="H30" s="242">
        <f>(_xll.qlYieldTSDiscount($C$4,B30)-_xll.qlYieldTSDiscount($C$3,B30))/1%</f>
        <v>4.754026283748658E-7</v>
      </c>
      <c r="I30" s="245">
        <v>0</v>
      </c>
    </row>
    <row r="31" spans="2:9">
      <c r="B31" s="111">
        <f>_xll.qlCalendarAdvance("Null",B30,"1m")</f>
        <v>43891</v>
      </c>
      <c r="C31" s="112">
        <f t="shared" si="3"/>
        <v>0.41643835616438357</v>
      </c>
      <c r="D31" s="77">
        <f>_xll.qlYieldTSForwardRate($C$3,B31,B31,"Act/365 (fixed)","Continuous",,TRUE)</f>
        <v>2.6946597831392062E-2</v>
      </c>
      <c r="E31" s="236">
        <f t="shared" si="4"/>
        <v>-7.2681635988770094E-4</v>
      </c>
      <c r="F31" s="236">
        <f t="shared" si="5"/>
        <v>3.8914180366340346E-3</v>
      </c>
      <c r="G31" s="77">
        <f>_xll.qlYieldTSForwardRate($C$4,B31,B31,"Act/365 (fixed)","Continuous",,TRUE)</f>
        <v>2.6946566971716025E-2</v>
      </c>
      <c r="H31" s="242">
        <f>(_xll.qlYieldTSDiscount($C$4,B31)-_xll.qlYieldTSDiscount($C$3,B31))/1%</f>
        <v>7.0159478227083127E-7</v>
      </c>
      <c r="I31" s="245">
        <v>0</v>
      </c>
    </row>
    <row r="32" spans="2:9">
      <c r="B32" s="111">
        <f>_xll.qlCalendarAdvance("Null",B31,"1m")</f>
        <v>43922</v>
      </c>
      <c r="C32" s="112">
        <f t="shared" si="3"/>
        <v>0.50136986301369868</v>
      </c>
      <c r="D32" s="77">
        <f>_xll.qlYieldTSForwardRate($C$3,B32,B32,"Act/365 (fixed)","Continuous",,TRUE)</f>
        <v>2.6941729829628416E-2</v>
      </c>
      <c r="E32" s="236">
        <f t="shared" si="4"/>
        <v>-3.8298728675529881E-4</v>
      </c>
      <c r="F32" s="236">
        <f t="shared" si="5"/>
        <v>4.6065484273746862E-3</v>
      </c>
      <c r="G32" s="77">
        <f>_xll.qlYieldTSForwardRate($C$4,B32,B32,"Act/365 (fixed)","Continuous",,TRUE)</f>
        <v>2.6941696156654798E-2</v>
      </c>
      <c r="H32" s="242">
        <f>(_xll.qlYieldTSDiscount($C$4,B32)-_xll.qlYieldTSDiscount($C$3,B32))/1%</f>
        <v>9.7158798784136025E-7</v>
      </c>
      <c r="I32" s="245">
        <v>0</v>
      </c>
    </row>
    <row r="33" spans="2:9">
      <c r="B33" s="111">
        <f>_xll.qlCalendarAdvance("Null",B32,"1m")</f>
        <v>43952</v>
      </c>
      <c r="C33" s="112">
        <f t="shared" si="3"/>
        <v>0.58356164383561648</v>
      </c>
      <c r="D33" s="77">
        <f>_xll.qlYieldTSForwardRate($C$3,B33,B33,"Act/365 (fixed)","Continuous",,TRUE)</f>
        <v>2.6940197221942179E-2</v>
      </c>
      <c r="E33" s="236">
        <f t="shared" si="4"/>
        <v>4.3045158111904359E-5</v>
      </c>
      <c r="F33" s="236">
        <f t="shared" si="5"/>
        <v>5.3962028298722769E-3</v>
      </c>
      <c r="G33" s="77">
        <f>_xll.qlYieldTSForwardRate($C$4,B33,B33,"Act/365 (fixed)","Continuous",,TRUE)</f>
        <v>2.6940162660792528E-2</v>
      </c>
      <c r="H33" s="242">
        <f>(_xll.qlYieldTSDiscount($C$4,B33)-_xll.qlYieldTSDiscount($C$3,B33))/1%</f>
        <v>1.2467840093677296E-6</v>
      </c>
      <c r="I33" s="245">
        <v>0</v>
      </c>
    </row>
    <row r="34" spans="2:9">
      <c r="B34" s="111">
        <f>_xll.qlCalendarAdvance("Null",B33,"1m")</f>
        <v>43983</v>
      </c>
      <c r="C34" s="112">
        <f t="shared" si="3"/>
        <v>0.66849315068493154</v>
      </c>
      <c r="D34" s="77">
        <f>_xll.qlYieldTSForwardRate($C$3,B34,B34,"Act/365 (fixed)","Continuous",,TRUE)</f>
        <v>2.6942449214462615E-2</v>
      </c>
      <c r="E34" s="236">
        <f t="shared" si="4"/>
        <v>5.1884387111376658E-4</v>
      </c>
      <c r="F34" s="236">
        <f t="shared" si="5"/>
        <v>6.1815661671795379E-3</v>
      </c>
      <c r="G34" s="77">
        <f>_xll.qlYieldTSForwardRate($C$4,B34,B34,"Act/365 (fixed)","Continuous",,TRUE)</f>
        <v>2.6942415956711291E-2</v>
      </c>
      <c r="H34" s="242">
        <f>(_xll.qlYieldTSDiscount($C$4,B34)-_xll.qlYieldTSDiscount($C$3,B34))/1%</f>
        <v>1.5284516430291717E-6</v>
      </c>
      <c r="I34" s="245">
        <v>0</v>
      </c>
    </row>
    <row r="35" spans="2:9">
      <c r="B35" s="111">
        <f>_xll.qlCalendarAdvance("Null",B34,"1m")</f>
        <v>44013</v>
      </c>
      <c r="C35" s="112">
        <f t="shared" si="3"/>
        <v>0.75068493150684934</v>
      </c>
      <c r="D35" s="77">
        <f>_xll.qlYieldTSForwardRate($C$3,B35,B35,"Act/365 (fixed)","Continuous",,TRUE)</f>
        <v>2.6948868311295039E-2</v>
      </c>
      <c r="E35" s="236">
        <f t="shared" si="4"/>
        <v>1.0761288189282106E-3</v>
      </c>
      <c r="F35" s="236">
        <f t="shared" si="5"/>
        <v>7.0070081568721935E-3</v>
      </c>
      <c r="G35" s="77">
        <f>_xll.qlYieldTSForwardRate($C$4,B35,B35,"Act/365 (fixed)","Continuous",,TRUE)</f>
        <v>2.6948838763899093E-2</v>
      </c>
      <c r="H35" s="242">
        <f>(_xll.qlYieldTSDiscount($C$4,B35)-_xll.qlYieldTSDiscount($C$3,B35))/1%</f>
        <v>1.7797203599734246E-6</v>
      </c>
      <c r="I35" s="245">
        <v>0</v>
      </c>
    </row>
    <row r="36" spans="2:9">
      <c r="B36" s="111">
        <f>_xll.qlCalendarAdvance("Null",B35,"1m")</f>
        <v>44044</v>
      </c>
      <c r="C36" s="112">
        <f t="shared" si="3"/>
        <v>0.83561643835616439</v>
      </c>
      <c r="D36" s="77">
        <f>_xll.qlYieldTSForwardRate($C$3,B36,B36,"Act/365 (fixed)","Continuous",,TRUE)</f>
        <v>2.6960433833080319E-2</v>
      </c>
      <c r="E36" s="236">
        <f t="shared" si="4"/>
        <v>1.6898781110293933E-3</v>
      </c>
      <c r="F36" s="236">
        <f t="shared" si="5"/>
        <v>7.6023310789129894E-3</v>
      </c>
      <c r="G36" s="77">
        <f>_xll.qlYieldTSForwardRate($C$4,B36,B36,"Act/365 (fixed)","Continuous",,TRUE)</f>
        <v>2.6960410969208991E-2</v>
      </c>
      <c r="H36" s="242">
        <f>(_xll.qlYieldTSDiscount($C$4,B36)-_xll.qlYieldTSDiscount($C$3,B36))/1%</f>
        <v>1.9953795726834755E-6</v>
      </c>
      <c r="I36" s="245">
        <v>0</v>
      </c>
    </row>
    <row r="37" spans="2:9">
      <c r="B37" s="111">
        <f>_xll.qlCalendarAdvance("Null",B36,"1m")</f>
        <v>44075</v>
      </c>
      <c r="C37" s="112">
        <f t="shared" si="3"/>
        <v>0.92054794520547945</v>
      </c>
      <c r="D37" s="77">
        <f>_xll.qlYieldTSForwardRate($C$3,B37,B37,"Act/365 (fixed)","Continuous",,TRUE)</f>
        <v>2.6977573090167319E-2</v>
      </c>
      <c r="E37" s="236">
        <f t="shared" si="4"/>
        <v>2.3674836871271292E-3</v>
      </c>
      <c r="F37" s="236">
        <f t="shared" si="5"/>
        <v>8.4797758877022487E-3</v>
      </c>
      <c r="G37" s="77">
        <f>_xll.qlYieldTSForwardRate($C$4,B37,B37,"Act/365 (fixed)","Continuous",,TRUE)</f>
        <v>2.6977560131679137E-2</v>
      </c>
      <c r="H37" s="242">
        <f>(_xll.qlYieldTSDiscount($C$4,B37)-_xll.qlYieldTSDiscount($C$3,B37))/1%</f>
        <v>2.1415521578305174E-6</v>
      </c>
      <c r="I37" s="245">
        <v>0</v>
      </c>
    </row>
    <row r="38" spans="2:9">
      <c r="B38" s="111">
        <f>_xll.qlCalendarAdvance("Null",B37,"1m")</f>
        <v>44105</v>
      </c>
      <c r="C38" s="112">
        <f t="shared" si="3"/>
        <v>1.0027397260273974</v>
      </c>
      <c r="D38" s="77">
        <f>_xll.qlYieldTSForwardRate($C$3,B38,B38,"Act/365 (fixed)","Continuous",,TRUE)</f>
        <v>2.6999999998810389E-2</v>
      </c>
      <c r="E38" s="236">
        <f t="shared" si="4"/>
        <v>3.1070461360974411E-3</v>
      </c>
      <c r="F38" s="236">
        <f t="shared" si="5"/>
        <v>8.5576319226608397E-3</v>
      </c>
      <c r="G38" s="77">
        <f>_xll.qlYieldTSForwardRate($C$4,B38,B38,"Act/365 (fixed)","Continuous",,TRUE)</f>
        <v>2.7000000001030824E-2</v>
      </c>
      <c r="H38" s="242">
        <f>(_xll.qlYieldTSDiscount($C$4,B38)-_xll.qlYieldTSDiscount($C$3,B38))/1%</f>
        <v>2.190960557424404E-6</v>
      </c>
      <c r="I38" s="245">
        <v>0</v>
      </c>
    </row>
    <row r="39" spans="2:9">
      <c r="B39" s="111">
        <f>_xll.qlCalendarAdvance("Null",B38,"1m")</f>
        <v>44136</v>
      </c>
      <c r="C39" s="112">
        <f t="shared" si="3"/>
        <v>1.0876712328767124</v>
      </c>
      <c r="D39" s="77">
        <f>_xll.qlYieldTSForwardRate($C$3,B39,B39,"Act/365 (fixed)","Continuous",,TRUE)</f>
        <v>2.70294990666884E-2</v>
      </c>
      <c r="E39" s="236">
        <f t="shared" si="4"/>
        <v>3.7976632687225032E-3</v>
      </c>
      <c r="F39" s="236">
        <f t="shared" si="5"/>
        <v>7.7933883885165714E-3</v>
      </c>
      <c r="G39" s="77">
        <f>_xll.qlYieldTSForwardRate($C$4,B39,B39,"Act/365 (fixed)","Continuous",,TRUE)</f>
        <v>2.7029515935371441E-2</v>
      </c>
      <c r="H39" s="242">
        <f>(_xll.qlYieldTSDiscount($C$4,B39)-_xll.qlYieldTSDiscount($C$3,B39))/1%</f>
        <v>2.1184634380055911E-6</v>
      </c>
      <c r="I39" s="245">
        <v>0</v>
      </c>
    </row>
    <row r="40" spans="2:9">
      <c r="B40" s="111">
        <f>_xll.qlCalendarAdvance("Null",B39,"1m")</f>
        <v>44166</v>
      </c>
      <c r="C40" s="112">
        <f t="shared" si="3"/>
        <v>1.1698630136986301</v>
      </c>
      <c r="D40" s="77">
        <f>_xll.qlYieldTSForwardRate($C$3,B40,B40,"Act/365 (fixed)","Continuous",,TRUE)</f>
        <v>2.7063467795904107E-2</v>
      </c>
      <c r="E40" s="236">
        <f t="shared" si="4"/>
        <v>4.409502825685141E-3</v>
      </c>
      <c r="F40" s="236">
        <f t="shared" si="5"/>
        <v>6.567838079646786E-3</v>
      </c>
      <c r="G40" s="77">
        <f>_xll.qlYieldTSForwardRate($C$4,B40,B40,"Act/365 (fixed)","Continuous",,TRUE)</f>
        <v>2.7063503125325586E-2</v>
      </c>
      <c r="H40" s="242">
        <f>(_xll.qlYieldTSDiscount($C$4,B40)-_xll.qlYieldTSDiscount($C$3,B40))/1%</f>
        <v>1.9067992629295816E-6</v>
      </c>
      <c r="I40" s="245">
        <v>0</v>
      </c>
    </row>
    <row r="41" spans="2:9">
      <c r="B41" s="111">
        <f>_xll.qlCalendarAdvance("Null",B40,"1m")</f>
        <v>44197</v>
      </c>
      <c r="C41" s="112">
        <f t="shared" si="3"/>
        <v>1.2547945205479452</v>
      </c>
      <c r="D41" s="77">
        <f>_xll.qlYieldTSForwardRate($C$3,B41,B41,"Act/365 (fixed)","Continuous",,TRUE)</f>
        <v>2.7103192127610809E-2</v>
      </c>
      <c r="E41" s="236">
        <f t="shared" si="4"/>
        <v>4.8953019614853899E-3</v>
      </c>
      <c r="F41" s="236">
        <f t="shared" si="5"/>
        <v>4.9988354586868932E-3</v>
      </c>
      <c r="G41" s="77">
        <f>_xll.qlYieldTSForwardRate($C$4,B41,B41,"Act/365 (fixed)","Continuous",,TRUE)</f>
        <v>2.7103247134571701E-2</v>
      </c>
      <c r="H41" s="242">
        <f>(_xll.qlYieldTSDiscount($C$4,B41)-_xll.qlYieldTSDiscount($C$3,B41))/1%</f>
        <v>1.5314524093312798E-6</v>
      </c>
      <c r="I41" s="245">
        <v>0</v>
      </c>
    </row>
    <row r="42" spans="2:9">
      <c r="B42" s="111">
        <f>_xll.qlCalendarAdvance("Null",B41,"1m")</f>
        <v>44228</v>
      </c>
      <c r="C42" s="112">
        <f t="shared" si="3"/>
        <v>1.3397260273972602</v>
      </c>
      <c r="D42" s="77">
        <f>_xll.qlYieldTSForwardRate($C$3,B42,B42,"Act/365 (fixed)","Continuous",,TRUE)</f>
        <v>2.714662087031838E-2</v>
      </c>
      <c r="E42" s="236">
        <f t="shared" si="4"/>
        <v>5.2586200816812706E-3</v>
      </c>
      <c r="F42" s="236">
        <f t="shared" si="5"/>
        <v>3.8827756244990417E-3</v>
      </c>
      <c r="G42" s="77">
        <f>_xll.qlYieldTSForwardRate($C$4,B42,B42,"Act/365 (fixed)","Continuous",,TRUE)</f>
        <v>2.7146694542297855E-2</v>
      </c>
      <c r="H42" s="242">
        <f>(_xll.qlYieldTSDiscount($C$4,B42)-_xll.qlYieldTSDiscount($C$3,B42))/1%</f>
        <v>9.996477756679667E-7</v>
      </c>
      <c r="I42" s="245">
        <v>0</v>
      </c>
    </row>
    <row r="43" spans="2:9">
      <c r="B43" s="111">
        <f>_xll.qlCalendarAdvance("Null",B42,"1m")</f>
        <v>44256</v>
      </c>
      <c r="C43" s="112">
        <f t="shared" si="3"/>
        <v>1.4164383561643836</v>
      </c>
      <c r="D43" s="77">
        <f>_xll.qlYieldTSForwardRate($C$3,B43,B43,"Act/365 (fixed)","Continuous",,TRUE)</f>
        <v>2.7188194479616068E-2</v>
      </c>
      <c r="E43" s="236">
        <f t="shared" si="4"/>
        <v>5.5229287062674272E-3</v>
      </c>
      <c r="F43" s="236">
        <f t="shared" si="5"/>
        <v>2.4940885633280303E-3</v>
      </c>
      <c r="G43" s="77">
        <f>_xll.qlYieldTSForwardRate($C$4,B43,B43,"Act/365 (fixed)","Continuous",,TRUE)</f>
        <v>2.7188282775413155E-2</v>
      </c>
      <c r="H43" s="242">
        <f>(_xll.qlYieldTSDiscount($C$4,B43)-_xll.qlYieldTSDiscount($C$3,B43))/1%</f>
        <v>3.9792970030205765E-7</v>
      </c>
      <c r="I43" s="245">
        <v>0</v>
      </c>
    </row>
    <row r="44" spans="2:9">
      <c r="B44" s="111">
        <f>_xll.qlCalendarAdvance("Null",B43,"1m")</f>
        <v>44287</v>
      </c>
      <c r="C44" s="112">
        <f t="shared" si="3"/>
        <v>1.5013698630136987</v>
      </c>
      <c r="D44" s="77">
        <f>_xll.qlYieldTSForwardRate($C$3,B44,B44,"Act/365 (fixed)","Continuous",,TRUE)</f>
        <v>2.72358956083101E-2</v>
      </c>
      <c r="E44" s="236">
        <f t="shared" si="4"/>
        <v>5.6617741234247058E-3</v>
      </c>
      <c r="F44" s="236">
        <f t="shared" si="5"/>
        <v>1.0412221627691071E-3</v>
      </c>
      <c r="G44" s="77">
        <f>_xll.qlYieldTSForwardRate($C$4,B44,B44,"Act/365 (fixed)","Continuous",,TRUE)</f>
        <v>2.7235996105424574E-2</v>
      </c>
      <c r="H44" s="242">
        <f>(_xll.qlYieldTSDiscount($C$4,B44)-_xll.qlYieldTSDiscount($C$3,B44))/1%</f>
        <v>-3.7621733506298938E-7</v>
      </c>
      <c r="I44" s="245">
        <v>0</v>
      </c>
    </row>
    <row r="45" spans="2:9">
      <c r="B45" s="111">
        <f>_xll.qlCalendarAdvance("Null",B44,"1m")</f>
        <v>44317</v>
      </c>
      <c r="C45" s="112">
        <f t="shared" si="3"/>
        <v>1.5835616438356164</v>
      </c>
      <c r="D45" s="77">
        <f>_xll.qlYieldTSForwardRate($C$3,B45,B45,"Act/365 (fixed)","Continuous",,TRUE)</f>
        <v>2.7282815910171933E-2</v>
      </c>
      <c r="E45" s="236">
        <f t="shared" si="4"/>
        <v>5.6969411773055518E-3</v>
      </c>
      <c r="F45" s="236">
        <f t="shared" si="5"/>
        <v>-2.6042440630960032E-4</v>
      </c>
      <c r="G45" s="77">
        <f>_xll.qlYieldTSForwardRate($C$4,B45,B45,"Act/365 (fixed)","Continuous",,TRUE)</f>
        <v>2.7282922726658155E-2</v>
      </c>
      <c r="H45" s="242">
        <f>(_xll.qlYieldTSDiscount($C$4,B45)-_xll.qlYieldTSDiscount($C$3,B45))/1%</f>
        <v>-1.195701648804004E-6</v>
      </c>
      <c r="I45" s="245">
        <v>0</v>
      </c>
    </row>
    <row r="46" spans="2:9">
      <c r="B46" s="111">
        <f>_xll.qlCalendarAdvance("Null",B45,"1m")</f>
        <v>44348</v>
      </c>
      <c r="C46" s="112">
        <f t="shared" si="3"/>
        <v>1.6684931506849314</v>
      </c>
      <c r="D46" s="77">
        <f>_xll.qlYieldTSForwardRate($C$3,B46,B46,"Act/365 (fixed)","Continuous",,TRUE)</f>
        <v>2.7331104762232192E-2</v>
      </c>
      <c r="E46" s="236">
        <f t="shared" si="4"/>
        <v>5.6182511404524165E-3</v>
      </c>
      <c r="F46" s="236">
        <f t="shared" si="5"/>
        <v>-1.6543669014158408E-3</v>
      </c>
      <c r="G46" s="77">
        <f>_xll.qlYieldTSForwardRate($C$4,B46,B46,"Act/365 (fixed)","Continuous",,TRUE)</f>
        <v>2.7331210839311386E-2</v>
      </c>
      <c r="H46" s="242">
        <f>(_xll.qlYieldTSDiscount($C$4,B46)-_xll.qlYieldTSDiscount($C$3,B46))/1%</f>
        <v>-2.0626668706391627E-6</v>
      </c>
      <c r="I46" s="245">
        <v>0</v>
      </c>
    </row>
    <row r="47" spans="2:9">
      <c r="B47" s="111">
        <f>_xll.qlCalendarAdvance("Null",B46,"1m")</f>
        <v>44378</v>
      </c>
      <c r="C47" s="112">
        <f t="shared" si="3"/>
        <v>1.7506849315068493</v>
      </c>
      <c r="D47" s="77">
        <f>_xll.qlYieldTSForwardRate($C$3,B47,B47,"Act/365 (fixed)","Continuous",,TRUE)</f>
        <v>2.7376709970327439E-2</v>
      </c>
      <c r="E47" s="236">
        <f t="shared" si="4"/>
        <v>5.420457941726466E-3</v>
      </c>
      <c r="F47" s="236">
        <f t="shared" si="5"/>
        <v>-3.0430731567887459E-3</v>
      </c>
      <c r="G47" s="77">
        <f>_xll.qlYieldTSForwardRate($C$4,B47,B47,"Act/365 (fixed)","Continuous",,TRUE)</f>
        <v>2.7376806763746632E-2</v>
      </c>
      <c r="H47" s="242">
        <f>(_xll.qlYieldTSDiscount($C$4,B47)-_xll.qlYieldTSDiscount($C$3,B47))/1%</f>
        <v>-2.8591911505060352E-6</v>
      </c>
      <c r="I47" s="245">
        <v>0</v>
      </c>
    </row>
    <row r="48" spans="2:9">
      <c r="B48" s="111">
        <f>_xll.qlCalendarAdvance("Null",B47,"1m")</f>
        <v>44409</v>
      </c>
      <c r="C48" s="112">
        <f t="shared" si="3"/>
        <v>1.8356164383561644</v>
      </c>
      <c r="D48" s="77">
        <f>_xll.qlYieldTSForwardRate($C$3,B48,B48,"Act/365 (fixed)","Continuous",,TRUE)</f>
        <v>2.742169323742269E-2</v>
      </c>
      <c r="E48" s="236">
        <f t="shared" si="4"/>
        <v>5.1096827498658039E-3</v>
      </c>
      <c r="F48" s="236">
        <f t="shared" si="5"/>
        <v>-4.3263651953582413E-3</v>
      </c>
      <c r="G48" s="77">
        <f>_xll.qlYieldTSForwardRate($C$4,B48,B48,"Act/365 (fixed)","Continuous",,TRUE)</f>
        <v>2.7421769986929918E-2</v>
      </c>
      <c r="H48" s="242">
        <f>(_xll.qlYieldTSDiscount($C$4,B48)-_xll.qlYieldTSDiscount($C$3,B48))/1%</f>
        <v>-3.5614931337413225E-6</v>
      </c>
      <c r="I48" s="245">
        <v>0</v>
      </c>
    </row>
    <row r="49" spans="2:9">
      <c r="B49" s="111">
        <f>_xll.qlCalendarAdvance("Null",B48,"1m")</f>
        <v>44440</v>
      </c>
      <c r="C49" s="112">
        <f t="shared" si="3"/>
        <v>1.9205479452054794</v>
      </c>
      <c r="D49" s="77">
        <f>_xll.qlYieldTSForwardRate($C$3,B49,B49,"Act/365 (fixed)","Continuous",,TRUE)</f>
        <v>2.746350458142105E-2</v>
      </c>
      <c r="E49" s="236">
        <f t="shared" si="4"/>
        <v>4.6855685112820525E-3</v>
      </c>
      <c r="F49" s="236">
        <f t="shared" si="5"/>
        <v>-5.666972510718531E-3</v>
      </c>
      <c r="G49" s="77">
        <f>_xll.qlYieldTSForwardRate($C$4,B49,B49,"Act/365 (fixed)","Continuous",,TRUE)</f>
        <v>2.7463549039069755E-2</v>
      </c>
      <c r="H49" s="242">
        <f>(_xll.qlYieldTSDiscount($C$4,B49)-_xll.qlYieldTSDiscount($C$3,B49))/1%</f>
        <v>-4.0506237475312901E-6</v>
      </c>
      <c r="I49" s="245">
        <v>0</v>
      </c>
    </row>
    <row r="50" spans="2:9">
      <c r="B50" s="111">
        <f>_xll.qlCalendarAdvance("Null",B49,"1m")</f>
        <v>44470</v>
      </c>
      <c r="C50" s="112">
        <f t="shared" si="3"/>
        <v>2.0027397260273974</v>
      </c>
      <c r="D50" s="77">
        <f>_xll.qlYieldTSForwardRate($C$3,B50,B50,"Act/365 (fixed)","Continuous",,TRUE)</f>
        <v>2.7499999998844116E-2</v>
      </c>
      <c r="E50" s="236">
        <f t="shared" si="4"/>
        <v>4.1625996727320215E-3</v>
      </c>
      <c r="F50" s="236">
        <f t="shared" si="5"/>
        <v>-5.9469133177165595E-3</v>
      </c>
      <c r="G50" s="77">
        <f>_xll.qlYieldTSForwardRate($C$4,B50,B50,"Act/365 (fixed)","Continuous",,TRUE)</f>
        <v>2.7499999998844116E-2</v>
      </c>
      <c r="H50" s="242">
        <f>(_xll.qlYieldTSDiscount($C$4,B50)-_xll.qlYieldTSDiscount($C$3,B50))/1%</f>
        <v>-4.2234657549045096E-6</v>
      </c>
      <c r="I50" s="245">
        <v>0</v>
      </c>
    </row>
    <row r="51" spans="2:9">
      <c r="B51" s="111">
        <f>_xll.qlCalendarAdvance("Null",B50,"1m")</f>
        <v>44501</v>
      </c>
      <c r="C51" s="112">
        <f t="shared" si="3"/>
        <v>2.0876712328767124</v>
      </c>
      <c r="D51" s="77">
        <f>_xll.qlYieldTSForwardRate($C$3,B51,B51,"Act/365 (fixed)","Continuous",,TRUE)</f>
        <v>2.7533071315677667E-2</v>
      </c>
      <c r="E51" s="236">
        <f t="shared" si="4"/>
        <v>3.6917008061294215E-3</v>
      </c>
      <c r="F51" s="236">
        <f t="shared" si="5"/>
        <v>-4.7536326137777472E-3</v>
      </c>
      <c r="G51" s="77">
        <f>_xll.qlYieldTSForwardRate($C$4,B51,B51,"Act/365 (fixed)","Continuous",,TRUE)</f>
        <v>2.75330114415148E-2</v>
      </c>
      <c r="H51" s="242">
        <f>(_xll.qlYieldTSDiscount($C$4,B51)-_xll.qlYieldTSDiscount($C$3,B51))/1%</f>
        <v>-3.9815995389602676E-6</v>
      </c>
      <c r="I51" s="245">
        <v>0</v>
      </c>
    </row>
    <row r="52" spans="2:9">
      <c r="B52" s="111">
        <f>_xll.qlCalendarAdvance("Null",B51,"1m")</f>
        <v>44531</v>
      </c>
      <c r="C52" s="112">
        <f t="shared" si="3"/>
        <v>2.1698630136986301</v>
      </c>
      <c r="D52" s="77">
        <f>_xll.qlYieldTSForwardRate($C$3,B52,B52,"Act/365 (fixed)","Continuous",,TRUE)</f>
        <v>2.7561696916426005E-2</v>
      </c>
      <c r="E52" s="236">
        <f t="shared" si="4"/>
        <v>3.3681569619362891E-3</v>
      </c>
      <c r="F52" s="236">
        <f t="shared" si="5"/>
        <v>-2.7213472399354485E-3</v>
      </c>
      <c r="G52" s="77">
        <f>_xll.qlYieldTSForwardRate($C$4,B52,B52,"Act/365 (fixed)","Continuous",,TRUE)</f>
        <v>2.7561570238107597E-2</v>
      </c>
      <c r="H52" s="242">
        <f>(_xll.qlYieldTSDiscount($C$4,B52)-_xll.qlYieldTSDiscount($C$3,B52))/1%</f>
        <v>-3.2535288352342207E-6</v>
      </c>
      <c r="I52" s="245">
        <v>0</v>
      </c>
    </row>
    <row r="53" spans="2:9">
      <c r="B53" s="111">
        <f>_xll.qlCalendarAdvance("Null",B52,"1m")</f>
        <v>44562</v>
      </c>
      <c r="C53" s="112">
        <f t="shared" si="3"/>
        <v>2.2547945205479452</v>
      </c>
      <c r="D53" s="77">
        <f>_xll.qlYieldTSForwardRate($C$3,B53,B53,"Act/365 (fixed)","Continuous",,TRUE)</f>
        <v>2.7589361062164822E-2</v>
      </c>
      <c r="E53" s="236">
        <f t="shared" si="4"/>
        <v>3.2369003084963743E-3</v>
      </c>
      <c r="F53" s="236">
        <f t="shared" si="5"/>
        <v>-5.1000242885470735E-4</v>
      </c>
      <c r="G53" s="77">
        <f>_xll.qlYieldTSForwardRate($C$4,B53,B53,"Act/365 (fixed)","Continuous",,TRUE)</f>
        <v>2.758916228172158E-2</v>
      </c>
      <c r="H53" s="242">
        <f>(_xll.qlYieldTSDiscount($C$4,B53)-_xll.qlYieldTSDiscount($C$3,B53))/1%</f>
        <v>-1.9459559075230004E-6</v>
      </c>
      <c r="I53" s="245">
        <v>0</v>
      </c>
    </row>
    <row r="54" spans="2:9">
      <c r="B54" s="111">
        <f>_xll.qlCalendarAdvance("Null",B53,"1m")</f>
        <v>44593</v>
      </c>
      <c r="C54" s="112">
        <f t="shared" si="3"/>
        <v>2.3397260273972602</v>
      </c>
      <c r="D54" s="77">
        <f>_xll.qlYieldTSForwardRate($C$3,B54,B54,"Act/365 (fixed)","Continuous",,TRUE)</f>
        <v>2.7616679880570327E-2</v>
      </c>
      <c r="E54" s="236">
        <f t="shared" si="4"/>
        <v>3.2815264123774073E-3</v>
      </c>
      <c r="F54" s="236">
        <f t="shared" si="5"/>
        <v>1.7365462313392089E-3</v>
      </c>
      <c r="G54" s="77">
        <f>_xll.qlYieldTSForwardRate($C$4,B54,B54,"Act/365 (fixed)","Continuous",,TRUE)</f>
        <v>2.7616412055548403E-2</v>
      </c>
      <c r="H54" s="242">
        <f>(_xll.qlYieldTSDiscount($C$4,B54)-_xll.qlYieldTSDiscount($C$3,B54))/1%</f>
        <v>-7.784944910937952E-8</v>
      </c>
      <c r="I54" s="245">
        <v>0</v>
      </c>
    </row>
    <row r="55" spans="2:9">
      <c r="B55" s="111">
        <f>_xll.qlCalendarAdvance("Null",B54,"1m")</f>
        <v>44621</v>
      </c>
      <c r="C55" s="112">
        <f t="shared" si="3"/>
        <v>2.4164383561643836</v>
      </c>
      <c r="D55" s="77">
        <f>_xll.qlYieldTSForwardRate($C$3,B55,B55,"Act/365 (fixed)","Continuous",,TRUE)</f>
        <v>2.7642404913762155E-2</v>
      </c>
      <c r="E55" s="236">
        <f t="shared" si="4"/>
        <v>3.5176023020553151E-3</v>
      </c>
      <c r="F55" s="236">
        <f t="shared" si="5"/>
        <v>3.9066893700965676E-3</v>
      </c>
      <c r="G55" s="77">
        <f>_xll.qlYieldTSForwardRate($C$4,B55,B55,"Act/365 (fixed)","Continuous",,TRUE)</f>
        <v>2.7642082545854933E-2</v>
      </c>
      <c r="H55" s="242">
        <f>(_xll.qlYieldTSDiscount($C$4,B55)-_xll.qlYieldTSDiscount($C$3,B55))/1%</f>
        <v>2.0480864892924444E-6</v>
      </c>
      <c r="I55" s="245">
        <v>0</v>
      </c>
    </row>
    <row r="56" spans="2:9">
      <c r="B56" s="111">
        <f>_xll.qlCalendarAdvance("Null",B55,"1m")</f>
        <v>44652</v>
      </c>
      <c r="C56" s="112">
        <f t="shared" si="3"/>
        <v>2.5013698630136987</v>
      </c>
      <c r="D56" s="77">
        <f>_xll.qlYieldTSForwardRate($C$3,B56,B56,"Act/365 (fixed)","Continuous",,TRUE)</f>
        <v>2.767353975339807E-2</v>
      </c>
      <c r="E56" s="236">
        <f t="shared" si="4"/>
        <v>3.9130186667217844E-3</v>
      </c>
      <c r="F56" s="236">
        <f t="shared" si="5"/>
        <v>5.9864327718038629E-3</v>
      </c>
      <c r="G56" s="77">
        <f>_xll.qlYieldTSForwardRate($C$4,B56,B56,"Act/365 (fixed)","Continuous",,TRUE)</f>
        <v>2.7673171409063189E-2</v>
      </c>
      <c r="H56" s="242">
        <f>(_xll.qlYieldTSDiscount($C$4,B56)-_xll.qlYieldTSDiscount($C$3,B56))/1%</f>
        <v>4.795483621311547E-6</v>
      </c>
      <c r="I56" s="245">
        <v>0</v>
      </c>
    </row>
    <row r="57" spans="2:9">
      <c r="B57" s="111">
        <f>_xll.qlCalendarAdvance("Null",B56,"1m")</f>
        <v>44682</v>
      </c>
      <c r="C57" s="112">
        <f t="shared" si="3"/>
        <v>2.5835616438356164</v>
      </c>
      <c r="D57" s="77">
        <f>_xll.qlYieldTSForwardRate($C$3,B57,B57,"Act/365 (fixed)","Continuous",,TRUE)</f>
        <v>2.77078005681923E-2</v>
      </c>
      <c r="E57" s="236">
        <f t="shared" si="4"/>
        <v>4.5180746283019872E-3</v>
      </c>
      <c r="F57" s="236">
        <f t="shared" si="5"/>
        <v>8.2101566241567277E-3</v>
      </c>
      <c r="G57" s="77">
        <f>_xll.qlYieldTSForwardRate($C$4,B57,B57,"Act/365 (fixed)","Continuous",,TRUE)</f>
        <v>2.7707407843428608E-2</v>
      </c>
      <c r="H57" s="242">
        <f>(_xll.qlYieldTSDiscount($C$4,B57)-_xll.qlYieldTSDiscount($C$3,B57))/1%</f>
        <v>7.7143989751782271E-6</v>
      </c>
      <c r="I57" s="245">
        <v>0</v>
      </c>
    </row>
    <row r="58" spans="2:9">
      <c r="B58" s="111">
        <f>_xll.qlCalendarAdvance("Null",B57,"1m")</f>
        <v>44713</v>
      </c>
      <c r="C58" s="112">
        <f t="shared" si="3"/>
        <v>2.6684931506849314</v>
      </c>
      <c r="D58" s="77">
        <f>_xll.qlYieldTSForwardRate($C$3,B58,B58,"Act/365 (fixed)","Continuous",,TRUE)</f>
        <v>2.7749047301980651E-2</v>
      </c>
      <c r="E58" s="236">
        <f t="shared" si="4"/>
        <v>5.2851270340466064E-3</v>
      </c>
      <c r="F58" s="236">
        <f t="shared" si="5"/>
        <v>1.0454785485842817E-2</v>
      </c>
      <c r="G58" s="77">
        <f>_xll.qlYieldTSForwardRate($C$4,B58,B58,"Act/365 (fixed)","Continuous",,TRUE)</f>
        <v>2.774865624032806E-2</v>
      </c>
      <c r="H58" s="242">
        <f>(_xll.qlYieldTSDiscount($C$4,B58)-_xll.qlYieldTSDiscount($C$3,B58))/1%</f>
        <v>1.0811367590068954E-5</v>
      </c>
      <c r="I58" s="245">
        <v>0</v>
      </c>
    </row>
    <row r="59" spans="2:9">
      <c r="B59" s="111">
        <f>_xll.qlCalendarAdvance("Null",B58,"1m")</f>
        <v>44743</v>
      </c>
      <c r="C59" s="112">
        <f t="shared" si="3"/>
        <v>2.7506849315068491</v>
      </c>
      <c r="D59" s="77">
        <f>_xll.qlYieldTSForwardRate($C$3,B59,B59,"Act/365 (fixed)","Continuous",,TRUE)</f>
        <v>2.7796127348761298E-2</v>
      </c>
      <c r="E59" s="236">
        <f t="shared" si="4"/>
        <v>6.2653127505935251E-3</v>
      </c>
      <c r="F59" s="236">
        <f t="shared" si="5"/>
        <v>1.2754840779892676E-2</v>
      </c>
      <c r="G59" s="77">
        <f>_xll.qlYieldTSForwardRate($C$4,B59,B59,"Act/365 (fixed)","Continuous",,TRUE)</f>
        <v>2.7795769713612459E-2</v>
      </c>
      <c r="H59" s="242">
        <f>(_xll.qlYieldTSDiscount($C$4,B59)-_xll.qlYieldTSDiscount($C$3,B59))/1%</f>
        <v>1.3663103781702546E-5</v>
      </c>
      <c r="I59" s="245">
        <v>0</v>
      </c>
    </row>
    <row r="60" spans="2:9">
      <c r="B60" s="111">
        <f>_xll.qlCalendarAdvance("Null",B59,"1m")</f>
        <v>44774</v>
      </c>
      <c r="C60" s="112">
        <f t="shared" si="3"/>
        <v>2.8356164383561642</v>
      </c>
      <c r="D60" s="77">
        <f>_xll.qlYieldTSForwardRate($C$3,B60,B60,"Act/365 (fixed)","Continuous",,TRUE)</f>
        <v>2.785375526849742E-2</v>
      </c>
      <c r="E60" s="236">
        <f t="shared" si="4"/>
        <v>7.4167579589053808E-3</v>
      </c>
      <c r="F60" s="236">
        <f t="shared" si="5"/>
        <v>1.4631771234124557E-2</v>
      </c>
      <c r="G60" s="77">
        <f>_xll.qlYieldTSForwardRate($C$4,B60,B60,"Act/365 (fixed)","Continuous",,TRUE)</f>
        <v>2.7853471125469279E-2</v>
      </c>
      <c r="H60" s="242">
        <f>(_xll.qlYieldTSDiscount($C$4,B60)-_xll.qlYieldTSDiscount($C$3,B60))/1%</f>
        <v>1.6181389561609194E-5</v>
      </c>
      <c r="I60" s="245">
        <v>0</v>
      </c>
    </row>
    <row r="61" spans="2:9">
      <c r="B61" s="111">
        <f>_xll.qlCalendarAdvance("Null",B60,"1m")</f>
        <v>44805</v>
      </c>
      <c r="C61" s="112">
        <f t="shared" si="3"/>
        <v>2.9205479452054797</v>
      </c>
      <c r="D61" s="77">
        <f>_xll.qlYieldTSForwardRate($C$3,B61,B61,"Act/365 (fixed)","Continuous",,TRUE)</f>
        <v>2.7922110634638595E-2</v>
      </c>
      <c r="E61" s="236">
        <f t="shared" si="4"/>
        <v>8.7507095081708532E-3</v>
      </c>
      <c r="F61" s="236">
        <f t="shared" si="5"/>
        <v>1.7140414391302764E-2</v>
      </c>
      <c r="G61" s="77">
        <f>_xll.qlYieldTSForwardRate($C$4,B61,B61,"Act/365 (fixed)","Continuous",,TRUE)</f>
        <v>2.7921945755877583E-2</v>
      </c>
      <c r="H61" s="242">
        <f>(_xll.qlYieldTSDiscount($C$4,B61)-_xll.qlYieldTSDiscount($C$3,B61))/1%</f>
        <v>1.7935830343152048E-5</v>
      </c>
      <c r="I61" s="245">
        <v>0</v>
      </c>
    </row>
    <row r="62" spans="2:9">
      <c r="B62" s="111">
        <f>_xll.qlCalendarAdvance("Null",B61,"1m")</f>
        <v>44835</v>
      </c>
      <c r="C62" s="112">
        <f t="shared" si="3"/>
        <v>3.0027397260273974</v>
      </c>
      <c r="D62" s="77">
        <f>_xll.qlYieldTSForwardRate($C$3,B62,B62,"Act/365 (fixed)","Continuous",,TRUE)</f>
        <v>2.8000000002743563E-2</v>
      </c>
      <c r="E62" s="236">
        <f t="shared" si="4"/>
        <v>1.0281320364027218E-2</v>
      </c>
      <c r="F62" s="236">
        <f t="shared" si="5"/>
        <v>1.8588946551953076E-2</v>
      </c>
      <c r="G62" s="77">
        <f>_xll.qlYieldTSForwardRate($C$4,B62,B62,"Act/365 (fixed)","Continuous",,TRUE)</f>
        <v>2.800000000052312E-2</v>
      </c>
      <c r="H62" s="242">
        <f>(_xll.qlYieldTSDiscount($C$4,B62)-_xll.qlYieldTSDiscount($C$3,B62))/1%</f>
        <v>1.8551440039704659E-5</v>
      </c>
      <c r="I62" s="245">
        <v>0</v>
      </c>
    </row>
    <row r="63" spans="2:9">
      <c r="B63" s="111">
        <f>_xll.qlCalendarAdvance("Null",B62,"1m")</f>
        <v>44866</v>
      </c>
      <c r="C63" s="112">
        <f t="shared" si="3"/>
        <v>3.0876712328767124</v>
      </c>
      <c r="D63" s="77">
        <f>_xll.qlYieldTSForwardRate($C$3,B63,B63,"Act/365 (fixed)","Continuous",,TRUE)</f>
        <v>2.8093935440722338E-2</v>
      </c>
      <c r="E63" s="236">
        <f t="shared" si="4"/>
        <v>1.1857355370278077E-2</v>
      </c>
      <c r="F63" s="236">
        <f t="shared" si="5"/>
        <v>1.9316884311894114E-2</v>
      </c>
      <c r="G63" s="77">
        <f>_xll.qlYieldTSForwardRate($C$4,B63,B63,"Act/365 (fixed)","Continuous",,TRUE)</f>
        <v>2.809415807534044E-2</v>
      </c>
      <c r="H63" s="242">
        <f>(_xll.qlYieldTSDiscount($C$4,B63)-_xll.qlYieldTSDiscount($C$3,B63))/1%</f>
        <v>1.7668531138159693E-5</v>
      </c>
      <c r="I63" s="245">
        <v>0</v>
      </c>
    </row>
    <row r="64" spans="2:9">
      <c r="B64" s="111">
        <f>_xll.qlCalendarAdvance("Null",B63,"1m")</f>
        <v>44896</v>
      </c>
      <c r="C64" s="112">
        <f t="shared" si="3"/>
        <v>3.1698630136986301</v>
      </c>
      <c r="D64" s="77">
        <f>_xll.qlYieldTSForwardRate($C$3,B64,B64,"Act/365 (fixed)","Continuous",,TRUE)</f>
        <v>2.8198164024000265E-2</v>
      </c>
      <c r="E64" s="236">
        <f t="shared" si="4"/>
        <v>1.3509621577795821E-2</v>
      </c>
      <c r="F64" s="236">
        <f t="shared" si="5"/>
        <v>1.9669218144345833E-2</v>
      </c>
      <c r="G64" s="77">
        <f>_xll.qlYieldTSForwardRate($C$4,B64,B64,"Act/365 (fixed)","Continuous",,TRUE)</f>
        <v>2.819863540782417E-2</v>
      </c>
      <c r="H64" s="242">
        <f>(_xll.qlYieldTSDiscount($C$4,B64)-_xll.qlYieldTSDiscount($C$3,B64))/1%</f>
        <v>1.5026144140062314E-5</v>
      </c>
      <c r="I64" s="245">
        <v>0</v>
      </c>
    </row>
    <row r="65" spans="2:9">
      <c r="B65" s="111">
        <f>_xll.qlCalendarAdvance("Null",B64,"1m")</f>
        <v>44927</v>
      </c>
      <c r="C65" s="112">
        <f t="shared" si="3"/>
        <v>3.2547945205479452</v>
      </c>
      <c r="D65" s="77">
        <f>_xll.qlYieldTSForwardRate($C$3,B65,B65,"Act/365 (fixed)","Continuous",,TRUE)</f>
        <v>2.8319712678049884E-2</v>
      </c>
      <c r="E65" s="236">
        <f t="shared" si="4"/>
        <v>1.5144539772483817E-2</v>
      </c>
      <c r="F65" s="236">
        <f t="shared" si="5"/>
        <v>1.8984496809040394E-2</v>
      </c>
      <c r="G65" s="77">
        <f>_xll.qlYieldTSForwardRate($C$4,B65,B65,"Act/365 (fixed)","Continuous",,TRUE)</f>
        <v>2.8320452790590121E-2</v>
      </c>
      <c r="H65" s="242">
        <f>(_xll.qlYieldTSDiscount($C$4,B65)-_xll.qlYieldTSDiscount($C$3,B65))/1%</f>
        <v>1.0284138030058898E-5</v>
      </c>
      <c r="I65" s="245">
        <v>0</v>
      </c>
    </row>
    <row r="66" spans="2:9">
      <c r="B66" s="111">
        <f>_xll.qlCalendarAdvance("Null",B65,"1m")</f>
        <v>44958</v>
      </c>
      <c r="C66" s="112">
        <f t="shared" si="3"/>
        <v>3.3397260273972602</v>
      </c>
      <c r="D66" s="77">
        <f>_xll.qlYieldTSForwardRate($C$3,B66,B66,"Act/365 (fixed)","Continuous",,TRUE)</f>
        <v>2.8455413740683552E-2</v>
      </c>
      <c r="E66" s="236">
        <f t="shared" si="4"/>
        <v>1.6734385419331449E-2</v>
      </c>
      <c r="F66" s="236">
        <f t="shared" si="5"/>
        <v>2.0229274657335788E-2</v>
      </c>
      <c r="G66" s="77">
        <f>_xll.qlYieldTSForwardRate($C$4,B66,B66,"Act/365 (fixed)","Continuous",,TRUE)</f>
        <v>2.8456411373152388E-2</v>
      </c>
      <c r="H66" s="242">
        <f>(_xll.qlYieldTSDiscount($C$4,B66)-_xll.qlYieldTSDiscount($C$3,B66))/1%</f>
        <v>3.5102485695936991E-6</v>
      </c>
      <c r="I66" s="245">
        <v>0</v>
      </c>
    </row>
    <row r="67" spans="2:9">
      <c r="B67" s="111">
        <f>_xll.qlCalendarAdvance("Null",B66,"1m")</f>
        <v>44986</v>
      </c>
      <c r="C67" s="112">
        <f t="shared" si="3"/>
        <v>3.4164383561643836</v>
      </c>
      <c r="D67" s="77">
        <f>_xll.qlYieldTSForwardRate($C$3,B67,B67,"Act/365 (fixed)","Continuous",,TRUE)</f>
        <v>2.8590213702636338E-2</v>
      </c>
      <c r="E67" s="236">
        <f t="shared" si="4"/>
        <v>1.8414477319833988E-2</v>
      </c>
      <c r="F67" s="236">
        <f t="shared" si="5"/>
        <v>2.017071083070146E-2</v>
      </c>
      <c r="G67" s="77">
        <f>_xll.qlYieldTSForwardRate($C$4,B67,B67,"Act/365 (fixed)","Continuous",,TRUE)</f>
        <v>2.8591414887239971E-2</v>
      </c>
      <c r="H67" s="242">
        <f>(_xll.qlYieldTSDiscount($C$4,B67)-_xll.qlYieldTSDiscount($C$3,B67))/1%</f>
        <v>-4.1985327547955364E-6</v>
      </c>
      <c r="I67" s="245">
        <v>0</v>
      </c>
    </row>
    <row r="68" spans="2:9">
      <c r="B68" s="111">
        <f>_xll.qlCalendarAdvance("Null",B67,"1m")</f>
        <v>45017</v>
      </c>
      <c r="C68" s="112">
        <f t="shared" si="3"/>
        <v>3.5013698630136987</v>
      </c>
      <c r="D68" s="77">
        <f>_xll.qlYieldTSForwardRate($C$3,B68,B68,"Act/365 (fixed)","Continuous",,TRUE)</f>
        <v>2.8753072415168539E-2</v>
      </c>
      <c r="E68" s="236">
        <f t="shared" si="4"/>
        <v>1.9994856485116071E-2</v>
      </c>
      <c r="F68" s="236">
        <f t="shared" si="5"/>
        <v>1.9619156220751673E-2</v>
      </c>
      <c r="G68" s="77">
        <f>_xll.qlYieldTSForwardRate($C$4,B68,B68,"Act/365 (fixed)","Continuous",,TRUE)</f>
        <v>2.8754445299690554E-2</v>
      </c>
      <c r="H68" s="242">
        <f>(_xll.qlYieldTSDiscount($C$4,B68)-_xll.qlYieldTSDiscount($C$3,B68))/1%</f>
        <v>-1.4160939931784355E-5</v>
      </c>
      <c r="I68" s="245">
        <v>0</v>
      </c>
    </row>
    <row r="69" spans="2:9">
      <c r="B69" s="111">
        <f>_xll.qlCalendarAdvance("Null",B68,"1m")</f>
        <v>45047</v>
      </c>
      <c r="C69" s="112">
        <f t="shared" si="3"/>
        <v>3.5835616438356164</v>
      </c>
      <c r="D69" s="77">
        <f>_xll.qlYieldTSForwardRate($C$3,B69,B69,"Act/365 (fixed)","Continuous",,TRUE)</f>
        <v>2.8924374317867044E-2</v>
      </c>
      <c r="E69" s="236">
        <f t="shared" si="4"/>
        <v>2.1693295208781525E-2</v>
      </c>
      <c r="F69" s="236">
        <f t="shared" si="5"/>
        <v>2.0051750815472971E-2</v>
      </c>
      <c r="G69" s="77">
        <f>_xll.qlYieldTSForwardRate($C$4,B69,B69,"Act/365 (fixed)","Continuous",,TRUE)</f>
        <v>2.8925838409143634E-2</v>
      </c>
      <c r="H69" s="242">
        <f>(_xll.qlYieldTSDiscount($C$4,B69)-_xll.qlYieldTSDiscount($C$3,B69))/1%</f>
        <v>-2.4745296722805676E-5</v>
      </c>
      <c r="I69" s="245">
        <v>0</v>
      </c>
    </row>
    <row r="70" spans="2:9">
      <c r="B70" s="111">
        <f>_xll.qlCalendarAdvance("Null",B69,"1m")</f>
        <v>45078</v>
      </c>
      <c r="C70" s="112">
        <f t="shared" si="3"/>
        <v>3.6684931506849314</v>
      </c>
      <c r="D70" s="77">
        <f>_xll.qlYieldTSForwardRate($C$3,B70,B70,"Act/365 (fixed)","Continuous",,TRUE)</f>
        <v>2.9115617896739956E-2</v>
      </c>
      <c r="E70" s="236">
        <f t="shared" si="4"/>
        <v>2.3345971004962236E-2</v>
      </c>
      <c r="F70" s="236">
        <f t="shared" si="5"/>
        <v>2.0163359170424867E-2</v>
      </c>
      <c r="G70" s="77">
        <f>_xll.qlYieldTSForwardRate($C$4,B70,B70,"Act/365 (fixed)","Continuous",,TRUE)</f>
        <v>2.9117076059414857E-2</v>
      </c>
      <c r="H70" s="242">
        <f>(_xll.qlYieldTSDiscount($C$4,B70)-_xll.qlYieldTSDiscount($C$3,B70))/1%</f>
        <v>-3.5974926382298378E-5</v>
      </c>
      <c r="I70" s="245">
        <v>0</v>
      </c>
    </row>
    <row r="71" spans="2:9">
      <c r="B71" s="111">
        <f>_xll.qlCalendarAdvance("Null",B70,"1m")</f>
        <v>45108</v>
      </c>
      <c r="C71" s="112">
        <f t="shared" si="3"/>
        <v>3.7506849315068491</v>
      </c>
      <c r="D71" s="77">
        <f>_xll.qlYieldTSForwardRate($C$3,B71,B71,"Act/365 (fixed)","Continuous",,TRUE)</f>
        <v>2.9314539860689701E-2</v>
      </c>
      <c r="E71" s="236">
        <f t="shared" si="4"/>
        <v>2.5063062083838829E-2</v>
      </c>
      <c r="F71" s="236">
        <f t="shared" si="5"/>
        <v>2.0438736567190852E-2</v>
      </c>
      <c r="G71" s="77">
        <f>_xll.qlYieldTSForwardRate($C$4,B71,B71,"Act/365 (fixed)","Continuous",,TRUE)</f>
        <v>2.9315873603226419E-2</v>
      </c>
      <c r="H71" s="242">
        <f>(_xll.qlYieldTSDiscount($C$4,B71)-_xll.qlYieldTSDiscount($C$3,B71))/1%</f>
        <v>-4.6314545842918164E-5</v>
      </c>
      <c r="I71" s="245">
        <v>0</v>
      </c>
    </row>
    <row r="72" spans="2:9">
      <c r="B72" s="111">
        <f>_xll.qlCalendarAdvance("Null",B71,"1m")</f>
        <v>45139</v>
      </c>
      <c r="C72" s="112">
        <f t="shared" si="3"/>
        <v>3.8356164383561642</v>
      </c>
      <c r="D72" s="77">
        <f>_xll.qlYieldTSForwardRate($C$3,B72,B72,"Act/365 (fixed)","Continuous",,TRUE)</f>
        <v>2.9534480030195893E-2</v>
      </c>
      <c r="E72" s="236">
        <f t="shared" si="4"/>
        <v>2.6761759855917416E-2</v>
      </c>
      <c r="F72" s="236">
        <f t="shared" si="5"/>
        <v>2.0054219779380655E-2</v>
      </c>
      <c r="G72" s="77">
        <f>_xll.qlYieldTSForwardRate($C$4,B72,B72,"Act/365 (fixed)","Continuous",,TRUE)</f>
        <v>2.9535539845965027E-2</v>
      </c>
      <c r="H72" s="242">
        <f>(_xll.qlYieldTSDiscount($C$4,B72)-_xll.qlYieldTSDiscount($C$3,B72))/1%</f>
        <v>-5.544389142242423E-5</v>
      </c>
      <c r="I72" s="245">
        <v>0</v>
      </c>
    </row>
    <row r="73" spans="2:9">
      <c r="B73" s="111">
        <f>_xll.qlCalendarAdvance("Null",B72,"1m")</f>
        <v>45170</v>
      </c>
      <c r="C73" s="112">
        <f t="shared" si="3"/>
        <v>3.9205479452054797</v>
      </c>
      <c r="D73" s="77">
        <f>_xll.qlYieldTSForwardRate($C$3,B73,B73,"Act/365 (fixed)","Continuous",,TRUE)</f>
        <v>2.9769123178790217E-2</v>
      </c>
      <c r="E73" s="236">
        <f t="shared" si="4"/>
        <v>2.8469532292939113E-2</v>
      </c>
      <c r="F73" s="236">
        <f t="shared" si="5"/>
        <v>2.0544861884159962E-2</v>
      </c>
      <c r="G73" s="77">
        <f>_xll.qlYieldTSForwardRate($C$4,B73,B73,"Act/365 (fixed)","Continuous",,TRUE)</f>
        <v>2.9769738233853538E-2</v>
      </c>
      <c r="H73" s="242">
        <f>(_xll.qlYieldTSDiscount($C$4,B73)-_xll.qlYieldTSDiscount($C$3,B73))/1%</f>
        <v>-6.1802407591571296E-5</v>
      </c>
      <c r="I73" s="245">
        <v>0</v>
      </c>
    </row>
    <row r="74" spans="2:9">
      <c r="B74" s="111">
        <f>_xll.qlCalendarAdvance("Null",B73,"1m")</f>
        <v>45200</v>
      </c>
      <c r="C74" s="112">
        <f t="shared" si="3"/>
        <v>4.0027397260273974</v>
      </c>
      <c r="D74" s="77">
        <f>_xll.qlYieldTSForwardRate($C$3,B74,B74,"Act/365 (fixed)","Continuous",,TRUE)</f>
        <v>3.0010272213721725E-2</v>
      </c>
      <c r="E74" s="236">
        <f t="shared" si="4"/>
        <v>3.0195284718749636E-2</v>
      </c>
      <c r="F74" s="236">
        <f t="shared" si="5"/>
        <v>1.9714944975260617E-2</v>
      </c>
      <c r="G74" s="77">
        <f>_xll.qlYieldTSForwardRate($C$4,B74,B74,"Act/365 (fixed)","Continuous",,TRUE)</f>
        <v>3.0010272213721725E-2</v>
      </c>
      <c r="H74" s="242">
        <f>(_xll.qlYieldTSDiscount($C$4,B74)-_xll.qlYieldTSDiscount($C$3,B74))/1%</f>
        <v>-6.4031231039596292E-5</v>
      </c>
      <c r="I74" s="245">
        <v>0</v>
      </c>
    </row>
    <row r="75" spans="2:9">
      <c r="B75" s="111">
        <f>_xll.qlCalendarAdvance("Null",B74,"1m")</f>
        <v>45231</v>
      </c>
      <c r="C75" s="112">
        <f t="shared" si="3"/>
        <v>4.087671232876712</v>
      </c>
      <c r="D75" s="77">
        <f>_xll.qlYieldTSForwardRate($C$3,B75,B75,"Act/365 (fixed)","Continuous",,TRUE)</f>
        <v>3.0273756704226853E-2</v>
      </c>
      <c r="E75" s="236">
        <f t="shared" si="4"/>
        <v>3.1764358713462108E-2</v>
      </c>
      <c r="F75" s="236">
        <f t="shared" si="5"/>
        <v>1.7902006675451967E-2</v>
      </c>
      <c r="G75" s="77">
        <f>_xll.qlYieldTSForwardRate($C$4,B75,B75,"Act/365 (fixed)","Continuous",,TRUE)</f>
        <v>3.0272925991245311E-2</v>
      </c>
      <c r="H75" s="242">
        <f>(_xll.qlYieldTSDiscount($C$4,B75)-_xll.qlYieldTSDiscount($C$3,B75))/1%</f>
        <v>-6.0827497161408672E-5</v>
      </c>
      <c r="I75" s="245">
        <v>0</v>
      </c>
    </row>
    <row r="76" spans="2:9">
      <c r="B76" s="111">
        <f>_xll.qlCalendarAdvance("Null",B75,"1m")</f>
        <v>45261</v>
      </c>
      <c r="C76" s="112">
        <f t="shared" si="3"/>
        <v>4.1698630136986301</v>
      </c>
      <c r="D76" s="77">
        <f>_xll.qlYieldTSForwardRate($C$3,B76,B76,"Act/365 (fixed)","Continuous",,TRUE)</f>
        <v>3.0541128619617941E-2</v>
      </c>
      <c r="E76" s="236">
        <f t="shared" si="4"/>
        <v>3.3187126930263523E-2</v>
      </c>
      <c r="F76" s="236">
        <f t="shared" si="5"/>
        <v>1.5595190222345418E-2</v>
      </c>
      <c r="G76" s="77">
        <f>_xll.qlYieldTSForwardRate($C$4,B76,B76,"Act/365 (fixed)","Continuous",,TRUE)</f>
        <v>3.0539369350042856E-2</v>
      </c>
      <c r="H76" s="242">
        <f>(_xll.qlYieldTSDiscount($C$4,B76)-_xll.qlYieldTSDiscount($C$3,B76))/1%</f>
        <v>-5.1246720822462066E-5</v>
      </c>
      <c r="I76" s="245">
        <v>0</v>
      </c>
    </row>
    <row r="77" spans="2:9">
      <c r="B77" s="111">
        <f>_xll.qlCalendarAdvance("Null",B76,"1m")</f>
        <v>45292</v>
      </c>
      <c r="C77" s="112">
        <f t="shared" si="3"/>
        <v>4.2547945205479456</v>
      </c>
      <c r="D77" s="77">
        <f>_xll.qlYieldTSForwardRate($C$3,B77,B77,"Act/365 (fixed)","Continuous",,TRUE)</f>
        <v>3.082839088032167E-2</v>
      </c>
      <c r="E77" s="236">
        <f t="shared" si="4"/>
        <v>3.4370678175278752E-2</v>
      </c>
      <c r="F77" s="236">
        <f t="shared" si="5"/>
        <v>1.2616402558353817E-2</v>
      </c>
      <c r="G77" s="77">
        <f>_xll.qlYieldTSForwardRate($C$4,B77,B77,"Act/365 (fixed)","Continuous",,TRUE)</f>
        <v>3.0825627790200684E-2</v>
      </c>
      <c r="H77" s="242">
        <f>(_xll.qlYieldTSDiscount($C$4,B77)-_xll.qlYieldTSDiscount($C$3,B77))/1%</f>
        <v>-3.4056160980178163E-5</v>
      </c>
      <c r="I77" s="245">
        <v>0</v>
      </c>
    </row>
    <row r="78" spans="2:9">
      <c r="B78" s="111">
        <f>_xll.qlCalendarAdvance("Null",B77,"1m")</f>
        <v>45323</v>
      </c>
      <c r="C78" s="112">
        <f t="shared" si="3"/>
        <v>4.3397260273972602</v>
      </c>
      <c r="D78" s="77">
        <f>_xll.qlYieldTSForwardRate($C$3,B78,B78,"Act/365 (fixed)","Continuous",,TRUE)</f>
        <v>3.1124959317389799E-2</v>
      </c>
      <c r="E78" s="236">
        <f t="shared" si="4"/>
        <v>3.533018709086061E-2</v>
      </c>
      <c r="F78" s="236">
        <f t="shared" si="5"/>
        <v>1.0534808650926349E-2</v>
      </c>
      <c r="G78" s="77">
        <f>_xll.qlYieldTSForwardRate($C$4,B78,B78,"Act/365 (fixed)","Continuous",,TRUE)</f>
        <v>3.1121233225116673E-2</v>
      </c>
      <c r="H78" s="242">
        <f>(_xll.qlYieldTSDiscount($C$4,B78)-_xll.qlYieldTSDiscount($C$3,B78))/1%</f>
        <v>-9.5003192535081382E-6</v>
      </c>
      <c r="I78" s="245">
        <v>0</v>
      </c>
    </row>
    <row r="79" spans="2:9">
      <c r="B79" s="111">
        <f>_xll.qlCalendarAdvance("Null",B78,"1m")</f>
        <v>45352</v>
      </c>
      <c r="C79" s="112">
        <f t="shared" si="3"/>
        <v>4.419178082191781</v>
      </c>
      <c r="D79" s="77">
        <f>_xll.qlYieldTSForwardRate($C$3,B79,B79,"Act/365 (fixed)","Continuous",,TRUE)</f>
        <v>3.1409161079075543E-2</v>
      </c>
      <c r="E79" s="236">
        <f t="shared" si="4"/>
        <v>3.6102427542554313E-2</v>
      </c>
      <c r="F79" s="236">
        <f t="shared" si="5"/>
        <v>7.9162378977853162E-3</v>
      </c>
      <c r="G79" s="77">
        <f>_xll.qlYieldTSForwardRate($C$4,B79,B79,"Act/365 (fixed)","Continuous",,TRUE)</f>
        <v>3.1404647952277848E-2</v>
      </c>
      <c r="H79" s="242">
        <f>(_xll.qlYieldTSDiscount($C$4,B79)-_xll.qlYieldTSDiscount($C$3,B79))/1%</f>
        <v>1.9535138906512373E-5</v>
      </c>
      <c r="I79" s="245">
        <v>0</v>
      </c>
    </row>
    <row r="80" spans="2:9">
      <c r="B80" s="111">
        <f>_xll.qlCalendarAdvance("Null",B79,"1m")</f>
        <v>45383</v>
      </c>
      <c r="C80" s="112">
        <f t="shared" si="3"/>
        <v>4.5041095890410956</v>
      </c>
      <c r="D80" s="77">
        <f>_xll.qlYieldTSForwardRate($C$3,B80,B80,"Act/365 (fixed)","Continuous",,TRUE)</f>
        <v>3.1718423879733157E-2</v>
      </c>
      <c r="E80" s="236">
        <f t="shared" si="4"/>
        <v>3.6631486471318468E-2</v>
      </c>
      <c r="F80" s="236">
        <f t="shared" si="5"/>
        <v>5.2127332432328069E-3</v>
      </c>
      <c r="G80" s="77">
        <f>_xll.qlYieldTSForwardRate($C$4,B80,B80,"Act/365 (fixed)","Continuous",,TRUE)</f>
        <v>3.1713273318326539E-2</v>
      </c>
      <c r="H80" s="242">
        <f>(_xll.qlYieldTSDiscount($C$4,B80)-_xll.qlYieldTSDiscount($C$3,B80))/1%</f>
        <v>5.5809553933805489E-5</v>
      </c>
      <c r="I80" s="245">
        <v>0</v>
      </c>
    </row>
    <row r="81" spans="2:9">
      <c r="B81" s="111">
        <f>_xll.qlCalendarAdvance("Null",B80,"1m")</f>
        <v>45413</v>
      </c>
      <c r="C81" s="112">
        <f t="shared" si="3"/>
        <v>4.5863013698630137</v>
      </c>
      <c r="D81" s="77">
        <f>_xll.qlYieldTSForwardRate($C$3,B81,B81,"Act/365 (fixed)","Continuous",,TRUE)</f>
        <v>3.2021358524212645E-2</v>
      </c>
      <c r="E81" s="236">
        <f t="shared" si="4"/>
        <v>3.6973596659916508E-2</v>
      </c>
      <c r="F81" s="236">
        <f t="shared" si="5"/>
        <v>2.7724265230003159E-3</v>
      </c>
      <c r="G81" s="77">
        <f>_xll.qlYieldTSForwardRate($C$4,B81,B81,"Act/365 (fixed)","Continuous",,TRUE)</f>
        <v>3.2015871655280165E-2</v>
      </c>
      <c r="H81" s="242">
        <f>(_xll.qlYieldTSDiscount($C$4,B81)-_xll.qlYieldTSDiscount($C$3,B81))/1%</f>
        <v>9.4282755758179349E-5</v>
      </c>
      <c r="I81" s="245">
        <v>0</v>
      </c>
    </row>
    <row r="82" spans="2:9">
      <c r="B82" s="111">
        <f>_xll.qlCalendarAdvance("Null",B81,"1m")</f>
        <v>45444</v>
      </c>
      <c r="C82" s="112">
        <f t="shared" si="3"/>
        <v>4.6712328767123283</v>
      </c>
      <c r="D82" s="77">
        <f>_xll.qlYieldTSForwardRate($C$3,B82,B82,"Act/365 (fixed)","Continuous",,TRUE)</f>
        <v>3.2336338782816693E-2</v>
      </c>
      <c r="E82" s="236">
        <f t="shared" si="4"/>
        <v>3.7094823506669206E-2</v>
      </c>
      <c r="F82" s="236">
        <f t="shared" si="5"/>
        <v>1.7742542483692155E-4</v>
      </c>
      <c r="G82" s="77">
        <f>_xll.qlYieldTSForwardRate($C$4,B82,B82,"Act/365 (fixed)","Continuous",,TRUE)</f>
        <v>3.2330878785808245E-2</v>
      </c>
      <c r="H82" s="242">
        <f>(_xll.qlYieldTSDiscount($C$4,B82)-_xll.qlYieldTSDiscount($C$3,B82))/1%</f>
        <v>1.3504131304298284E-4</v>
      </c>
      <c r="I82" s="245">
        <v>0</v>
      </c>
    </row>
    <row r="83" spans="2:9">
      <c r="B83" s="111">
        <f>_xll.qlCalendarAdvance("Null",B82,"1m")</f>
        <v>45474</v>
      </c>
      <c r="C83" s="112">
        <f t="shared" si="3"/>
        <v>4.7534246575342465</v>
      </c>
      <c r="D83" s="77">
        <f>_xll.qlYieldTSForwardRate($C$3,B83,B83,"Act/365 (fixed)","Continuous",,TRUE)</f>
        <v>3.2641299410214514E-2</v>
      </c>
      <c r="E83" s="236">
        <f t="shared" si="4"/>
        <v>3.7003248580231719E-2</v>
      </c>
      <c r="F83" s="236">
        <f t="shared" si="5"/>
        <v>-2.3811288903185304E-3</v>
      </c>
      <c r="G83" s="77">
        <f>_xll.qlYieldTSForwardRate($C$4,B83,B83,"Act/365 (fixed)","Continuous",,TRUE)</f>
        <v>3.2636308592091566E-2</v>
      </c>
      <c r="H83" s="242">
        <f>(_xll.qlYieldTSDiscount($C$4,B83)-_xll.qlYieldTSDiscount($C$3,B83))/1%</f>
        <v>1.7251757771230558E-4</v>
      </c>
      <c r="I83" s="245">
        <v>0</v>
      </c>
    </row>
    <row r="84" spans="2:9">
      <c r="B84" s="111">
        <f>_xll.qlCalendarAdvance("Null",B83,"1m")</f>
        <v>45505</v>
      </c>
      <c r="C84" s="112">
        <f t="shared" si="3"/>
        <v>4.838356164383562</v>
      </c>
      <c r="D84" s="77">
        <f>_xll.qlYieldTSForwardRate($C$3,B84,B84,"Act/365 (fixed)","Continuous",,TRUE)</f>
        <v>3.2954749238541116E-2</v>
      </c>
      <c r="E84" s="236">
        <f t="shared" si="4"/>
        <v>3.6696881418150216E-2</v>
      </c>
      <c r="F84" s="236">
        <f t="shared" si="5"/>
        <v>-4.8493704399782582E-3</v>
      </c>
      <c r="G84" s="77">
        <f>_xll.qlYieldTSForwardRate($C$4,B84,B84,"Act/365 (fixed)","Continuous",,TRUE)</f>
        <v>3.2950785662145571E-2</v>
      </c>
      <c r="H84" s="242">
        <f>(_xll.qlYieldTSDiscount($C$4,B84)-_xll.qlYieldTSDiscount($C$3,B84))/1%</f>
        <v>2.0555851484305165E-4</v>
      </c>
      <c r="I84" s="245">
        <v>0</v>
      </c>
    </row>
    <row r="85" spans="2:9">
      <c r="B85" s="111">
        <f>_xll.qlCalendarAdvance("Null",B84,"1m")</f>
        <v>45536</v>
      </c>
      <c r="C85" s="112">
        <f t="shared" si="3"/>
        <v>4.9232876712328766</v>
      </c>
      <c r="D85" s="77">
        <f>_xll.qlYieldTSForwardRate($C$3,B85,B85,"Act/365 (fixed)","Continuous",,TRUE)</f>
        <v>3.3264643697317339E-2</v>
      </c>
      <c r="E85" s="236">
        <f t="shared" si="4"/>
        <v>3.6179519902755961E-2</v>
      </c>
      <c r="F85" s="236">
        <f t="shared" si="5"/>
        <v>-7.4121128265536278E-3</v>
      </c>
      <c r="G85" s="77">
        <f>_xll.qlYieldTSForwardRate($C$4,B85,B85,"Act/365 (fixed)","Continuous",,TRUE)</f>
        <v>3.3262344539662564E-2</v>
      </c>
      <c r="H85" s="242">
        <f>(_xll.qlYieldTSDiscount($C$4,B85)-_xll.qlYieldTSDiscount($C$3,B85))/1%</f>
        <v>2.2852327394851102E-4</v>
      </c>
      <c r="I85" s="245">
        <v>0</v>
      </c>
    </row>
    <row r="86" spans="2:9">
      <c r="B86" s="111">
        <f>_xll.qlCalendarAdvance("Null",B85,"1m")</f>
        <v>45566</v>
      </c>
      <c r="C86" s="112">
        <f t="shared" si="3"/>
        <v>5.0054794520547947</v>
      </c>
      <c r="D86" s="77">
        <f>_xll.qlYieldTSForwardRate($C$3,B86,B86,"Act/365 (fixed)","Continuous",,TRUE)</f>
        <v>3.3559393269792653E-2</v>
      </c>
      <c r="E86" s="236">
        <f t="shared" si="4"/>
        <v>3.5458144753986461E-2</v>
      </c>
      <c r="F86" s="236">
        <f t="shared" si="5"/>
        <v>-8.928138011738234E-3</v>
      </c>
      <c r="G86" s="77">
        <f>_xll.qlYieldTSForwardRate($C$4,B86,B86,"Act/365 (fixed)","Continuous",,TRUE)</f>
        <v>3.3559393269792653E-2</v>
      </c>
      <c r="H86" s="242">
        <f>(_xll.qlYieldTSDiscount($C$4,B86)-_xll.qlYieldTSDiscount($C$3,B86))/1%</f>
        <v>2.3651513257894052E-4</v>
      </c>
      <c r="I86" s="245">
        <v>0</v>
      </c>
    </row>
    <row r="87" spans="2:9">
      <c r="B87" s="111">
        <f>_xll.qlCalendarAdvance("Null",B86,"1m")</f>
        <v>45597</v>
      </c>
      <c r="C87" s="112">
        <f t="shared" si="3"/>
        <v>5.0904109589041093</v>
      </c>
      <c r="D87" s="77">
        <f>_xll.qlYieldTSForwardRate($C$3,B87,B87,"Act/365 (fixed)","Continuous",,TRUE)</f>
        <v>3.3857231869918208E-2</v>
      </c>
      <c r="E87" s="236">
        <f t="shared" si="4"/>
        <v>3.4687420125451764E-2</v>
      </c>
      <c r="F87" s="236">
        <f t="shared" si="5"/>
        <v>-9.1229668403581456E-3</v>
      </c>
      <c r="G87" s="77">
        <f>_xll.qlYieldTSForwardRate($C$4,B87,B87,"Act/365 (fixed)","Continuous",,TRUE)</f>
        <v>3.3860334879474902E-2</v>
      </c>
      <c r="H87" s="242">
        <f>(_xll.qlYieldTSDiscount($C$4,B87)-_xll.qlYieldTSDiscount($C$3,B87))/1%</f>
        <v>2.2484111993348321E-4</v>
      </c>
      <c r="I87" s="245">
        <v>0</v>
      </c>
    </row>
    <row r="88" spans="2:9">
      <c r="B88" s="111">
        <f>_xll.qlCalendarAdvance("Null",B87,"1m")</f>
        <v>45627</v>
      </c>
      <c r="C88" s="112">
        <f t="shared" si="3"/>
        <v>5.1726027397260275</v>
      </c>
      <c r="D88" s="77">
        <f>_xll.qlYieldTSForwardRate($C$3,B88,B88,"Act/365 (fixed)","Continuous",,TRUE)</f>
        <v>3.4139100839012532E-2</v>
      </c>
      <c r="E88" s="236">
        <f t="shared" si="4"/>
        <v>3.3933484542310169E-2</v>
      </c>
      <c r="F88" s="236">
        <f t="shared" si="5"/>
        <v>-8.5605203073627553E-3</v>
      </c>
      <c r="G88" s="77">
        <f>_xll.qlYieldTSForwardRate($C$4,B88,B88,"Act/365 (fixed)","Continuous",,TRUE)</f>
        <v>3.4145669915182517E-2</v>
      </c>
      <c r="H88" s="242">
        <f>(_xll.qlYieldTSDiscount($C$4,B88)-_xll.qlYieldTSDiscount($C$3,B88))/1%</f>
        <v>1.9012382465044553E-4</v>
      </c>
      <c r="I88" s="245">
        <v>0</v>
      </c>
    </row>
    <row r="89" spans="2:9">
      <c r="B89" s="111">
        <f>_xll.qlCalendarAdvance("Null",B88,"1m")</f>
        <v>45658</v>
      </c>
      <c r="C89" s="112">
        <f t="shared" si="3"/>
        <v>5.2575342465753421</v>
      </c>
      <c r="D89" s="77">
        <f>_xll.qlYieldTSForwardRate($C$3,B89,B89,"Act/365 (fixed)","Continuous",,TRUE)</f>
        <v>3.4424339419803392E-2</v>
      </c>
      <c r="E89" s="236">
        <f t="shared" si="4"/>
        <v>3.3256757827508948E-2</v>
      </c>
      <c r="F89" s="236">
        <f t="shared" si="5"/>
        <v>-7.4860530861590724E-3</v>
      </c>
      <c r="G89" s="77">
        <f>_xll.qlYieldTSForwardRate($C$4,B89,B89,"Act/365 (fixed)","Continuous",,TRUE)</f>
        <v>3.4434652341451384E-2</v>
      </c>
      <c r="H89" s="242">
        <f>(_xll.qlYieldTSDiscount($C$4,B89)-_xll.qlYieldTSDiscount($C$3,B89))/1%</f>
        <v>1.2794447878938797E-4</v>
      </c>
      <c r="I89" s="245">
        <v>0</v>
      </c>
    </row>
    <row r="90" spans="2:9">
      <c r="B90" s="111">
        <f>_xll.qlCalendarAdvance("Null",B89,"1m")</f>
        <v>45689</v>
      </c>
      <c r="C90" s="112">
        <f t="shared" ref="C90:C153" si="6">(B90-$B$26)/365</f>
        <v>5.3424657534246576</v>
      </c>
      <c r="D90" s="77">
        <f>_xll.qlYieldTSForwardRate($C$3,B90,B90,"Act/365 (fixed)","Continuous",,TRUE)</f>
        <v>3.4704010150055149E-2</v>
      </c>
      <c r="E90" s="236">
        <f t="shared" si="4"/>
        <v>3.2661881004387258E-2</v>
      </c>
      <c r="F90" s="236">
        <f t="shared" si="5"/>
        <v>-7.1405091239389725E-3</v>
      </c>
      <c r="G90" s="77">
        <f>_xll.qlYieldTSForwardRate($C$4,B90,B90,"Act/365 (fixed)","Continuous",,TRUE)</f>
        <v>3.4717910293914786E-2</v>
      </c>
      <c r="H90" s="242">
        <f>(_xll.qlYieldTSDiscount($C$4,B90)-_xll.qlYieldTSDiscount($C$3,B90))/1%</f>
        <v>3.9241716631721602E-5</v>
      </c>
      <c r="I90" s="245">
        <v>0</v>
      </c>
    </row>
    <row r="91" spans="2:9">
      <c r="B91" s="111">
        <f>_xll.qlCalendarAdvance("Null",B90,"1m")</f>
        <v>45717</v>
      </c>
      <c r="C91" s="112">
        <f t="shared" si="6"/>
        <v>5.419178082191781</v>
      </c>
      <c r="D91" s="77">
        <f>_xll.qlYieldTSForwardRate($C$3,B91,B91,"Act/365 (fixed)","Continuous",,TRUE)</f>
        <v>3.4952298592203078E-2</v>
      </c>
      <c r="E91" s="236">
        <f t="shared" si="4"/>
        <v>3.2102538544461275E-2</v>
      </c>
      <c r="F91" s="236">
        <f t="shared" si="5"/>
        <v>-6.3218958428785058E-3</v>
      </c>
      <c r="G91" s="77">
        <f>_xll.qlYieldTSForwardRate($C$4,B91,B91,"Act/365 (fixed)","Continuous",,TRUE)</f>
        <v>3.4969033835728497E-2</v>
      </c>
      <c r="H91" s="242">
        <f>(_xll.qlYieldTSDiscount($C$4,B91)-_xll.qlYieldTSDiscount($C$3,B91))/1%</f>
        <v>-6.1593914280066997E-5</v>
      </c>
      <c r="I91" s="245">
        <v>0</v>
      </c>
    </row>
    <row r="92" spans="2:9">
      <c r="B92" s="111">
        <f>_xll.qlCalendarAdvance("Null",B91,"1m")</f>
        <v>45748</v>
      </c>
      <c r="C92" s="112">
        <f t="shared" si="6"/>
        <v>5.5041095890410956</v>
      </c>
      <c r="D92" s="77">
        <f>_xll.qlYieldTSForwardRate($C$3,B92,B92,"Act/365 (fixed)","Continuous",,TRUE)</f>
        <v>3.5222927896390276E-2</v>
      </c>
      <c r="E92" s="236">
        <f t="shared" ref="E92:E155" si="7">(D93-D91)/(C93-C91)*10</f>
        <v>3.1639985511976762E-2</v>
      </c>
      <c r="F92" s="236">
        <f t="shared" ref="F92:F155" si="8">(E93-E91)/(C93-C91)</f>
        <v>-5.3469034078026103E-3</v>
      </c>
      <c r="G92" s="77">
        <f>_xll.qlYieldTSForwardRate($C$4,B92,B92,"Act/365 (fixed)","Continuous",,TRUE)</f>
        <v>3.5242054320504708E-2</v>
      </c>
      <c r="H92" s="242">
        <f>(_xll.qlYieldTSDiscount($C$4,B92)-_xll.qlYieldTSDiscount($C$3,B92))/1%</f>
        <v>-1.9177463690400742E-4</v>
      </c>
      <c r="I92" s="245">
        <v>0</v>
      </c>
    </row>
    <row r="93" spans="2:9">
      <c r="B93" s="111">
        <f>_xll.qlCalendarAdvance("Null",B92,"1m")</f>
        <v>45778</v>
      </c>
      <c r="C93" s="112">
        <f t="shared" si="6"/>
        <v>5.5863013698630137</v>
      </c>
      <c r="D93" s="77">
        <f>_xll.qlYieldTSForwardRate($C$3,B93,B93,"Act/365 (fixed)","Continuous",,TRUE)</f>
        <v>3.5481076432266251E-2</v>
      </c>
      <c r="E93" s="236">
        <f t="shared" si="7"/>
        <v>3.1208946468088784E-2</v>
      </c>
      <c r="F93" s="236">
        <f t="shared" si="8"/>
        <v>-4.6974704262893697E-3</v>
      </c>
      <c r="G93" s="77">
        <f>_xll.qlYieldTSForwardRate($C$4,B93,B93,"Act/365 (fixed)","Continuous",,TRUE)</f>
        <v>3.5501472651199899E-2</v>
      </c>
      <c r="H93" s="242">
        <f>(_xll.qlYieldTSDiscount($C$4,B93)-_xll.qlYieldTSDiscount($C$3,B93))/1%</f>
        <v>-3.2993628921174079E-4</v>
      </c>
      <c r="I93" s="245">
        <v>0</v>
      </c>
    </row>
    <row r="94" spans="2:9">
      <c r="B94" s="111">
        <f>_xll.qlCalendarAdvance("Null",B93,"1m")</f>
        <v>45809</v>
      </c>
      <c r="C94" s="112">
        <f t="shared" si="6"/>
        <v>5.6712328767123283</v>
      </c>
      <c r="D94" s="77">
        <f>_xll.qlYieldTSForwardRate($C$3,B94,B94,"Act/365 (fixed)","Continuous",,TRUE)</f>
        <v>3.5744502070240526E-2</v>
      </c>
      <c r="E94" s="236">
        <f t="shared" si="7"/>
        <v>3.0854928810596895E-2</v>
      </c>
      <c r="F94" s="236">
        <f t="shared" si="8"/>
        <v>-3.9169584870709607E-3</v>
      </c>
      <c r="G94" s="77">
        <f>_xll.qlYieldTSForwardRate($C$4,B94,B94,"Act/365 (fixed)","Continuous",,TRUE)</f>
        <v>3.5764815013326089E-2</v>
      </c>
      <c r="H94" s="242">
        <f>(_xll.qlYieldTSDiscount($C$4,B94)-_xll.qlYieldTSDiscount($C$3,B94))/1%</f>
        <v>-4.7635744826468596E-4</v>
      </c>
      <c r="I94" s="245">
        <v>0</v>
      </c>
    </row>
    <row r="95" spans="2:9">
      <c r="B95" s="111">
        <f>_xll.qlCalendarAdvance("Null",B94,"1m")</f>
        <v>45839</v>
      </c>
      <c r="C95" s="112">
        <f t="shared" si="6"/>
        <v>5.7534246575342465</v>
      </c>
      <c r="D95" s="77">
        <f>_xll.qlYieldTSForwardRate($C$3,B95,B95,"Act/365 (fixed)","Continuous",,TRUE)</f>
        <v>3.599673414663513E-2</v>
      </c>
      <c r="E95" s="236">
        <f t="shared" si="7"/>
        <v>3.0554331488057748E-2</v>
      </c>
      <c r="F95" s="236">
        <f t="shared" si="8"/>
        <v>-3.1790782772409608E-3</v>
      </c>
      <c r="G95" s="77">
        <f>_xll.qlYieldTSForwardRate($C$4,B95,B95,"Act/365 (fixed)","Continuous",,TRUE)</f>
        <v>3.6015313304564138E-2</v>
      </c>
      <c r="H95" s="242">
        <f>(_xll.qlYieldTSDiscount($C$4,B95)-_xll.qlYieldTSDiscount($C$3,B95))/1%</f>
        <v>-6.1100413717429802E-4</v>
      </c>
      <c r="I95" s="245">
        <v>0</v>
      </c>
    </row>
    <row r="96" spans="2:9">
      <c r="B96" s="111">
        <f>_xll.qlCalendarAdvance("Null",B95,"1m")</f>
        <v>45870</v>
      </c>
      <c r="C96" s="112">
        <f t="shared" si="6"/>
        <v>5.838356164383562</v>
      </c>
      <c r="D96" s="77">
        <f>_xll.qlYieldTSForwardRate($C$3,B96,B96,"Act/365 (fixed)","Continuous",,TRUE)</f>
        <v>3.6255136103328617E-2</v>
      </c>
      <c r="E96" s="236">
        <f t="shared" si="7"/>
        <v>3.0323630797140184E-2</v>
      </c>
      <c r="F96" s="236">
        <f t="shared" si="8"/>
        <v>-2.3427081219380631E-3</v>
      </c>
      <c r="G96" s="77">
        <f>_xll.qlYieldTSForwardRate($C$4,B96,B96,"Act/365 (fixed)","Continuous",,TRUE)</f>
        <v>3.6269899036183328E-2</v>
      </c>
      <c r="H96" s="242">
        <f>(_xll.qlYieldTSDiscount($C$4,B96)-_xll.qlYieldTSDiscount($C$3,B96))/1%</f>
        <v>-7.2969870433814421E-4</v>
      </c>
      <c r="I96" s="245">
        <v>0</v>
      </c>
    </row>
    <row r="97" spans="2:9">
      <c r="B97" s="111">
        <f>_xll.qlCalendarAdvance("Null",B96,"1m")</f>
        <v>45901</v>
      </c>
      <c r="C97" s="112">
        <f t="shared" si="6"/>
        <v>5.9232876712328766</v>
      </c>
      <c r="D97" s="77">
        <f>_xll.qlYieldTSForwardRate($C$3,B97,B97,"Act/365 (fixed)","Continuous",,TRUE)</f>
        <v>3.6511820477983813E-2</v>
      </c>
      <c r="E97" s="236">
        <f t="shared" si="7"/>
        <v>3.015639202624909E-2</v>
      </c>
      <c r="F97" s="236">
        <f t="shared" si="8"/>
        <v>-1.6600251655827132E-3</v>
      </c>
      <c r="G97" s="77">
        <f>_xll.qlYieldTSForwardRate($C$4,B97,B97,"Act/365 (fixed)","Continuous",,TRUE)</f>
        <v>3.6520387822396916E-2</v>
      </c>
      <c r="H97" s="242">
        <f>(_xll.qlYieldTSDiscount($C$4,B97)-_xll.qlYieldTSDiscount($C$3,B97))/1%</f>
        <v>-8.1213889993048127E-4</v>
      </c>
      <c r="I97" s="245">
        <v>0</v>
      </c>
    </row>
    <row r="98" spans="2:9">
      <c r="B98" s="111">
        <f>_xll.qlCalendarAdvance("Null",B97,"1m")</f>
        <v>45931</v>
      </c>
      <c r="C98" s="112">
        <f t="shared" si="6"/>
        <v>6.0054794520547947</v>
      </c>
      <c r="D98" s="77">
        <f>_xll.qlYieldTSForwardRate($C$3,B98,B98,"Act/365 (fixed)","Continuous",,TRUE)</f>
        <v>3.6759119641301546E-2</v>
      </c>
      <c r="E98" s="236">
        <f t="shared" si="7"/>
        <v>3.0046201933851019E-2</v>
      </c>
      <c r="F98" s="236">
        <f t="shared" si="8"/>
        <v>-1.1335899864222099E-3</v>
      </c>
      <c r="G98" s="77">
        <f>_xll.qlYieldTSForwardRate($C$4,B98,B98,"Act/365 (fixed)","Continuous",,TRUE)</f>
        <v>3.6759119639081114E-2</v>
      </c>
      <c r="H98" s="242">
        <f>(_xll.qlYieldTSDiscount($C$4,B98)-_xll.qlYieldTSDiscount($C$3,B98))/1%</f>
        <v>-8.4070516830347941E-4</v>
      </c>
      <c r="I98" s="245">
        <v>0</v>
      </c>
    </row>
    <row r="99" spans="2:9">
      <c r="B99" s="111">
        <f>_xll.qlCalendarAdvance("Null",B98,"1m")</f>
        <v>45962</v>
      </c>
      <c r="C99" s="112">
        <f t="shared" si="6"/>
        <v>6.0904109589041093</v>
      </c>
      <c r="D99" s="77">
        <f>_xll.qlYieldTSForwardRate($C$3,B99,B99,"Act/365 (fixed)","Continuous",,TRUE)</f>
        <v>3.7013962482905706E-2</v>
      </c>
      <c r="E99" s="236">
        <f t="shared" si="7"/>
        <v>2.9966942740847023E-2</v>
      </c>
      <c r="F99" s="236">
        <f t="shared" si="8"/>
        <v>-9.7819530643705787E-4</v>
      </c>
      <c r="G99" s="77">
        <f>_xll.qlYieldTSForwardRate($C$4,B99,B99,"Act/365 (fixed)","Continuous",,TRUE)</f>
        <v>3.7002392287624031E-2</v>
      </c>
      <c r="H99" s="242">
        <f>(_xll.qlYieldTSDiscount($C$4,B99)-_xll.qlYieldTSDiscount($C$3,B99))/1%</f>
        <v>-7.9850079433008148E-4</v>
      </c>
      <c r="I99" s="245">
        <v>0</v>
      </c>
    </row>
    <row r="100" spans="2:9">
      <c r="B100" s="111">
        <f>_xll.qlCalendarAdvance("Null",B99,"1m")</f>
        <v>45992</v>
      </c>
      <c r="C100" s="112">
        <f t="shared" si="6"/>
        <v>6.1726027397260275</v>
      </c>
      <c r="D100" s="77">
        <f>_xll.qlYieldTSForwardRate($C$3,B100,B100,"Act/365 (fixed)","Continuous",,TRUE)</f>
        <v>3.725993704053214E-2</v>
      </c>
      <c r="E100" s="236">
        <f t="shared" si="7"/>
        <v>2.9882722718254689E-2</v>
      </c>
      <c r="F100" s="236">
        <f t="shared" si="8"/>
        <v>-1.0489362983039353E-3</v>
      </c>
      <c r="G100" s="77">
        <f>_xll.qlYieldTSForwardRate($C$4,B100,B100,"Act/365 (fixed)","Continuous",,TRUE)</f>
        <v>3.7235438344341142E-2</v>
      </c>
      <c r="H100" s="242">
        <f>(_xll.qlYieldTSDiscount($C$4,B100)-_xll.qlYieldTSDiscount($C$3,B100))/1%</f>
        <v>-6.7340594487319549E-4</v>
      </c>
      <c r="I100" s="245">
        <v>0</v>
      </c>
    </row>
    <row r="101" spans="2:9">
      <c r="B101" s="111">
        <f>_xll.qlCalendarAdvance("Null",B100,"1m")</f>
        <v>46023</v>
      </c>
      <c r="C101" s="112">
        <f t="shared" si="6"/>
        <v>6.2575342465753421</v>
      </c>
      <c r="D101" s="77">
        <f>_xll.qlYieldTSForwardRate($C$3,B101,B101,"Act/365 (fixed)","Continuous",,TRUE)</f>
        <v>3.7513372369429962E-2</v>
      </c>
      <c r="E101" s="236">
        <f t="shared" si="7"/>
        <v>2.9791641058116776E-2</v>
      </c>
      <c r="F101" s="236">
        <f t="shared" si="8"/>
        <v>-1.0992158897515534E-3</v>
      </c>
      <c r="G101" s="77">
        <f>_xll.qlYieldTSForwardRate($C$4,B101,B101,"Act/365 (fixed)","Continuous",,TRUE)</f>
        <v>3.7474905952609196E-2</v>
      </c>
      <c r="H101" s="242">
        <f>(_xll.qlYieldTSDiscount($C$4,B101)-_xll.qlYieldTSDiscount($C$3,B101))/1%</f>
        <v>-4.495511963464871E-4</v>
      </c>
      <c r="I101" s="245">
        <v>0</v>
      </c>
    </row>
    <row r="102" spans="2:9">
      <c r="B102" s="111">
        <f>_xll.qlCalendarAdvance("Null",B101,"1m")</f>
        <v>46054</v>
      </c>
      <c r="C102" s="112">
        <f t="shared" si="6"/>
        <v>6.3424657534246576</v>
      </c>
      <c r="D102" s="77">
        <f>_xll.qlYieldTSForwardRate($C$3,B102,B102,"Act/365 (fixed)","Continuous",,TRUE)</f>
        <v>3.7765986833848096E-2</v>
      </c>
      <c r="E102" s="236">
        <f t="shared" si="7"/>
        <v>2.9696006594516069E-2</v>
      </c>
      <c r="F102" s="236">
        <f t="shared" si="8"/>
        <v>-1.2647838463819177E-3</v>
      </c>
      <c r="G102" s="77">
        <f>_xll.qlYieldTSForwardRate($C$4,B102,B102,"Act/365 (fixed)","Continuous",,TRUE)</f>
        <v>3.771413479147958E-2</v>
      </c>
      <c r="H102" s="242">
        <f>(_xll.qlYieldTSDiscount($C$4,B102)-_xll.qlYieldTSDiscount($C$3,B102))/1%</f>
        <v>-1.3037470277810215E-4</v>
      </c>
      <c r="I102" s="245">
        <v>0</v>
      </c>
    </row>
    <row r="103" spans="2:9">
      <c r="B103" s="111">
        <f>_xll.qlCalendarAdvance("Null",B102,"1m")</f>
        <v>46082</v>
      </c>
      <c r="C103" s="112">
        <f t="shared" si="6"/>
        <v>6.419178082191781</v>
      </c>
      <c r="D103" s="77">
        <f>_xll.qlYieldTSForwardRate($C$3,B103,B103,"Act/365 (fixed)","Continuous",,TRUE)</f>
        <v>3.7993390010272826E-2</v>
      </c>
      <c r="E103" s="236">
        <f t="shared" si="7"/>
        <v>2.958719654596189E-2</v>
      </c>
      <c r="F103" s="236">
        <f t="shared" si="8"/>
        <v>-1.3503196787693331E-3</v>
      </c>
      <c r="G103" s="77">
        <f>_xll.qlYieldTSForwardRate($C$4,B103,B103,"Act/365 (fixed)","Continuous",,TRUE)</f>
        <v>3.793095733954871E-2</v>
      </c>
      <c r="H103" s="242">
        <f>(_xll.qlYieldTSDiscount($C$4,B103)-_xll.qlYieldTSDiscount($C$3,B103))/1%</f>
        <v>2.3231284870250946E-4</v>
      </c>
      <c r="I103" s="245">
        <v>0</v>
      </c>
    </row>
    <row r="104" spans="2:9">
      <c r="B104" s="111">
        <f>_xll.qlCalendarAdvance("Null",B103,"1m")</f>
        <v>46113</v>
      </c>
      <c r="C104" s="112">
        <f t="shared" si="6"/>
        <v>6.5041095890410956</v>
      </c>
      <c r="D104" s="77">
        <f>_xll.qlYieldTSForwardRate($C$3,B104,B104,"Act/365 (fixed)","Continuous",,TRUE)</f>
        <v>3.8244245627330767E-2</v>
      </c>
      <c r="E104" s="236">
        <f t="shared" si="7"/>
        <v>2.9477735742331437E-2</v>
      </c>
      <c r="F104" s="236">
        <f t="shared" si="8"/>
        <v>-1.403060684946202E-3</v>
      </c>
      <c r="G104" s="77">
        <f>_xll.qlYieldTSForwardRate($C$4,B104,B104,"Act/365 (fixed)","Continuous",,TRUE)</f>
        <v>3.8172887483027364E-2</v>
      </c>
      <c r="H104" s="242">
        <f>(_xll.qlYieldTSDiscount($C$4,B104)-_xll.qlYieldTSDiscount($C$3,B104))/1%</f>
        <v>7.0037172555936777E-4</v>
      </c>
      <c r="I104" s="245">
        <v>0</v>
      </c>
    </row>
    <row r="105" spans="2:9">
      <c r="B105" s="111">
        <f>_xll.qlCalendarAdvance("Null",B104,"1m")</f>
        <v>46143</v>
      </c>
      <c r="C105" s="112">
        <f t="shared" si="6"/>
        <v>6.5863013698630137</v>
      </c>
      <c r="D105" s="77">
        <f>_xll.qlYieldTSForwardRate($C$3,B105,B105,"Act/365 (fixed)","Continuous",,TRUE)</f>
        <v>3.848603162130905E-2</v>
      </c>
      <c r="E105" s="236">
        <f t="shared" si="7"/>
        <v>2.9352712431491429E-2</v>
      </c>
      <c r="F105" s="236">
        <f t="shared" si="8"/>
        <v>-1.5197734863245955E-3</v>
      </c>
      <c r="G105" s="77">
        <f>_xll.qlYieldTSForwardRate($C$4,B105,B105,"Act/365 (fixed)","Continuous",,TRUE)</f>
        <v>3.8409931849869725E-2</v>
      </c>
      <c r="H105" s="242">
        <f>(_xll.qlYieldTSDiscount($C$4,B105)-_xll.qlYieldTSDiscount($C$3,B105))/1%</f>
        <v>1.1969297823433145E-3</v>
      </c>
      <c r="I105" s="245">
        <v>0</v>
      </c>
    </row>
    <row r="106" spans="2:9">
      <c r="B106" s="111">
        <f>_xll.qlCalendarAdvance("Null",B105,"1m")</f>
        <v>46174</v>
      </c>
      <c r="C106" s="112">
        <f t="shared" si="6"/>
        <v>6.6712328767123283</v>
      </c>
      <c r="D106" s="77">
        <f>_xll.qlYieldTSForwardRate($C$3,B106,B106,"Act/365 (fixed)","Continuous",,TRUE)</f>
        <v>3.8734797807692678E-2</v>
      </c>
      <c r="E106" s="236">
        <f t="shared" si="7"/>
        <v>2.92237462007813E-2</v>
      </c>
      <c r="F106" s="236">
        <f t="shared" si="8"/>
        <v>-1.6184020867072832E-3</v>
      </c>
      <c r="G106" s="77">
        <f>_xll.qlYieldTSForwardRate($C$4,B106,B106,"Act/365 (fixed)","Continuous",,TRUE)</f>
        <v>3.8659005135750102E-2</v>
      </c>
      <c r="H106" s="242">
        <f>(_xll.qlYieldTSDiscount($C$4,B106)-_xll.qlYieldTSDiscount($C$3,B106))/1%</f>
        <v>1.7229497654924764E-3</v>
      </c>
      <c r="I106" s="245">
        <v>0</v>
      </c>
    </row>
    <row r="107" spans="2:9">
      <c r="B107" s="111">
        <f>_xll.qlCalendarAdvance("Null",B106,"1m")</f>
        <v>46204</v>
      </c>
      <c r="C107" s="112">
        <f t="shared" si="6"/>
        <v>6.7534246575342465</v>
      </c>
      <c r="D107" s="77">
        <f>_xll.qlYieldTSForwardRate($C$3,B107,B107,"Act/365 (fixed)","Continuous",,TRUE)</f>
        <v>3.8974428475623477E-2</v>
      </c>
      <c r="E107" s="236">
        <f t="shared" si="7"/>
        <v>2.9082239753986924E-2</v>
      </c>
      <c r="F107" s="236">
        <f t="shared" si="8"/>
        <v>-1.7289668998922336E-3</v>
      </c>
      <c r="G107" s="77">
        <f>_xll.qlYieldTSForwardRate($C$4,B107,B107,"Act/365 (fixed)","Continuous",,TRUE)</f>
        <v>3.8905102278789114E-2</v>
      </c>
      <c r="H107" s="242">
        <f>(_xll.qlYieldTSDiscount($C$4,B107)-_xll.qlYieldTSDiscount($C$3,B107))/1%</f>
        <v>2.2064319918135844E-3</v>
      </c>
      <c r="I107" s="245">
        <v>0</v>
      </c>
    </row>
    <row r="108" spans="2:9">
      <c r="B108" s="111">
        <f>_xll.qlCalendarAdvance("Null",B107,"1m")</f>
        <v>46235</v>
      </c>
      <c r="C108" s="112">
        <f t="shared" si="6"/>
        <v>6.838356164383562</v>
      </c>
      <c r="D108" s="77">
        <f>_xll.qlYieldTSForwardRate($C$3,B108,B108,"Act/365 (fixed)","Continuous",,TRUE)</f>
        <v>3.9220829759745612E-2</v>
      </c>
      <c r="E108" s="236">
        <f t="shared" si="7"/>
        <v>2.8934795568196569E-2</v>
      </c>
      <c r="F108" s="236">
        <f t="shared" si="8"/>
        <v>-1.7832488747691287E-3</v>
      </c>
      <c r="G108" s="77">
        <f>_xll.qlYieldTSForwardRate($C$4,B108,B108,"Act/365 (fixed)","Continuous",,TRUE)</f>
        <v>3.9165741486329293E-2</v>
      </c>
      <c r="H108" s="242">
        <f>(_xll.qlYieldTSDiscount($C$4,B108)-_xll.qlYieldTSDiscount($C$3,B108))/1%</f>
        <v>2.6323563397601113E-3</v>
      </c>
      <c r="I108" s="245">
        <v>0</v>
      </c>
    </row>
    <row r="109" spans="2:9">
      <c r="B109" s="111">
        <f>_xll.qlCalendarAdvance("Null",B108,"1m")</f>
        <v>46266</v>
      </c>
      <c r="C109" s="112">
        <f t="shared" si="6"/>
        <v>6.9232876712328766</v>
      </c>
      <c r="D109" s="77">
        <f>_xll.qlYieldTSForwardRate($C$3,B109,B109,"Act/365 (fixed)","Continuous",,TRUE)</f>
        <v>3.946592363322024E-2</v>
      </c>
      <c r="E109" s="236">
        <f t="shared" si="7"/>
        <v>2.8779331725943949E-2</v>
      </c>
      <c r="F109" s="236">
        <f t="shared" si="8"/>
        <v>-1.9263415360774728E-3</v>
      </c>
      <c r="G109" s="77">
        <f>_xll.qlYieldTSForwardRate($C$4,B109,B109,"Act/365 (fixed)","Continuous",,TRUE)</f>
        <v>3.9433953399649925E-2</v>
      </c>
      <c r="H109" s="242">
        <f>(_xll.qlYieldTSDiscount($C$4,B109)-_xll.qlYieldTSDiscount($C$3,B109))/1%</f>
        <v>2.9278375343944063E-3</v>
      </c>
      <c r="I109" s="245">
        <v>0</v>
      </c>
    </row>
    <row r="110" spans="2:9">
      <c r="B110" s="111">
        <f>_xll.qlCalendarAdvance("Null",B109,"1m")</f>
        <v>46296</v>
      </c>
      <c r="C110" s="112">
        <f t="shared" si="6"/>
        <v>7.0054794520547947</v>
      </c>
      <c r="D110" s="77">
        <f>_xll.qlYieldTSForwardRate($C$3,B110,B110,"Act/365 (fixed)","Continuous",,TRUE)</f>
        <v>3.9701799413247689E-2</v>
      </c>
      <c r="E110" s="236">
        <f t="shared" si="7"/>
        <v>2.8612859037509649E-2</v>
      </c>
      <c r="F110" s="236">
        <f t="shared" si="8"/>
        <v>-2.0113876305166444E-3</v>
      </c>
      <c r="G110" s="77">
        <f>_xll.qlYieldTSForwardRate($C$4,B110,B110,"Act/365 (fixed)","Continuous",,TRUE)</f>
        <v>3.9701799415468128E-2</v>
      </c>
      <c r="H110" s="242">
        <f>(_xll.qlYieldTSDiscount($C$4,B110)-_xll.qlYieldTSDiscount($C$3,B110))/1%</f>
        <v>3.0297029235737405E-3</v>
      </c>
      <c r="I110" s="245">
        <v>0</v>
      </c>
    </row>
    <row r="111" spans="2:9">
      <c r="B111" s="111">
        <f>_xll.qlCalendarAdvance("Null",B110,"1m")</f>
        <v>46327</v>
      </c>
      <c r="C111" s="112">
        <f t="shared" si="6"/>
        <v>7.0904109589041093</v>
      </c>
      <c r="D111" s="77">
        <f>_xll.qlYieldTSForwardRate($C$3,B111,B111,"Act/365 (fixed)","Continuous",,TRUE)</f>
        <v>3.9944111140422456E-2</v>
      </c>
      <c r="E111" s="236">
        <f t="shared" si="7"/>
        <v>2.8443182012350757E-2</v>
      </c>
      <c r="F111" s="236">
        <f t="shared" si="8"/>
        <v>-2.1204878637517796E-3</v>
      </c>
      <c r="G111" s="77">
        <f>_xll.qlYieldTSForwardRate($C$4,B111,B111,"Act/365 (fixed)","Continuous",,TRUE)</f>
        <v>3.998728890908157E-2</v>
      </c>
      <c r="H111" s="242">
        <f>(_xll.qlYieldTSDiscount($C$4,B111)-_xll.qlYieldTSDiscount($C$3,B111))/1%</f>
        <v>2.8773586639108117E-3</v>
      </c>
      <c r="I111" s="245">
        <v>0</v>
      </c>
    </row>
    <row r="112" spans="2:9">
      <c r="B112" s="111">
        <f>_xll.qlCalendarAdvance("Null",B111,"1m")</f>
        <v>46357</v>
      </c>
      <c r="C112" s="112">
        <f t="shared" si="6"/>
        <v>7.1726027397260275</v>
      </c>
      <c r="D112" s="77">
        <f>_xll.qlYieldTSForwardRate($C$3,B112,B112,"Act/365 (fixed)","Continuous",,TRUE)</f>
        <v>4.0177151222221222E-2</v>
      </c>
      <c r="E112" s="236">
        <f t="shared" si="7"/>
        <v>2.8258476134252503E-2</v>
      </c>
      <c r="F112" s="236">
        <f t="shared" si="8"/>
        <v>-2.2491151119100584E-3</v>
      </c>
      <c r="G112" s="77">
        <f>_xll.qlYieldTSForwardRate($C$4,B112,B112,"Act/365 (fixed)","Continuous",,TRUE)</f>
        <v>4.0268576925638316E-2</v>
      </c>
      <c r="H112" s="242">
        <f>(_xll.qlYieldTSDiscount($C$4,B112)-_xll.qlYieldTSDiscount($C$3,B112))/1%</f>
        <v>2.427520196013333E-3</v>
      </c>
      <c r="I112" s="245">
        <v>0</v>
      </c>
    </row>
    <row r="113" spans="2:9">
      <c r="B113" s="111">
        <f>_xll.qlCalendarAdvance("Null",B112,"1m")</f>
        <v>46388</v>
      </c>
      <c r="C113" s="112">
        <f t="shared" si="6"/>
        <v>7.2575342465753421</v>
      </c>
      <c r="D113" s="77">
        <f>_xll.qlYieldTSForwardRate($C$3,B113,B113,"Act/365 (fixed)","Continuous",,TRUE)</f>
        <v>4.041637608403599E-2</v>
      </c>
      <c r="E113" s="236">
        <f t="shared" si="7"/>
        <v>2.8067302500497295E-2</v>
      </c>
      <c r="F113" s="236">
        <f t="shared" si="8"/>
        <v>-2.2650251484771637E-3</v>
      </c>
      <c r="G113" s="77">
        <f>_xll.qlYieldTSForwardRate($C$4,B113,B113,"Act/365 (fixed)","Continuous",,TRUE)</f>
        <v>4.0559928832040036E-2</v>
      </c>
      <c r="H113" s="242">
        <f>(_xll.qlYieldTSDiscount($C$4,B113)-_xll.qlYieldTSDiscount($C$3,B113))/1%</f>
        <v>1.623400612060788E-3</v>
      </c>
      <c r="I113" s="245">
        <v>0</v>
      </c>
    </row>
    <row r="114" spans="2:9">
      <c r="B114" s="111">
        <f>_xll.qlCalendarAdvance("Null",B113,"1m")</f>
        <v>46419</v>
      </c>
      <c r="C114" s="112">
        <f t="shared" si="6"/>
        <v>7.3424657534246576</v>
      </c>
      <c r="D114" s="77">
        <f>_xll.qlYieldTSForwardRate($C$3,B114,B114,"Act/365 (fixed)","Continuous",,TRUE)</f>
        <v>4.0653910881133778E-2</v>
      </c>
      <c r="E114" s="236">
        <f t="shared" si="7"/>
        <v>2.7873732136428984E-2</v>
      </c>
      <c r="F114" s="236">
        <f t="shared" si="8"/>
        <v>-2.5150151728215945E-3</v>
      </c>
      <c r="G114" s="77">
        <f>_xll.qlYieldTSForwardRate($C$4,B114,B114,"Act/365 (fixed)","Continuous",,TRUE)</f>
        <v>4.0847418905991612E-2</v>
      </c>
      <c r="H114" s="242">
        <f>(_xll.qlYieldTSDiscount($C$4,B114)-_xll.qlYieldTSDiscount($C$3,B114))/1%</f>
        <v>4.7762994928035596E-4</v>
      </c>
      <c r="I114" s="245">
        <v>0</v>
      </c>
    </row>
    <row r="115" spans="2:9">
      <c r="B115" s="111">
        <f>_xll.qlCalendarAdvance("Null",B114,"1m")</f>
        <v>46447</v>
      </c>
      <c r="C115" s="112">
        <f t="shared" si="6"/>
        <v>7.419178082191781</v>
      </c>
      <c r="D115" s="77">
        <f>_xll.qlYieldTSForwardRate($C$3,B115,B115,"Act/365 (fixed)","Continuous",,TRUE)</f>
        <v>4.0866937781583748E-2</v>
      </c>
      <c r="E115" s="236">
        <f t="shared" si="7"/>
        <v>2.7660765801328872E-2</v>
      </c>
      <c r="F115" s="236">
        <f t="shared" si="8"/>
        <v>-2.6045465850293359E-3</v>
      </c>
      <c r="G115" s="77">
        <f>_xll.qlYieldTSForwardRate($C$4,B115,B115,"Act/365 (fixed)","Continuous",,TRUE)</f>
        <v>4.10999332110948E-2</v>
      </c>
      <c r="H115" s="242">
        <f>(_xll.qlYieldTSDiscount($C$4,B115)-_xll.qlYieldTSDiscount($C$3,B115))/1%</f>
        <v>-8.2367561144991441E-4</v>
      </c>
      <c r="I115" s="245">
        <v>0</v>
      </c>
    </row>
    <row r="116" spans="2:9">
      <c r="B116" s="111">
        <f>_xll.qlCalendarAdvance("Null",B115,"1m")</f>
        <v>46478</v>
      </c>
      <c r="C116" s="112">
        <f t="shared" si="6"/>
        <v>7.5041095890410956</v>
      </c>
      <c r="D116" s="77">
        <f>_xll.qlYieldTSForwardRate($C$3,B116,B116,"Act/365 (fixed)","Continuous",,TRUE)</f>
        <v>4.1101030109155258E-2</v>
      </c>
      <c r="E116" s="236">
        <f t="shared" si="7"/>
        <v>2.7452723236383147E-2</v>
      </c>
      <c r="F116" s="236">
        <f t="shared" si="8"/>
        <v>-2.6306476779853578E-3</v>
      </c>
      <c r="G116" s="77">
        <f>_xll.qlYieldTSForwardRate($C$4,B116,B116,"Act/365 (fixed)","Continuous",,TRUE)</f>
        <v>4.1367336260646981E-2</v>
      </c>
      <c r="H116" s="242">
        <f>(_xll.qlYieldTSDiscount($C$4,B116)-_xll.qlYieldTSDiscount($C$3,B116))/1%</f>
        <v>-2.502266657633534E-3</v>
      </c>
      <c r="I116" s="245">
        <v>0</v>
      </c>
    </row>
    <row r="117" spans="2:9">
      <c r="B117" s="111">
        <f>_xll.qlCalendarAdvance("Null",B116,"1m")</f>
        <v>46508</v>
      </c>
      <c r="C117" s="112">
        <f t="shared" si="6"/>
        <v>7.5863013698630137</v>
      </c>
      <c r="D117" s="77">
        <f>_xll.qlYieldTSForwardRate($C$3,B117,B117,"Act/365 (fixed)","Continuous",,TRUE)</f>
        <v>4.1325736717863028E-2</v>
      </c>
      <c r="E117" s="236">
        <f t="shared" si="7"/>
        <v>2.7221123312679264E-2</v>
      </c>
      <c r="F117" s="236">
        <f t="shared" si="8"/>
        <v>-2.7817503613053228E-3</v>
      </c>
      <c r="G117" s="77">
        <f>_xll.qlYieldTSForwardRate($C$4,B117,B117,"Act/365 (fixed)","Continuous",,TRUE)</f>
        <v>4.1609739573788808E-2</v>
      </c>
      <c r="H117" s="242">
        <f>(_xll.qlYieldTSDiscount($C$4,B117)-_xll.qlYieldTSDiscount($C$3,B117))/1%</f>
        <v>-4.2822288869870384E-3</v>
      </c>
      <c r="I117" s="245">
        <v>0</v>
      </c>
    </row>
    <row r="118" spans="2:9">
      <c r="B118" s="111">
        <f>_xll.qlCalendarAdvance("Null",B117,"1m")</f>
        <v>46539</v>
      </c>
      <c r="C118" s="112">
        <f t="shared" si="6"/>
        <v>7.6712328767123283</v>
      </c>
      <c r="D118" s="77">
        <f>_xll.qlYieldTSForwardRate($C$3,B118,B118,"Act/365 (fixed)","Continuous",,TRUE)</f>
        <v>4.1555958471367158E-2</v>
      </c>
      <c r="E118" s="236">
        <f t="shared" si="7"/>
        <v>2.6987827970521162E-2</v>
      </c>
      <c r="F118" s="236">
        <f t="shared" si="8"/>
        <v>-2.8951037552326407E-3</v>
      </c>
      <c r="G118" s="77">
        <f>_xll.qlYieldTSForwardRate($C$4,B118,B118,"Act/365 (fixed)","Continuous",,TRUE)</f>
        <v>4.183881620821138E-2</v>
      </c>
      <c r="H118" s="242">
        <f>(_xll.qlYieldTSDiscount($C$4,B118)-_xll.qlYieldTSDiscount($C$3,B118))/1%</f>
        <v>-6.1668878221454726E-3</v>
      </c>
      <c r="I118" s="245">
        <v>0</v>
      </c>
    </row>
    <row r="119" spans="2:9">
      <c r="B119" s="111">
        <f>_xll.qlCalendarAdvance("Null",B118,"1m")</f>
        <v>46569</v>
      </c>
      <c r="C119" s="112">
        <f t="shared" si="6"/>
        <v>7.7534246575342465</v>
      </c>
      <c r="D119" s="77">
        <f>_xll.qlYieldTSForwardRate($C$3,B119,B119,"Act/365 (fixed)","Continuous",,TRUE)</f>
        <v>4.1776766171616943E-2</v>
      </c>
      <c r="E119" s="236">
        <f t="shared" si="7"/>
        <v>2.6737284054955453E-2</v>
      </c>
      <c r="F119" s="236">
        <f t="shared" si="8"/>
        <v>-3.030657737536593E-3</v>
      </c>
      <c r="G119" s="77">
        <f>_xll.qlYieldTSForwardRate($C$4,B119,B119,"Act/365 (fixed)","Continuous",,TRUE)</f>
        <v>4.2035491805223479E-2</v>
      </c>
      <c r="H119" s="242">
        <f>(_xll.qlYieldTSDiscount($C$4,B119)-_xll.qlYieldTSDiscount($C$3,B119))/1%</f>
        <v>-7.8982153817075407E-3</v>
      </c>
      <c r="I119" s="245">
        <v>0</v>
      </c>
    </row>
    <row r="120" spans="2:9">
      <c r="B120" s="111">
        <f>_xll.qlCalendarAdvance("Null",B119,"1m")</f>
        <v>46600</v>
      </c>
      <c r="C120" s="112">
        <f t="shared" si="6"/>
        <v>7.838356164383562</v>
      </c>
      <c r="D120" s="77">
        <f>_xll.qlYieldTSForwardRate($C$3,B120,B120,"Act/365 (fixed)","Continuous",,TRUE)</f>
        <v>4.2002800752833538E-2</v>
      </c>
      <c r="E120" s="236">
        <f t="shared" si="7"/>
        <v>2.6481334485617784E-2</v>
      </c>
      <c r="F120" s="236">
        <f t="shared" si="8"/>
        <v>-3.0678591833670104E-3</v>
      </c>
      <c r="G120" s="77">
        <f>_xll.qlYieldTSForwardRate($C$4,B120,B120,"Act/365 (fixed)","Continuous",,TRUE)</f>
        <v>4.2208390906946149E-2</v>
      </c>
      <c r="H120" s="242">
        <f>(_xll.qlYieldTSDiscount($C$4,B120)-_xll.qlYieldTSDiscount($C$3,B120))/1%</f>
        <v>-9.4224184543967304E-3</v>
      </c>
      <c r="I120" s="245">
        <v>0</v>
      </c>
    </row>
    <row r="121" spans="2:9">
      <c r="B121" s="111">
        <f>_xll.qlCalendarAdvance("Null",B120,"1m")</f>
        <v>46631</v>
      </c>
      <c r="C121" s="112">
        <f t="shared" si="6"/>
        <v>7.9232876712328766</v>
      </c>
      <c r="D121" s="77">
        <f>_xll.qlYieldTSForwardRate($C$3,B121,B121,"Act/365 (fixed)","Continuous",,TRUE)</f>
        <v>4.2226586099865793E-2</v>
      </c>
      <c r="E121" s="236">
        <f t="shared" si="7"/>
        <v>2.6216168248465715E-2</v>
      </c>
      <c r="F121" s="236">
        <f t="shared" si="8"/>
        <v>-3.2200889617247435E-3</v>
      </c>
      <c r="G121" s="77">
        <f>_xll.qlYieldTSForwardRate($C$4,B121,B121,"Act/365 (fixed)","Continuous",,TRUE)</f>
        <v>4.2345899682831291E-2</v>
      </c>
      <c r="H121" s="242">
        <f>(_xll.qlYieldTSDiscount($C$4,B121)-_xll.qlYieldTSDiscount($C$3,B121))/1%</f>
        <v>-1.0478641495859087E-2</v>
      </c>
      <c r="I121" s="245">
        <v>0</v>
      </c>
    </row>
    <row r="122" spans="2:9">
      <c r="B122" s="111">
        <f>_xll.qlCalendarAdvance("Null",B121,"1m")</f>
        <v>46661</v>
      </c>
      <c r="C122" s="112">
        <f t="shared" si="6"/>
        <v>8.0054794520547947</v>
      </c>
      <c r="D122" s="77">
        <f>_xll.qlYieldTSForwardRate($C$3,B122,B122,"Act/365 (fixed)","Continuous",,TRUE)</f>
        <v>4.2440933975616116E-2</v>
      </c>
      <c r="E122" s="236">
        <f t="shared" si="7"/>
        <v>2.5943182631740499E-2</v>
      </c>
      <c r="F122" s="236">
        <f t="shared" si="8"/>
        <v>-3.0617577784087715E-3</v>
      </c>
      <c r="G122" s="77">
        <f>_xll.qlYieldTSForwardRate($C$4,B122,B122,"Act/365 (fixed)","Continuous",,TRUE)</f>
        <v>4.2440933973395677E-2</v>
      </c>
      <c r="H122" s="242">
        <f>(_xll.qlYieldTSDiscount($C$4,B122)-_xll.qlYieldTSDiscount($C$3,B122))/1%</f>
        <v>-1.0841096371760894E-2</v>
      </c>
      <c r="I122" s="245">
        <v>0</v>
      </c>
    </row>
    <row r="123" spans="2:9">
      <c r="B123" s="111">
        <f>_xll.qlCalendarAdvance("Null",B122,"1m")</f>
        <v>46692</v>
      </c>
      <c r="C123" s="112">
        <f t="shared" si="6"/>
        <v>8.0904109589041102</v>
      </c>
      <c r="D123" s="77">
        <f>_xll.qlYieldTSForwardRate($C$3,B123,B123,"Act/365 (fixed)","Continuous",,TRUE)</f>
        <v>4.2660157097272965E-2</v>
      </c>
      <c r="E123" s="236">
        <f t="shared" si="7"/>
        <v>2.5704477222485068E-2</v>
      </c>
      <c r="F123" s="236">
        <f t="shared" si="8"/>
        <v>-2.5692350948796658E-3</v>
      </c>
      <c r="G123" s="77">
        <f>_xll.qlYieldTSForwardRate($C$4,B123,B123,"Act/365 (fixed)","Continuous",,TRUE)</f>
        <v>4.2499005707322311E-2</v>
      </c>
      <c r="H123" s="242">
        <f>(_xll.qlYieldTSDiscount($C$4,B123)-_xll.qlYieldTSDiscount($C$3,B123))/1%</f>
        <v>-1.0293155373486407E-2</v>
      </c>
      <c r="I123" s="245">
        <v>0</v>
      </c>
    </row>
    <row r="124" spans="2:9">
      <c r="B124" s="111">
        <f>_xll.qlCalendarAdvance("Null",B123,"1m")</f>
        <v>46722</v>
      </c>
      <c r="C124" s="112">
        <f t="shared" si="6"/>
        <v>8.1726027397260275</v>
      </c>
      <c r="D124" s="77">
        <f>_xll.qlYieldTSForwardRate($C$3,B124,B124,"Act/365 (fixed)","Continuous",,TRUE)</f>
        <v>4.2870515649745318E-2</v>
      </c>
      <c r="E124" s="236">
        <f t="shared" si="7"/>
        <v>2.5513803615883898E-2</v>
      </c>
      <c r="F124" s="236">
        <f t="shared" si="8"/>
        <v>-1.8950437721247969E-3</v>
      </c>
      <c r="G124" s="77">
        <f>_xll.qlYieldTSForwardRate($C$4,B124,B124,"Act/365 (fixed)","Continuous",,TRUE)</f>
        <v>4.2529231485042174E-2</v>
      </c>
      <c r="H124" s="242">
        <f>(_xll.qlYieldTSDiscount($C$4,B124)-_xll.qlYieldTSDiscount($C$3,B124))/1%</f>
        <v>-8.6804173807575324E-3</v>
      </c>
      <c r="I124" s="245">
        <v>0</v>
      </c>
    </row>
    <row r="125" spans="2:9">
      <c r="B125" s="111">
        <f>_xll.qlCalendarAdvance("Null",B124,"1m")</f>
        <v>46753</v>
      </c>
      <c r="C125" s="112">
        <f t="shared" si="6"/>
        <v>8.257534246575343</v>
      </c>
      <c r="D125" s="77">
        <f>_xll.qlYieldTSForwardRate($C$3,B125,B125,"Act/365 (fixed)","Continuous",,TRUE)</f>
        <v>4.3086552171401435E-2</v>
      </c>
      <c r="E125" s="236">
        <f t="shared" si="7"/>
        <v>2.5387771277006678E-2</v>
      </c>
      <c r="F125" s="236">
        <f t="shared" si="8"/>
        <v>-1.1288098007314409E-3</v>
      </c>
      <c r="G125" s="77">
        <f>_xll.qlYieldTSForwardRate($C$4,B125,B125,"Act/365 (fixed)","Continuous",,TRUE)</f>
        <v>4.2550533001570447E-2</v>
      </c>
      <c r="H125" s="242">
        <f>(_xll.qlYieldTSDiscount($C$4,B125)-_xll.qlYieldTSDiscount($C$3,B125))/1%</f>
        <v>-5.7995300932978111E-3</v>
      </c>
      <c r="I125" s="245">
        <v>0</v>
      </c>
    </row>
    <row r="126" spans="2:9">
      <c r="B126" s="111">
        <f>_xll.qlCalendarAdvance("Null",B125,"1m")</f>
        <v>46784</v>
      </c>
      <c r="C126" s="112">
        <f t="shared" si="6"/>
        <v>8.3424657534246567</v>
      </c>
      <c r="D126" s="77">
        <f>_xll.qlYieldTSForwardRate($C$3,B126,B126,"Act/365 (fixed)","Continuous",,TRUE)</f>
        <v>4.3301759983765703E-2</v>
      </c>
      <c r="E126" s="236">
        <f t="shared" si="7"/>
        <v>2.5322060581239106E-2</v>
      </c>
      <c r="F126" s="236">
        <f t="shared" si="8"/>
        <v>-4.3311325331940863E-4</v>
      </c>
      <c r="G126" s="77">
        <f>_xll.qlYieldTSForwardRate($C$4,B126,B126,"Act/365 (fixed)","Continuous",,TRUE)</f>
        <v>4.2578923714853979E-2</v>
      </c>
      <c r="H126" s="242">
        <f>(_xll.qlYieldTSDiscount($C$4,B126)-_xll.qlYieldTSDiscount($C$3,B126))/1%</f>
        <v>-1.695435639159637E-3</v>
      </c>
      <c r="I126" s="245">
        <v>0</v>
      </c>
    </row>
    <row r="127" spans="2:9">
      <c r="B127" s="111">
        <f>_xll.qlCalendarAdvance("Null",B126,"1m")</f>
        <v>46813</v>
      </c>
      <c r="C127" s="112">
        <f t="shared" si="6"/>
        <v>8.4219178082191775</v>
      </c>
      <c r="D127" s="77">
        <f>_xll.qlYieldTSForwardRate($C$3,B127,B127,"Act/365 (fixed)","Continuous",,TRUE)</f>
        <v>4.3502805222051938E-2</v>
      </c>
      <c r="E127" s="236">
        <f t="shared" si="7"/>
        <v>2.5316574577830885E-2</v>
      </c>
      <c r="F127" s="236">
        <f t="shared" si="8"/>
        <v>2.9129010754858076E-4</v>
      </c>
      <c r="G127" s="77">
        <f>_xll.qlYieldTSForwardRate($C$4,B127,B127,"Act/365 (fixed)","Continuous",,TRUE)</f>
        <v>4.2627288185513861E-2</v>
      </c>
      <c r="H127" s="242">
        <f>(_xll.qlYieldTSDiscount($C$4,B127)-_xll.qlYieldTSDiscount($C$3,B127))/1%</f>
        <v>3.1474249888030492E-3</v>
      </c>
      <c r="I127" s="245">
        <v>0</v>
      </c>
    </row>
    <row r="128" spans="2:9">
      <c r="B128" s="111">
        <f>_xll.qlCalendarAdvance("Null",B127,"1m")</f>
        <v>46844</v>
      </c>
      <c r="C128" s="112">
        <f t="shared" si="6"/>
        <v>8.506849315068493</v>
      </c>
      <c r="D128" s="77">
        <f>_xll.qlYieldTSForwardRate($C$3,B128,B128,"Act/365 (fixed)","Continuous",,TRUE)</f>
        <v>4.3717922853538267E-2</v>
      </c>
      <c r="E128" s="236">
        <f t="shared" si="7"/>
        <v>2.5369943886589558E-2</v>
      </c>
      <c r="F128" s="236">
        <f t="shared" si="8"/>
        <v>1.019185245399885E-3</v>
      </c>
      <c r="G128" s="77">
        <f>_xll.qlYieldTSForwardRate($C$4,B128,B128,"Act/365 (fixed)","Continuous",,TRUE)</f>
        <v>4.2718746105048867E-2</v>
      </c>
      <c r="H128" s="242">
        <f>(_xll.qlYieldTSDiscount($C$4,B128)-_xll.qlYieldTSDiscount($C$3,B128))/1%</f>
        <v>9.1866303846166453E-3</v>
      </c>
      <c r="I128" s="245">
        <v>0</v>
      </c>
    </row>
    <row r="129" spans="2:9">
      <c r="B129" s="111">
        <f>_xll.qlCalendarAdvance("Null",B128,"1m")</f>
        <v>46874</v>
      </c>
      <c r="C129" s="112">
        <f t="shared" si="6"/>
        <v>8.5890410958904102</v>
      </c>
      <c r="D129" s="77">
        <f>_xll.qlYieldTSForwardRate($C$3,B129,B129,"Act/365 (fixed)","Continuous",,TRUE)</f>
        <v>4.3926796065088092E-2</v>
      </c>
      <c r="E129" s="236">
        <f t="shared" si="7"/>
        <v>2.5486904166788126E-2</v>
      </c>
      <c r="F129" s="236">
        <f t="shared" si="8"/>
        <v>1.7345627881562601E-3</v>
      </c>
      <c r="G129" s="77">
        <f>_xll.qlYieldTSForwardRate($C$4,B129,B129,"Act/365 (fixed)","Continuous",,TRUE)</f>
        <v>4.2862376066768279E-2</v>
      </c>
      <c r="H129" s="242">
        <f>(_xll.qlYieldTSDiscount($C$4,B129)-_xll.qlYieldTSDiscount($C$3,B129))/1%</f>
        <v>1.5580516369295694E-2</v>
      </c>
      <c r="I129" s="245">
        <v>0</v>
      </c>
    </row>
    <row r="130" spans="2:9">
      <c r="B130" s="111">
        <f>_xll.qlCalendarAdvance("Null",B129,"1m")</f>
        <v>46905</v>
      </c>
      <c r="C130" s="112">
        <f t="shared" si="6"/>
        <v>8.6739726027397257</v>
      </c>
      <c r="D130" s="77">
        <f>_xll.qlYieldTSForwardRate($C$3,B130,B130,"Act/365 (fixed)","Continuous",,TRUE)</f>
        <v>4.4143868375229794E-2</v>
      </c>
      <c r="E130" s="236">
        <f t="shared" si="7"/>
        <v>2.5659829722418412E-2</v>
      </c>
      <c r="F130" s="236">
        <f t="shared" si="8"/>
        <v>2.4732910416054247E-3</v>
      </c>
      <c r="G130" s="77">
        <f>_xll.qlYieldTSForwardRate($C$4,B130,B130,"Act/365 (fixed)","Continuous",,TRUE)</f>
        <v>4.3084660044216502E-2</v>
      </c>
      <c r="H130" s="242">
        <f>(_xll.qlYieldTSDiscount($C$4,B130)-_xll.qlYieldTSDiscount($C$3,B130))/1%</f>
        <v>2.2341854106977532E-2</v>
      </c>
      <c r="I130" s="245">
        <v>0</v>
      </c>
    </row>
    <row r="131" spans="2:9">
      <c r="B131" s="111">
        <f>_xll.qlCalendarAdvance("Null",B130,"1m")</f>
        <v>46935</v>
      </c>
      <c r="C131" s="112">
        <f t="shared" si="6"/>
        <v>8.7561643835616429</v>
      </c>
      <c r="D131" s="77">
        <f>_xll.qlYieldTSForwardRate($C$3,B131,B131,"Act/365 (fixed)","Continuous",,TRUE)</f>
        <v>4.435563157551755E-2</v>
      </c>
      <c r="E131" s="236">
        <f t="shared" si="7"/>
        <v>2.5900248697029032E-2</v>
      </c>
      <c r="F131" s="236">
        <f t="shared" si="8"/>
        <v>3.222326813244161E-3</v>
      </c>
      <c r="G131" s="77">
        <f>_xll.qlYieldTSForwardRate($C$4,B131,B131,"Act/365 (fixed)","Continuous",,TRUE)</f>
        <v>4.3387440561388269E-2</v>
      </c>
      <c r="H131" s="242">
        <f>(_xll.qlYieldTSDiscount($C$4,B131)-_xll.qlYieldTSDiscount($C$3,B131))/1%</f>
        <v>2.8546081471625406E-2</v>
      </c>
      <c r="I131" s="245">
        <v>0</v>
      </c>
    </row>
    <row r="132" spans="2:9">
      <c r="B132" s="111">
        <f>_xll.qlCalendarAdvance("Null",B131,"1m")</f>
        <v>46966</v>
      </c>
      <c r="C132" s="112">
        <f t="shared" si="6"/>
        <v>8.8410958904109584</v>
      </c>
      <c r="D132" s="77">
        <f>_xll.qlYieldTSForwardRate($C$3,B132,B132,"Act/365 (fixed)","Continuous",,TRUE)</f>
        <v>4.45767218466048E-2</v>
      </c>
      <c r="E132" s="236">
        <f t="shared" si="7"/>
        <v>2.6198355573398942E-2</v>
      </c>
      <c r="F132" s="236">
        <f t="shared" si="8"/>
        <v>3.8635737509011693E-3</v>
      </c>
      <c r="G132" s="77">
        <f>_xll.qlYieldTSForwardRate($C$4,B132,B132,"Act/365 (fixed)","Continuous",,TRUE)</f>
        <v>4.3807809626765976E-2</v>
      </c>
      <c r="H132" s="242">
        <f>(_xll.qlYieldTSDiscount($C$4,B132)-_xll.qlYieldTSDiscount($C$3,B132))/1%</f>
        <v>3.4001848153542014E-2</v>
      </c>
      <c r="I132" s="245">
        <v>0</v>
      </c>
    </row>
    <row r="133" spans="2:9">
      <c r="B133" s="111">
        <f>_xll.qlCalendarAdvance("Null",B132,"1m")</f>
        <v>46997</v>
      </c>
      <c r="C133" s="112">
        <f t="shared" si="6"/>
        <v>8.9260273972602739</v>
      </c>
      <c r="D133" s="77">
        <f>_xll.qlYieldTSForwardRate($C$3,B133,B133,"Act/365 (fixed)","Continuous",,TRUE)</f>
        <v>4.4800644738682137E-2</v>
      </c>
      <c r="E133" s="236">
        <f t="shared" si="7"/>
        <v>2.6556526978004029E-2</v>
      </c>
      <c r="F133" s="236">
        <f t="shared" si="8"/>
        <v>4.5472772801020342E-3</v>
      </c>
      <c r="G133" s="77">
        <f>_xll.qlYieldTSForwardRate($C$4,B133,B133,"Act/365 (fixed)","Continuous",,TRUE)</f>
        <v>4.4354620582049815E-2</v>
      </c>
      <c r="H133" s="242">
        <f>(_xll.qlYieldTSDiscount($C$4,B133)-_xll.qlYieldTSDiscount($C$3,B133))/1%</f>
        <v>3.7776655961219152E-2</v>
      </c>
      <c r="I133" s="245">
        <v>0</v>
      </c>
    </row>
    <row r="134" spans="2:9">
      <c r="B134" s="111">
        <f>_xll.qlCalendarAdvance("Null",B133,"1m")</f>
        <v>47027</v>
      </c>
      <c r="C134" s="112">
        <f t="shared" si="6"/>
        <v>9.0082191780821912</v>
      </c>
      <c r="D134" s="77">
        <f>_xll.qlYieldTSForwardRate($C$3,B134,B134,"Act/365 (fixed)","Continuous",,TRUE)</f>
        <v>4.5020543256374182E-2</v>
      </c>
      <c r="E134" s="236">
        <f t="shared" si="7"/>
        <v>2.6958311502402296E-2</v>
      </c>
      <c r="F134" s="236">
        <f t="shared" si="8"/>
        <v>4.248366665868291E-3</v>
      </c>
      <c r="G134" s="77">
        <f>_xll.qlYieldTSForwardRate($C$4,B134,B134,"Act/365 (fixed)","Continuous",,TRUE)</f>
        <v>4.5020543265255925E-2</v>
      </c>
      <c r="H134" s="242">
        <f>(_xll.qlYieldTSDiscount($C$4,B134)-_xll.qlYieldTSDiscount($C$3,B134))/1%</f>
        <v>3.9065260594295381E-2</v>
      </c>
      <c r="I134" s="245">
        <v>0</v>
      </c>
    </row>
    <row r="135" spans="2:9">
      <c r="B135" s="111">
        <f>_xll.qlCalendarAdvance("Null",B134,"1m")</f>
        <v>47058</v>
      </c>
      <c r="C135" s="112">
        <f t="shared" si="6"/>
        <v>9.0931506849315067</v>
      </c>
      <c r="D135" s="77">
        <f>_xll.qlYieldTSForwardRate($C$3,B135,B135,"Act/365 (fixed)","Continuous",,TRUE)</f>
        <v>4.5251180903516805E-2</v>
      </c>
      <c r="E135" s="236">
        <f t="shared" si="7"/>
        <v>2.7266527982436811E-2</v>
      </c>
      <c r="F135" s="236">
        <f t="shared" si="8"/>
        <v>2.5324018298615966E-3</v>
      </c>
      <c r="G135" s="77">
        <f>_xll.qlYieldTSForwardRate($C$4,B135,B135,"Act/365 (fixed)","Continuous",,TRUE)</f>
        <v>4.5859275410299404E-2</v>
      </c>
      <c r="H135" s="242">
        <f>(_xll.qlYieldTSDiscount($C$4,B135)-_xll.qlYieldTSDiscount($C$3,B135))/1%</f>
        <v>3.7086017195653298E-2</v>
      </c>
      <c r="I135" s="245">
        <v>0</v>
      </c>
    </row>
    <row r="136" spans="2:9">
      <c r="B136" s="111">
        <f>_xll.qlCalendarAdvance("Null",B135,"1m")</f>
        <v>47088</v>
      </c>
      <c r="C136" s="112">
        <f t="shared" si="6"/>
        <v>9.1753424657534239</v>
      </c>
      <c r="D136" s="77">
        <f>_xll.qlYieldTSForwardRate($C$3,B136,B136,"Act/365 (fixed)","Continuous",,TRUE)</f>
        <v>4.5476230436354632E-2</v>
      </c>
      <c r="E136" s="236">
        <f t="shared" si="7"/>
        <v>2.7381534821913411E-2</v>
      </c>
      <c r="F136" s="236">
        <f t="shared" si="8"/>
        <v>1.2067693300155453E-5</v>
      </c>
      <c r="G136" s="77">
        <f>_xll.qlYieldTSForwardRate($C$4,B136,B136,"Act/365 (fixed)","Continuous",,TRUE)</f>
        <v>4.6797275554333197E-2</v>
      </c>
      <c r="H136" s="242">
        <f>(_xll.qlYieldTSDiscount($C$4,B136)-_xll.qlYieldTSDiscount($C$3,B136))/1%</f>
        <v>3.1177816980598738E-2</v>
      </c>
      <c r="I136" s="245">
        <v>0</v>
      </c>
    </row>
    <row r="137" spans="2:9">
      <c r="B137" s="111">
        <f>_xll.qlCalendarAdvance("Null",B136,"1m")</f>
        <v>47119</v>
      </c>
      <c r="C137" s="112">
        <f t="shared" si="6"/>
        <v>9.2602739726027394</v>
      </c>
      <c r="D137" s="77">
        <f>_xll.qlYieldTSForwardRate($C$3,B137,B137,"Act/365 (fixed)","Continuous",,TRUE)</f>
        <v>4.5708790115609056E-2</v>
      </c>
      <c r="E137" s="236">
        <f t="shared" si="7"/>
        <v>2.7268544775015741E-2</v>
      </c>
      <c r="F137" s="236">
        <f t="shared" si="8"/>
        <v>-2.529638968336273E-3</v>
      </c>
      <c r="G137" s="77">
        <f>_xll.qlYieldTSForwardRate($C$4,B137,B137,"Act/365 (fixed)","Continuous",,TRUE)</f>
        <v>4.7869579700155214E-2</v>
      </c>
      <c r="H137" s="242">
        <f>(_xll.qlYieldTSDiscount($C$4,B137)-_xll.qlYieldTSDiscount($C$3,B137))/1%</f>
        <v>2.0283085352845731E-2</v>
      </c>
      <c r="I137" s="245">
        <v>0</v>
      </c>
    </row>
    <row r="138" spans="2:9">
      <c r="B138" s="111">
        <f>_xll.qlCalendarAdvance("Null",B137,"1m")</f>
        <v>47150</v>
      </c>
      <c r="C138" s="112">
        <f t="shared" si="6"/>
        <v>9.3452054794520549</v>
      </c>
      <c r="D138" s="77">
        <f>_xll.qlYieldTSForwardRate($C$3,B138,B138,"Act/365 (fixed)","Continuous",,TRUE)</f>
        <v>4.5939422155820656E-2</v>
      </c>
      <c r="E138" s="236">
        <f t="shared" si="7"/>
        <v>2.6951842723182316E-2</v>
      </c>
      <c r="F138" s="236">
        <f t="shared" si="8"/>
        <v>-5.4329438974872494E-3</v>
      </c>
      <c r="G138" s="77">
        <f>_xll.qlYieldTSForwardRate($C$4,B138,B138,"Act/365 (fixed)","Continuous",,TRUE)</f>
        <v>4.9018662184890226E-2</v>
      </c>
      <c r="H138" s="242">
        <f>(_xll.qlYieldTSDiscount($C$4,B138)-_xll.qlYieldTSDiscount($C$3,B138))/1%</f>
        <v>4.0179508717708146E-3</v>
      </c>
      <c r="I138" s="245">
        <v>0</v>
      </c>
    </row>
    <row r="139" spans="2:9">
      <c r="B139" s="111">
        <f>_xll.qlCalendarAdvance("Null",B138,"1m")</f>
        <v>47178</v>
      </c>
      <c r="C139" s="112">
        <f t="shared" si="6"/>
        <v>9.4219178082191775</v>
      </c>
      <c r="D139" s="77">
        <f>_xll.qlYieldTSForwardRate($C$3,B139,B139,"Act/365 (fixed)","Continuous",,TRUE)</f>
        <v>4.6144450039079674E-2</v>
      </c>
      <c r="E139" s="236">
        <f t="shared" si="7"/>
        <v>2.6390342884736982E-2</v>
      </c>
      <c r="F139" s="236">
        <f t="shared" si="8"/>
        <v>-8.0288090762539437E-3</v>
      </c>
      <c r="G139" s="77">
        <f>_xll.qlYieldTSForwardRate($C$4,B139,B139,"Act/365 (fixed)","Continuous",,TRUE)</f>
        <v>5.0099035970153048E-2</v>
      </c>
      <c r="H139" s="242">
        <f>(_xll.qlYieldTSDiscount($C$4,B139)-_xll.qlYieldTSDiscount($C$3,B139))/1%</f>
        <v>-1.557241899718953E-2</v>
      </c>
      <c r="I139" s="245">
        <v>0</v>
      </c>
    </row>
    <row r="140" spans="2:9">
      <c r="B140" s="111">
        <f>_xll.qlCalendarAdvance("Null",B139,"1m")</f>
        <v>47209</v>
      </c>
      <c r="C140" s="112">
        <f t="shared" si="6"/>
        <v>9.506849315068493</v>
      </c>
      <c r="D140" s="77">
        <f>_xll.qlYieldTSForwardRate($C$3,B140,B140,"Act/365 (fixed)","Continuous",,TRUE)</f>
        <v>4.6366005780532842E-2</v>
      </c>
      <c r="E140" s="236">
        <f t="shared" si="7"/>
        <v>2.5654035228664558E-2</v>
      </c>
      <c r="F140" s="236">
        <f t="shared" si="8"/>
        <v>-1.0434546563308734E-2</v>
      </c>
      <c r="G140" s="77">
        <f>_xll.qlYieldTSForwardRate($C$4,B140,B140,"Act/365 (fixed)","Continuous",,TRUE)</f>
        <v>5.1316192093626256E-2</v>
      </c>
      <c r="H140" s="242">
        <f>(_xll.qlYieldTSDiscount($C$4,B140)-_xll.qlYieldTSDiscount($C$3,B140))/1%</f>
        <v>-4.284710370457967E-2</v>
      </c>
      <c r="I140" s="245">
        <v>0</v>
      </c>
    </row>
    <row r="141" spans="2:9">
      <c r="B141" s="111">
        <f>_xll.qlCalendarAdvance("Null",B140,"1m")</f>
        <v>47239</v>
      </c>
      <c r="C141" s="112">
        <f t="shared" si="6"/>
        <v>9.5890410958904102</v>
      </c>
      <c r="D141" s="77">
        <f>_xll.qlYieldTSForwardRate($C$3,B141,B141,"Act/365 (fixed)","Continuous",,TRUE)</f>
        <v>4.6573188710024478E-2</v>
      </c>
      <c r="E141" s="236">
        <f t="shared" si="7"/>
        <v>2.4646487157718264E-2</v>
      </c>
      <c r="F141" s="236">
        <f t="shared" si="8"/>
        <v>-1.3176030435494023E-2</v>
      </c>
      <c r="G141" s="77">
        <f>_xll.qlYieldTSForwardRate($C$4,B141,B141,"Act/365 (fixed)","Continuous",,TRUE)</f>
        <v>5.2489382013657618E-2</v>
      </c>
      <c r="H141" s="242">
        <f>(_xll.qlYieldTSDiscount($C$4,B141)-_xll.qlYieldTSDiscount($C$3,B141))/1%</f>
        <v>-7.4842971786226453E-2</v>
      </c>
      <c r="I141" s="245">
        <v>0</v>
      </c>
    </row>
    <row r="142" spans="2:9">
      <c r="B142" s="111">
        <f>_xll.qlCalendarAdvance("Null",B141,"1m")</f>
        <v>47270</v>
      </c>
      <c r="C142" s="112">
        <f t="shared" si="6"/>
        <v>9.6739726027397257</v>
      </c>
      <c r="D142" s="77">
        <f>_xll.qlYieldTSForwardRate($C$3,B142,B142,"Act/365 (fixed)","Continuous",,TRUE)</f>
        <v>4.6777905976867311E-2</v>
      </c>
      <c r="E142" s="236">
        <f t="shared" si="7"/>
        <v>2.3452013703828573E-2</v>
      </c>
      <c r="F142" s="236">
        <f t="shared" si="8"/>
        <v>-1.5889490507213614E-2</v>
      </c>
      <c r="G142" s="77">
        <f>_xll.qlYieldTSForwardRate($C$4,B142,B142,"Act/365 (fixed)","Continuous",,TRUE)</f>
        <v>5.366932104096496E-2</v>
      </c>
      <c r="H142" s="242">
        <f>(_xll.qlYieldTSDiscount($C$4,B142)-_xll.qlYieldTSDiscount($C$3,B142))/1%</f>
        <v>-0.11355293322872217</v>
      </c>
      <c r="I142" s="245">
        <v>0</v>
      </c>
    </row>
    <row r="143" spans="2:9">
      <c r="B143" s="111">
        <f>_xll.qlCalendarAdvance("Null",B142,"1m")</f>
        <v>47300</v>
      </c>
      <c r="C143" s="112">
        <f t="shared" si="6"/>
        <v>9.7561643835616429</v>
      </c>
      <c r="D143" s="77">
        <f>_xll.qlYieldTSForwardRate($C$3,B143,B143,"Act/365 (fixed)","Continuous",,TRUE)</f>
        <v>4.6965126473293942E-2</v>
      </c>
      <c r="E143" s="236">
        <f t="shared" si="7"/>
        <v>2.1990983264731881E-2</v>
      </c>
      <c r="F143" s="236">
        <f t="shared" si="8"/>
        <v>-1.8696602730536797E-2</v>
      </c>
      <c r="G143" s="77">
        <f>_xll.qlYieldTSForwardRate($C$4,B143,B143,"Act/365 (fixed)","Continuous",,TRUE)</f>
        <v>5.4753562985752922E-2</v>
      </c>
      <c r="H143" s="242">
        <f>(_xll.qlYieldTSDiscount($C$4,B143)-_xll.qlYieldTSDiscount($C$3,B143))/1%</f>
        <v>-0.15619921696542471</v>
      </c>
      <c r="I143" s="245">
        <v>0</v>
      </c>
    </row>
    <row r="144" spans="2:9">
      <c r="B144" s="111">
        <f>_xll.qlCalendarAdvance("Null",B143,"1m")</f>
        <v>47331</v>
      </c>
      <c r="C144" s="112">
        <f t="shared" si="6"/>
        <v>9.8410958904109584</v>
      </c>
      <c r="D144" s="77">
        <f>_xll.qlYieldTSForwardRate($C$3,B144,B144,"Act/365 (fixed)","Continuous",,TRUE)</f>
        <v>4.7145426519099816E-2</v>
      </c>
      <c r="E144" s="236">
        <f t="shared" si="7"/>
        <v>2.0327375987218316E-2</v>
      </c>
      <c r="F144" s="236">
        <f t="shared" si="8"/>
        <v>-2.0886478447733281E-2</v>
      </c>
      <c r="G144" s="77">
        <f>_xll.qlYieldTSForwardRate($C$4,B144,B144,"Act/365 (fixed)","Continuous",,TRUE)</f>
        <v>5.5786893297911866E-2</v>
      </c>
      <c r="H144" s="242">
        <f>(_xll.qlYieldTSDiscount($C$4,B144)-_xll.qlYieldTSDiscount($C$3,B144))/1%</f>
        <v>-0.20518298725988871</v>
      </c>
      <c r="I144" s="245">
        <v>0</v>
      </c>
    </row>
    <row r="145" spans="2:9">
      <c r="B145" s="111">
        <f>_xll.qlCalendarAdvance("Null",B144,"1m")</f>
        <v>47362</v>
      </c>
      <c r="C145" s="112">
        <f t="shared" si="6"/>
        <v>9.9260273972602739</v>
      </c>
      <c r="D145" s="77">
        <f>_xll.qlYieldTSForwardRate($C$3,B145,B145,"Act/365 (fixed)","Continuous",,TRUE)</f>
        <v>4.731041340787135E-2</v>
      </c>
      <c r="E145" s="236">
        <f t="shared" si="7"/>
        <v>1.8443143090048401E-2</v>
      </c>
      <c r="F145" s="236">
        <f t="shared" si="8"/>
        <v>-2.3935187425501381E-2</v>
      </c>
      <c r="G145" s="77">
        <f>_xll.qlYieldTSForwardRate($C$4,B145,B145,"Act/365 (fixed)","Continuous",,TRUE)</f>
        <v>5.6703795353128431E-2</v>
      </c>
      <c r="H145" s="242">
        <f>(_xll.qlYieldTSDiscount($C$4,B145)-_xll.qlYieldTSDiscount($C$3,B145))/1%</f>
        <v>-0.25856535098173206</v>
      </c>
      <c r="I145" s="245">
        <v>0</v>
      </c>
    </row>
    <row r="146" spans="2:9">
      <c r="B146" s="111">
        <f>_xll.qlCalendarAdvance("Null",B145,"1m")</f>
        <v>47392</v>
      </c>
      <c r="C146" s="112">
        <f t="shared" si="6"/>
        <v>10.008219178082191</v>
      </c>
      <c r="D146" s="77">
        <f>_xll.qlYieldTSForwardRate($C$3,B146,B146,"Act/365 (fixed)","Continuous",,TRUE)</f>
        <v>4.7453654389919803E-2</v>
      </c>
      <c r="E146" s="236">
        <f t="shared" si="7"/>
        <v>1.6327248773641376E-2</v>
      </c>
      <c r="F146" s="236">
        <f t="shared" si="8"/>
        <v>-2.524267146806004E-2</v>
      </c>
      <c r="G146" s="77">
        <f>_xll.qlYieldTSForwardRate($C$4,B146,B146,"Act/365 (fixed)","Continuous",,TRUE)</f>
        <v>5.7453654382240489E-2</v>
      </c>
      <c r="H146" s="242">
        <f>(_xll.qlYieldTSDiscount($C$4,B146)-_xll.qlYieldTSDiscount($C$3,B146))/1%</f>
        <v>-0.31370777398094241</v>
      </c>
      <c r="I146" s="245">
        <v>0</v>
      </c>
    </row>
    <row r="147" spans="2:9">
      <c r="B147" s="111">
        <f>_xll.qlCalendarAdvance("Null",B146,"1m")</f>
        <v>47423</v>
      </c>
      <c r="C147" s="112">
        <f t="shared" si="6"/>
        <v>10.093150684931507</v>
      </c>
      <c r="D147" s="77">
        <f>_xll.qlYieldTSForwardRate($C$3,B147,B147,"Act/365 (fixed)","Continuous",,TRUE)</f>
        <v>4.7583279757239055E-2</v>
      </c>
      <c r="E147" s="236">
        <f t="shared" si="7"/>
        <v>1.4224504844701384E-2</v>
      </c>
      <c r="F147" s="236">
        <f t="shared" si="8"/>
        <v>-2.5082060109136668E-2</v>
      </c>
      <c r="G147" s="77">
        <f>_xll.qlYieldTSForwardRate($C$4,B147,B147,"Act/365 (fixed)","Continuous",,TRUE)</f>
        <v>5.8065307352578845E-2</v>
      </c>
      <c r="H147" s="242">
        <f>(_xll.qlYieldTSDiscount($C$4,B147)-_xll.qlYieldTSDiscount($C$3,B147))/1%</f>
        <v>-0.37342731065875823</v>
      </c>
      <c r="I147" s="245">
        <v>0</v>
      </c>
    </row>
    <row r="148" spans="2:9">
      <c r="B148" s="111">
        <f>_xll.qlCalendarAdvance("Null",B147,"1m")</f>
        <v>47453</v>
      </c>
      <c r="C148" s="112">
        <f t="shared" si="6"/>
        <v>10.175342465753424</v>
      </c>
      <c r="D148" s="77">
        <f>_xll.qlYieldTSForwardRate($C$3,B148,B148,"Act/365 (fixed)","Continuous",,TRUE)</f>
        <v>4.769137899143399E-2</v>
      </c>
      <c r="E148" s="236">
        <f t="shared" si="7"/>
        <v>1.2135452426634977E-2</v>
      </c>
      <c r="F148" s="236">
        <f t="shared" si="8"/>
        <v>-2.4136014735989843E-2</v>
      </c>
      <c r="G148" s="77">
        <f>_xll.qlYieldTSForwardRate($C$4,B148,B148,"Act/365 (fixed)","Continuous",,TRUE)</f>
        <v>5.8502683312335768E-2</v>
      </c>
      <c r="H148" s="242">
        <f>(_xll.qlYieldTSDiscount($C$4,B148)-_xll.qlYieldTSDiscount($C$3,B148))/1%</f>
        <v>-0.43301724763439298</v>
      </c>
      <c r="I148" s="245">
        <v>0</v>
      </c>
    </row>
    <row r="149" spans="2:9">
      <c r="B149" s="111">
        <f>_xll.qlCalendarAdvance("Null",B148,"1m")</f>
        <v>47484</v>
      </c>
      <c r="C149" s="112">
        <f t="shared" si="6"/>
        <v>10.260273972602739</v>
      </c>
      <c r="D149" s="77">
        <f>_xll.qlYieldTSForwardRate($C$3,B149,B149,"Act/365 (fixed)","Continuous",,TRUE)</f>
        <v>4.7786091427930763E-2</v>
      </c>
      <c r="E149" s="236">
        <f t="shared" si="7"/>
        <v>1.0190814710741441E-2</v>
      </c>
      <c r="F149" s="236">
        <f t="shared" si="8"/>
        <v>-2.1923338292139515E-2</v>
      </c>
      <c r="G149" s="77">
        <f>_xll.qlYieldTSForwardRate($C$4,B149,B149,"Act/365 (fixed)","Continuous",,TRUE)</f>
        <v>5.8804489036683324E-2</v>
      </c>
      <c r="H149" s="242">
        <f>(_xll.qlYieldTSDiscount($C$4,B149)-_xll.qlYieldTSDiscount($C$3,B149))/1%</f>
        <v>-0.49561704307169441</v>
      </c>
      <c r="I149" s="245">
        <v>0</v>
      </c>
    </row>
    <row r="150" spans="2:9">
      <c r="B150" s="111">
        <f>_xll.qlCalendarAdvance("Null",B149,"1m")</f>
        <v>47515</v>
      </c>
      <c r="C150" s="112">
        <f t="shared" si="6"/>
        <v>10.345205479452055</v>
      </c>
      <c r="D150" s="77">
        <f>_xll.qlYieldTSForwardRate($C$3,B150,B150,"Act/365 (fixed)","Continuous",,TRUE)</f>
        <v>4.7864483241315078E-2</v>
      </c>
      <c r="E150" s="236">
        <f t="shared" si="7"/>
        <v>8.4114881139975613E-3</v>
      </c>
      <c r="F150" s="236">
        <f t="shared" si="8"/>
        <v>-2.1882412638106103E-2</v>
      </c>
      <c r="G150" s="77">
        <f>_xll.qlYieldTSForwardRate($C$4,B150,B150,"Act/365 (fixed)","Continuous",,TRUE)</f>
        <v>5.8963388766974954E-2</v>
      </c>
      <c r="H150" s="242">
        <f>(_xll.qlYieldTSDiscount($C$4,B150)-_xll.qlYieldTSDiscount($C$3,B150))/1%</f>
        <v>-0.55847763746698087</v>
      </c>
      <c r="I150" s="245">
        <v>0</v>
      </c>
    </row>
    <row r="151" spans="2:9">
      <c r="B151" s="111">
        <f>_xll.qlCalendarAdvance("Null",B150,"1m")</f>
        <v>47543</v>
      </c>
      <c r="C151" s="112">
        <f t="shared" si="6"/>
        <v>10.421917808219177</v>
      </c>
      <c r="D151" s="77">
        <f>_xll.qlYieldTSForwardRate($C$3,B151,B151,"Act/365 (fixed)","Continuous",,TRUE)</f>
        <v>4.7922057948129627E-2</v>
      </c>
      <c r="E151" s="236">
        <f t="shared" si="7"/>
        <v>6.6536575993763518E-3</v>
      </c>
      <c r="F151" s="236">
        <f t="shared" si="8"/>
        <v>-2.0408630796110324E-2</v>
      </c>
      <c r="G151" s="77">
        <f>_xll.qlYieldTSForwardRate($C$4,B151,B151,"Act/365 (fixed)","Continuous",,TRUE)</f>
        <v>5.8992240590939861E-2</v>
      </c>
      <c r="H151" s="242">
        <f>(_xll.qlYieldTSDiscount($C$4,B151)-_xll.qlYieldTSDiscount($C$3,B151))/1%</f>
        <v>-0.6148779041272423</v>
      </c>
      <c r="I151" s="245">
        <v>0</v>
      </c>
    </row>
    <row r="152" spans="2:9">
      <c r="B152" s="111">
        <f>_xll.qlCalendarAdvance("Null",B151,"1m")</f>
        <v>47574</v>
      </c>
      <c r="C152" s="112">
        <f t="shared" si="6"/>
        <v>10.506849315068493</v>
      </c>
      <c r="D152" s="77">
        <f>_xll.qlYieldTSForwardRate($C$3,B152,B152,"Act/365 (fixed)","Continuous",,TRUE)</f>
        <v>4.7972035514839244E-2</v>
      </c>
      <c r="E152" s="236">
        <f t="shared" si="7"/>
        <v>5.1125587524345293E-3</v>
      </c>
      <c r="F152" s="236">
        <f t="shared" si="8"/>
        <v>-1.8432750100388199E-2</v>
      </c>
      <c r="G152" s="77">
        <f>_xll.qlYieldTSForwardRate($C$4,B152,B152,"Act/365 (fixed)","Continuous",,TRUE)</f>
        <v>5.8906261594264257E-2</v>
      </c>
      <c r="H152" s="242">
        <f>(_xll.qlYieldTSDiscount($C$4,B152)-_xll.qlYieldTSDiscount($C$3,B152))/1%</f>
        <v>-0.67629730695616397</v>
      </c>
      <c r="I152" s="245">
        <v>0</v>
      </c>
    </row>
    <row r="153" spans="2:9">
      <c r="B153" s="111">
        <f>_xll.qlCalendarAdvance("Null",B152,"1m")</f>
        <v>47604</v>
      </c>
      <c r="C153" s="112">
        <f t="shared" si="6"/>
        <v>10.58904109589041</v>
      </c>
      <c r="D153" s="77">
        <f>_xll.qlYieldTSForwardRate($C$3,B153,B153,"Act/365 (fixed)","Continuous",,TRUE)</f>
        <v>4.8007500710841547E-2</v>
      </c>
      <c r="E153" s="236">
        <f t="shared" si="7"/>
        <v>3.5731158017772305E-3</v>
      </c>
      <c r="F153" s="236">
        <f t="shared" si="8"/>
        <v>-1.7482862385806191E-2</v>
      </c>
      <c r="G153" s="77">
        <f>_xll.qlYieldTSForwardRate($C$4,B153,B153,"Act/365 (fixed)","Continuous",,TRUE)</f>
        <v>5.8714008594516698E-2</v>
      </c>
      <c r="H153" s="242">
        <f>(_xll.qlYieldTSDiscount($C$4,B153)-_xll.qlYieldTSDiscount($C$3,B153))/1%</f>
        <v>-0.73416816589173539</v>
      </c>
      <c r="I153" s="245">
        <v>0</v>
      </c>
    </row>
    <row r="154" spans="2:9">
      <c r="B154" s="111">
        <f>_xll.qlCalendarAdvance("Null",B153,"1m")</f>
        <v>47635</v>
      </c>
      <c r="C154" s="112">
        <f t="shared" ref="C154:C217" si="9">(B154-$B$26)/365</f>
        <v>10.673972602739726</v>
      </c>
      <c r="D154" s="77">
        <f>_xll.qlYieldTSForwardRate($C$3,B154,B154,"Act/365 (fixed)","Continuous",,TRUE)</f>
        <v>4.8031750600841548E-2</v>
      </c>
      <c r="E154" s="236">
        <f t="shared" si="7"/>
        <v>2.1907653126148666E-3</v>
      </c>
      <c r="F154" s="236">
        <f t="shared" si="8"/>
        <v>-1.6154334000285937E-2</v>
      </c>
      <c r="G154" s="77">
        <f>_xll.qlYieldTSForwardRate($C$4,B154,B154,"Act/365 (fixed)","Continuous",,TRUE)</f>
        <v>5.8412213110296186E-2</v>
      </c>
      <c r="H154" s="242">
        <f>(_xll.qlYieldTSDiscount($C$4,B154)-_xll.qlYieldTSDiscount($C$3,B154))/1%</f>
        <v>-0.79182798073651472</v>
      </c>
      <c r="I154" s="245">
        <v>0</v>
      </c>
    </row>
    <row r="155" spans="2:9">
      <c r="B155" s="111">
        <f>_xll.qlCalendarAdvance("Null",B154,"1m")</f>
        <v>47665</v>
      </c>
      <c r="C155" s="112">
        <f t="shared" si="9"/>
        <v>10.756164383561643</v>
      </c>
      <c r="D155" s="77">
        <f>_xll.qlYieldTSForwardRate($C$3,B155,B155,"Act/365 (fixed)","Continuous",,TRUE)</f>
        <v>4.8044113500997576E-2</v>
      </c>
      <c r="E155" s="236">
        <f t="shared" si="7"/>
        <v>8.7335039351026805E-4</v>
      </c>
      <c r="F155" s="236">
        <f t="shared" si="8"/>
        <v>-1.4976135577890869E-2</v>
      </c>
      <c r="G155" s="77">
        <f>_xll.qlYieldTSForwardRate($C$4,B155,B155,"Act/365 (fixed)","Continuous",,TRUE)</f>
        <v>5.8029485739449604E-2</v>
      </c>
      <c r="H155" s="242">
        <f>(_xll.qlYieldTSDiscount($C$4,B155)-_xll.qlYieldTSDiscount($C$3,B155))/1%</f>
        <v>-0.84511491966601238</v>
      </c>
      <c r="I155" s="245">
        <v>0</v>
      </c>
    </row>
    <row r="156" spans="2:9">
      <c r="B156" s="111">
        <f>_xll.qlCalendarAdvance("Null",B155,"1m")</f>
        <v>47696</v>
      </c>
      <c r="C156" s="112">
        <f t="shared" si="9"/>
        <v>10.841095890410958</v>
      </c>
      <c r="D156" s="77">
        <f>_xll.qlYieldTSForwardRate($C$3,B156,B156,"Act/365 (fixed)","Continuous",,TRUE)</f>
        <v>4.8046346319746788E-2</v>
      </c>
      <c r="E156" s="236">
        <f t="shared" ref="E156:E219" si="10">(D157-D155)/(C157-C155)*10</f>
        <v>-3.1209570177237266E-4</v>
      </c>
      <c r="F156" s="236">
        <f t="shared" ref="F156:F219" si="11">(E157-E155)/(C157-C155)</f>
        <v>-1.3321747855872236E-2</v>
      </c>
      <c r="G156" s="77">
        <f>_xll.qlYieldTSForwardRate($C$4,B156,B156,"Act/365 (fixed)","Continuous",,TRUE)</f>
        <v>5.7549859705639909E-2</v>
      </c>
      <c r="H156" s="242">
        <f>(_xll.qlYieldTSDiscount($C$4,B156)-_xll.qlYieldTSDiscount($C$3,B156))/1%</f>
        <v>-0.89717734721472819</v>
      </c>
      <c r="I156" s="245">
        <v>0</v>
      </c>
    </row>
    <row r="157" spans="2:9">
      <c r="B157" s="111">
        <f>_xll.qlCalendarAdvance("Null",B156,"1m")</f>
        <v>47727</v>
      </c>
      <c r="C157" s="112">
        <f t="shared" si="9"/>
        <v>10.926027397260274</v>
      </c>
      <c r="D157" s="77">
        <f>_xll.qlYieldTSForwardRate($C$3,B157,B157,"Act/365 (fixed)","Continuous",,TRUE)</f>
        <v>4.8038812149351032E-2</v>
      </c>
      <c r="E157" s="236">
        <f t="shared" si="10"/>
        <v>-1.3895218450214659E-3</v>
      </c>
      <c r="F157" s="236">
        <f t="shared" si="11"/>
        <v>-1.232610765289237E-2</v>
      </c>
      <c r="G157" s="77">
        <f>_xll.qlYieldTSForwardRate($C$4,B157,B157,"Act/365 (fixed)","Continuous",,TRUE)</f>
        <v>5.6994418132146514E-2</v>
      </c>
      <c r="H157" s="242">
        <f>(_xll.qlYieldTSDiscount($C$4,B157)-_xll.qlYieldTSDiscount($C$3,B157))/1%</f>
        <v>-0.9458365221748477</v>
      </c>
      <c r="I157" s="245">
        <v>0</v>
      </c>
    </row>
    <row r="158" spans="2:9">
      <c r="B158" s="111">
        <f>_xll.qlCalendarAdvance("Null",B157,"1m")</f>
        <v>47757</v>
      </c>
      <c r="C158" s="112">
        <f t="shared" si="9"/>
        <v>11.008219178082191</v>
      </c>
      <c r="D158" s="77">
        <f>_xll.qlYieldTSForwardRate($C$3,B158,B158,"Act/365 (fixed)","Continuous",,TRUE)</f>
        <v>4.802312417384369E-2</v>
      </c>
      <c r="E158" s="236">
        <f t="shared" si="10"/>
        <v>-2.3720753369132876E-3</v>
      </c>
      <c r="F158" s="236">
        <f t="shared" si="11"/>
        <v>-1.092593968570546E-2</v>
      </c>
      <c r="G158" s="77">
        <f>_xll.qlYieldTSForwardRate($C$4,B158,B158,"Act/365 (fixed)","Continuous",,TRUE)</f>
        <v>5.6393947901213694E-2</v>
      </c>
      <c r="H158" s="242">
        <f>(_xll.qlYieldTSDiscount($C$4,B158)-_xll.qlYieldTSDiscount($C$3,B158))/1%</f>
        <v>-0.98940210009211826</v>
      </c>
      <c r="I158" s="245">
        <v>0</v>
      </c>
    </row>
    <row r="159" spans="2:9">
      <c r="B159" s="111">
        <f>_xll.qlCalendarAdvance("Null",B158,"1m")</f>
        <v>47788</v>
      </c>
      <c r="C159" s="112">
        <f t="shared" si="9"/>
        <v>11.093150684931507</v>
      </c>
      <c r="D159" s="77">
        <f>_xll.qlYieldTSForwardRate($C$3,B159,B159,"Act/365 (fixed)","Continuous",,TRUE)</f>
        <v>4.7999169246460152E-2</v>
      </c>
      <c r="E159" s="236">
        <f t="shared" si="10"/>
        <v>-3.2155008061941579E-3</v>
      </c>
      <c r="F159" s="236">
        <f t="shared" si="11"/>
        <v>-9.5974130872771308E-3</v>
      </c>
      <c r="G159" s="77">
        <f>_xll.qlYieldTSForwardRate($C$4,B159,B159,"Act/365 (fixed)","Continuous",,TRUE)</f>
        <v>5.5717966045267665E-2</v>
      </c>
      <c r="H159" s="242">
        <f>(_xll.qlYieldTSDiscount($C$4,B159)-_xll.qlYieldTSDiscount($C$3,B159))/1%</f>
        <v>-1.0305389884880611</v>
      </c>
      <c r="I159" s="245">
        <v>0</v>
      </c>
    </row>
    <row r="160" spans="2:9">
      <c r="B160" s="111">
        <f>_xll.qlCalendarAdvance("Null",B159,"1m")</f>
        <v>47818</v>
      </c>
      <c r="C160" s="112">
        <f t="shared" si="9"/>
        <v>11.175342465753424</v>
      </c>
      <c r="D160" s="77">
        <f>_xll.qlYieldTSForwardRate($C$3,B160,B160,"Act/365 (fixed)","Continuous",,TRUE)</f>
        <v>4.7969385667219623E-2</v>
      </c>
      <c r="E160" s="236">
        <f t="shared" si="10"/>
        <v>-3.9760265651979576E-3</v>
      </c>
      <c r="F160" s="236">
        <f t="shared" si="11"/>
        <v>-8.3654684440828617E-3</v>
      </c>
      <c r="G160" s="77">
        <f>_xll.qlYieldTSForwardRate($C$4,B160,B160,"Act/365 (fixed)","Continuous",,TRUE)</f>
        <v>5.5019224221695792E-2</v>
      </c>
      <c r="H160" s="242">
        <f>(_xll.qlYieldTSDiscount($C$4,B160)-_xll.qlYieldTSDiscount($C$3,B160))/1%</f>
        <v>-1.0664135309002454</v>
      </c>
      <c r="I160" s="245">
        <v>0</v>
      </c>
    </row>
    <row r="161" spans="2:9">
      <c r="B161" s="111">
        <f>_xll.qlCalendarAdvance("Null",B160,"1m")</f>
        <v>47849</v>
      </c>
      <c r="C161" s="112">
        <f t="shared" si="9"/>
        <v>11.260273972602739</v>
      </c>
      <c r="D161" s="77">
        <f>_xll.qlYieldTSForwardRate($C$3,B161,B161,"Act/365 (fixed)","Continuous",,TRUE)</f>
        <v>4.7932720583315748E-2</v>
      </c>
      <c r="E161" s="236">
        <f t="shared" si="10"/>
        <v>-4.6135653954792379E-3</v>
      </c>
      <c r="F161" s="236">
        <f t="shared" si="11"/>
        <v>-6.7855993708945137E-3</v>
      </c>
      <c r="G161" s="77">
        <f>_xll.qlYieldTSForwardRate($C$4,B161,B161,"Act/365 (fixed)","Continuous",,TRUE)</f>
        <v>5.4260688020254792E-2</v>
      </c>
      <c r="H161" s="242">
        <f>(_xll.qlYieldTSDiscount($C$4,B161)-_xll.qlYieldTSDiscount($C$3,B161))/1%</f>
        <v>-1.0992801143635766</v>
      </c>
      <c r="I161" s="245">
        <v>0</v>
      </c>
    </row>
    <row r="162" spans="2:9">
      <c r="B162" s="111">
        <f>_xll.qlCalendarAdvance("Null",B161,"1m")</f>
        <v>47880</v>
      </c>
      <c r="C162" s="112">
        <f t="shared" si="9"/>
        <v>11.345205479452055</v>
      </c>
      <c r="D162" s="77">
        <f>_xll.qlYieldTSForwardRate($C$3,B162,B162,"Act/365 (fixed)","Continuous",,TRUE)</f>
        <v>4.7891018255022441E-2</v>
      </c>
      <c r="E162" s="236">
        <f t="shared" si="10"/>
        <v>-5.1286489240896342E-3</v>
      </c>
      <c r="F162" s="236">
        <f t="shared" si="11"/>
        <v>-5.8423980545510082E-3</v>
      </c>
      <c r="G162" s="77">
        <f>_xll.qlYieldTSForwardRate($C$4,B162,B162,"Act/365 (fixed)","Continuous",,TRUE)</f>
        <v>5.347475533391733E-2</v>
      </c>
      <c r="H162" s="242">
        <f>(_xll.qlYieldTSDiscount($C$4,B162)-_xll.qlYieldTSDiscount($C$3,B162))/1%</f>
        <v>-1.1277848942079616</v>
      </c>
      <c r="I162" s="245">
        <v>0</v>
      </c>
    </row>
    <row r="163" spans="2:9">
      <c r="B163" s="111">
        <f>_xll.qlCalendarAdvance("Null",B162,"1m")</f>
        <v>47908</v>
      </c>
      <c r="C163" s="112">
        <f t="shared" si="9"/>
        <v>11.421917808219177</v>
      </c>
      <c r="D163" s="77">
        <f>_xll.qlYieldTSForwardRate($C$3,B163,B163,"Act/365 (fixed)","Continuous",,TRUE)</f>
        <v>4.7849819134953751E-2</v>
      </c>
      <c r="E163" s="236">
        <f t="shared" si="10"/>
        <v>-5.5579530262148784E-3</v>
      </c>
      <c r="F163" s="236">
        <f t="shared" si="11"/>
        <v>-4.5011789301059495E-3</v>
      </c>
      <c r="G163" s="77">
        <f>_xll.qlYieldTSForwardRate($C$4,B163,B163,"Act/365 (fixed)","Continuous",,TRUE)</f>
        <v>5.2749493023267549E-2</v>
      </c>
      <c r="H163" s="242">
        <f>(_xll.qlYieldTSDiscount($C$4,B163)-_xll.qlYieldTSDiscount($C$3,B163))/1%</f>
        <v>-1.1497474826613008</v>
      </c>
      <c r="I163" s="245">
        <v>0</v>
      </c>
    </row>
    <row r="164" spans="2:9">
      <c r="B164" s="111">
        <f>_xll.qlCalendarAdvance("Null",B163,"1m")</f>
        <v>47939</v>
      </c>
      <c r="C164" s="112">
        <f t="shared" si="9"/>
        <v>11.506849315068493</v>
      </c>
      <c r="D164" s="77">
        <f>_xll.qlYieldTSForwardRate($C$3,B164,B164,"Act/365 (fixed)","Continuous",,TRUE)</f>
        <v>4.7801177370489105E-2</v>
      </c>
      <c r="E164" s="236">
        <f t="shared" si="10"/>
        <v>-5.8562367511478548E-3</v>
      </c>
      <c r="F164" s="236">
        <f t="shared" si="11"/>
        <v>-3.0468515442933996E-3</v>
      </c>
      <c r="G164" s="77">
        <f>_xll.qlYieldTSForwardRate($C$4,B164,B164,"Act/365 (fixed)","Continuous",,TRUE)</f>
        <v>5.193852228328065E-2</v>
      </c>
      <c r="H164" s="242">
        <f>(_xll.qlYieldTSDiscount($C$4,B164)-_xll.qlYieldTSDiscount($C$3,B164))/1%</f>
        <v>-1.1698797961470664</v>
      </c>
      <c r="I164" s="245">
        <v>0</v>
      </c>
    </row>
    <row r="165" spans="2:9">
      <c r="B165" s="111">
        <f>_xll.qlCalendarAdvance("Null",B164,"1m")</f>
        <v>47969</v>
      </c>
      <c r="C165" s="112">
        <f t="shared" si="9"/>
        <v>11.58904109589041</v>
      </c>
      <c r="D165" s="77">
        <f>_xll.qlYieldTSForwardRate($C$3,B165,B165,"Act/365 (fixed)","Continuous",,TRUE)</f>
        <v>4.7751947781030459E-2</v>
      </c>
      <c r="E165" s="236">
        <f t="shared" si="10"/>
        <v>-6.0671528733433639E-3</v>
      </c>
      <c r="F165" s="236">
        <f t="shared" si="11"/>
        <v>-1.8405298594269535E-3</v>
      </c>
      <c r="G165" s="77">
        <f>_xll.qlYieldTSForwardRate($C$4,B165,B165,"Act/365 (fixed)","Continuous",,TRUE)</f>
        <v>5.1154644813098629E-2</v>
      </c>
      <c r="H165" s="242">
        <f>(_xll.qlYieldTSDiscount($C$4,B165)-_xll.qlYieldTSDiscount($C$3,B165))/1%</f>
        <v>-1.1852247163864682</v>
      </c>
      <c r="I165" s="245">
        <v>0</v>
      </c>
    </row>
    <row r="166" spans="2:9">
      <c r="B166" s="111">
        <f>_xll.qlCalendarAdvance("Null",B165,"1m")</f>
        <v>48000</v>
      </c>
      <c r="C166" s="112">
        <f t="shared" si="9"/>
        <v>11.673972602739726</v>
      </c>
      <c r="D166" s="77">
        <f>_xll.qlYieldTSForwardRate($C$3,B166,B166,"Act/365 (fixed)","Continuous",,TRUE)</f>
        <v>4.7699781116989394E-2</v>
      </c>
      <c r="E166" s="236">
        <f t="shared" si="10"/>
        <v>-6.1638321523123591E-3</v>
      </c>
      <c r="F166" s="236">
        <f t="shared" si="11"/>
        <v>-5.1200317071910034E-4</v>
      </c>
      <c r="G166" s="77">
        <f>_xll.qlYieldTSForwardRate($C$4,B166,B166,"Act/365 (fixed)","Continuous",,TRUE)</f>
        <v>5.035515049232224E-2</v>
      </c>
      <c r="H166" s="242">
        <f>(_xll.qlYieldTSDiscount($C$4,B166)-_xll.qlYieldTSDiscount($C$3,B166))/1%</f>
        <v>-1.1969002516398097</v>
      </c>
      <c r="I166" s="245">
        <v>0</v>
      </c>
    </row>
    <row r="167" spans="2:9">
      <c r="B167" s="111">
        <f>_xll.qlCalendarAdvance("Null",B166,"1m")</f>
        <v>48030</v>
      </c>
      <c r="C167" s="112">
        <f t="shared" si="9"/>
        <v>11.756164383561643</v>
      </c>
      <c r="D167" s="77">
        <f>_xll.qlYieldTSForwardRate($C$3,B167,B167,"Act/365 (fixed)","Continuous",,TRUE)</f>
        <v>4.7648935791635649E-2</v>
      </c>
      <c r="E167" s="236">
        <f t="shared" si="10"/>
        <v>-6.1527205265320354E-3</v>
      </c>
      <c r="F167" s="236">
        <f t="shared" si="11"/>
        <v>7.9440811125056879E-4</v>
      </c>
      <c r="G167" s="77">
        <f>_xll.qlYieldTSForwardRate($C$4,B167,B167,"Act/365 (fixed)","Continuous",,TRUE)</f>
        <v>4.960075952483374E-2</v>
      </c>
      <c r="H167" s="242">
        <f>(_xll.qlYieldTSDiscount($C$4,B167)-_xll.qlYieldTSDiscount($C$3,B167))/1%</f>
        <v>-1.2042860379110176</v>
      </c>
      <c r="I167" s="245">
        <v>0</v>
      </c>
    </row>
    <row r="168" spans="2:9">
      <c r="B168" s="111">
        <f>_xll.qlCalendarAdvance("Null",B167,"1m")</f>
        <v>48061</v>
      </c>
      <c r="C168" s="112">
        <f t="shared" si="9"/>
        <v>11.841095890410958</v>
      </c>
      <c r="D168" s="77">
        <f>_xll.qlYieldTSForwardRate($C$3,B168,B168,"Act/365 (fixed)","Continuous",,TRUE)</f>
        <v>4.7596954828737763E-2</v>
      </c>
      <c r="E168" s="236">
        <f t="shared" si="10"/>
        <v>-6.0310680570074696E-3</v>
      </c>
      <c r="F168" s="236">
        <f t="shared" si="11"/>
        <v>2.0682842358781348E-3</v>
      </c>
      <c r="G168" s="77">
        <f>_xll.qlYieldTSForwardRate($C$4,B168,B168,"Act/365 (fixed)","Continuous",,TRUE)</f>
        <v>4.8850727558905044E-2</v>
      </c>
      <c r="H168" s="242">
        <f>(_xll.qlYieldTSDiscount($C$4,B168)-_xll.qlYieldTSDiscount($C$3,B168))/1%</f>
        <v>-1.2080562208303114</v>
      </c>
      <c r="I168" s="245">
        <v>0</v>
      </c>
    </row>
    <row r="169" spans="2:9">
      <c r="B169" s="111">
        <f>_xll.qlCalendarAdvance("Null",B168,"1m")</f>
        <v>48092</v>
      </c>
      <c r="C169" s="112">
        <f t="shared" si="9"/>
        <v>11.926027397260274</v>
      </c>
      <c r="D169" s="77">
        <f>_xll.qlYieldTSForwardRate($C$3,B169,B169,"Act/365 (fixed)","Continuous",,TRUE)</f>
        <v>4.7546490252037166E-2</v>
      </c>
      <c r="E169" s="236">
        <f t="shared" si="10"/>
        <v>-5.8013955330404052E-3</v>
      </c>
      <c r="F169" s="236">
        <f t="shared" si="11"/>
        <v>3.3793068529675979E-3</v>
      </c>
      <c r="G169" s="77">
        <f>_xll.qlYieldTSForwardRate($C$4,B169,B169,"Act/365 (fixed)","Continuous",,TRUE)</f>
        <v>4.8140389560293255E-2</v>
      </c>
      <c r="H169" s="242">
        <f>(_xll.qlYieldTSDiscount($C$4,B169)-_xll.qlYieldTSDiscount($C$3,B169))/1%</f>
        <v>-1.208129164769467</v>
      </c>
      <c r="I169" s="245">
        <v>0</v>
      </c>
    </row>
    <row r="170" spans="2:9">
      <c r="B170" s="111">
        <f>_xll.qlCalendarAdvance("Null",B169,"1m")</f>
        <v>48122</v>
      </c>
      <c r="C170" s="112">
        <f t="shared" si="9"/>
        <v>12.008219178082191</v>
      </c>
      <c r="D170" s="77">
        <f>_xll.qlYieldTSForwardRate($C$3,B170,B170,"Act/365 (fixed)","Continuous",,TRUE)</f>
        <v>4.7499999999281471E-2</v>
      </c>
      <c r="E170" s="236">
        <f t="shared" si="10"/>
        <v>-5.4663071856895975E-3</v>
      </c>
      <c r="F170" s="236">
        <f t="shared" si="11"/>
        <v>4.2201534268387388E-3</v>
      </c>
      <c r="G170" s="77">
        <f>_xll.qlYieldTSForwardRate($C$4,B170,B170,"Act/365 (fixed)","Continuous",,TRUE)</f>
        <v>4.7500000003722349E-2</v>
      </c>
      <c r="H170" s="242">
        <f>(_xll.qlYieldTSDiscount($C$4,B170)-_xll.qlYieldTSDiscount($C$3,B170))/1%</f>
        <v>-1.2049364162415754</v>
      </c>
      <c r="I170" s="245">
        <v>0</v>
      </c>
    </row>
    <row r="171" spans="2:9">
      <c r="B171" s="111">
        <f>_xll.qlCalendarAdvance("Null",B170,"1m")</f>
        <v>48153</v>
      </c>
      <c r="C171" s="112">
        <f t="shared" si="9"/>
        <v>12.093150684931507</v>
      </c>
      <c r="D171" s="77">
        <f>_xll.qlYieldTSForwardRate($C$3,B171,B171,"Act/365 (fixed)","Continuous",,TRUE)</f>
        <v>4.7455135529207833E-2</v>
      </c>
      <c r="E171" s="236">
        <f t="shared" si="10"/>
        <v>-5.0961096178700959E-3</v>
      </c>
      <c r="F171" s="236">
        <f t="shared" si="11"/>
        <v>4.4727701982629035E-3</v>
      </c>
      <c r="G171" s="77">
        <f>_xll.qlYieldTSForwardRate($C$4,B171,B171,"Act/365 (fixed)","Continuous",,TRUE)</f>
        <v>4.6894441662833117E-2</v>
      </c>
      <c r="H171" s="242">
        <f>(_xll.qlYieldTSDiscount($C$4,B171)-_xll.qlYieldTSDiscount($C$3,B171))/1%</f>
        <v>-1.1985691230657958</v>
      </c>
      <c r="I171" s="245">
        <v>0</v>
      </c>
    </row>
    <row r="172" spans="2:9">
      <c r="B172" s="111">
        <f>_xll.qlCalendarAdvance("Null",B171,"1m")</f>
        <v>48183</v>
      </c>
      <c r="C172" s="112">
        <f t="shared" si="9"/>
        <v>12.175342465753424</v>
      </c>
      <c r="D172" s="77">
        <f>_xll.qlYieldTSForwardRate($C$3,B172,B172,"Act/365 (fixed)","Continuous",,TRUE)</f>
        <v>4.7414832139914327E-2</v>
      </c>
      <c r="E172" s="236">
        <f t="shared" si="10"/>
        <v>-4.7188031251579896E-3</v>
      </c>
      <c r="F172" s="236">
        <f t="shared" si="11"/>
        <v>4.3868406982271856E-3</v>
      </c>
      <c r="G172" s="77">
        <f>_xll.qlYieldTSForwardRate($C$4,B172,B172,"Act/365 (fixed)","Continuous",,TRUE)</f>
        <v>4.6362682112392251E-2</v>
      </c>
      <c r="H172" s="242">
        <f>(_xll.qlYieldTSDiscount($C$4,B172)-_xll.qlYieldTSDiscount($C$3,B172))/1%</f>
        <v>-1.1897409234902012</v>
      </c>
      <c r="I172" s="245">
        <v>0</v>
      </c>
    </row>
    <row r="173" spans="2:9">
      <c r="B173" s="111">
        <f>_xll.qlCalendarAdvance("Null",B172,"1m")</f>
        <v>48214</v>
      </c>
      <c r="C173" s="112">
        <f t="shared" si="9"/>
        <v>12.260273972602739</v>
      </c>
      <c r="D173" s="77">
        <f>_xll.qlYieldTSForwardRate($C$3,B173,B173,"Act/365 (fixed)","Continuous",,TRUE)</f>
        <v>4.7376273339992864E-2</v>
      </c>
      <c r="E173" s="236">
        <f t="shared" si="10"/>
        <v>-4.3629663778924025E-3</v>
      </c>
      <c r="F173" s="236">
        <f t="shared" si="11"/>
        <v>4.0696526309967618E-3</v>
      </c>
      <c r="G173" s="77">
        <f>_xll.qlYieldTSForwardRate($C$4,B173,B173,"Act/365 (fixed)","Continuous",,TRUE)</f>
        <v>4.5867297478709816E-2</v>
      </c>
      <c r="H173" s="242">
        <f>(_xll.qlYieldTSDiscount($C$4,B173)-_xll.qlYieldTSDiscount($C$3,B173))/1%</f>
        <v>-1.1781671428232277</v>
      </c>
      <c r="I173" s="245">
        <v>0</v>
      </c>
    </row>
    <row r="174" spans="2:9">
      <c r="B174" s="111">
        <f>_xll.qlCalendarAdvance("Null",B173,"1m")</f>
        <v>48245</v>
      </c>
      <c r="C174" s="112">
        <f t="shared" si="9"/>
        <v>12.345205479452055</v>
      </c>
      <c r="D174" s="77">
        <f>_xll.qlYieldTSForwardRate($C$3,B174,B174,"Act/365 (fixed)","Continuous",,TRUE)</f>
        <v>4.7340721478152867E-2</v>
      </c>
      <c r="E174" s="236">
        <f t="shared" si="10"/>
        <v>-4.0275196645503169E-3</v>
      </c>
      <c r="F174" s="236">
        <f t="shared" si="11"/>
        <v>4.054413539885152E-3</v>
      </c>
      <c r="G174" s="77">
        <f>_xll.qlYieldTSForwardRate($C$4,B174,B174,"Act/365 (fixed)","Continuous",,TRUE)</f>
        <v>4.542489438112695E-2</v>
      </c>
      <c r="H174" s="242">
        <f>(_xll.qlYieldTSDiscount($C$4,B174)-_xll.qlYieldTSDiscount($C$3,B174))/1%</f>
        <v>-1.1643960311764623</v>
      </c>
      <c r="I174" s="245">
        <v>0</v>
      </c>
    </row>
    <row r="175" spans="2:9">
      <c r="B175" s="111">
        <f>_xll.qlCalendarAdvance("Null",B174,"1m")</f>
        <v>48274</v>
      </c>
      <c r="C175" s="112">
        <f t="shared" si="9"/>
        <v>12.424657534246576</v>
      </c>
      <c r="D175" s="77">
        <f>_xll.qlYieldTSForwardRate($C$3,B175,B175,"Act/365 (fixed)","Continuous",,TRUE)</f>
        <v>4.7310067537287927E-2</v>
      </c>
      <c r="E175" s="236">
        <f t="shared" si="10"/>
        <v>-3.6964874398290873E-3</v>
      </c>
      <c r="F175" s="236">
        <f t="shared" si="11"/>
        <v>3.8410530797970801E-3</v>
      </c>
      <c r="G175" s="77">
        <f>_xll.qlYieldTSForwardRate($C$4,B175,B175,"Act/365 (fixed)","Continuous",,TRUE)</f>
        <v>4.5057202036035478E-2</v>
      </c>
      <c r="H175" s="242">
        <f>(_xll.qlYieldTSDiscount($C$4,B175)-_xll.qlYieldTSDiscount($C$3,B175))/1%</f>
        <v>-1.1497748996558865</v>
      </c>
      <c r="I175" s="245">
        <v>0</v>
      </c>
    </row>
    <row r="176" spans="2:9">
      <c r="B176" s="111">
        <f>_xll.qlCalendarAdvance("Null",B175,"1m")</f>
        <v>48305</v>
      </c>
      <c r="C176" s="112">
        <f t="shared" si="9"/>
        <v>12.509589041095891</v>
      </c>
      <c r="D176" s="77">
        <f>_xll.qlYieldTSForwardRate($C$3,B176,B176,"Act/365 (fixed)","Continuous",,TRUE)</f>
        <v>4.7279957301059786E-2</v>
      </c>
      <c r="E176" s="236">
        <f t="shared" si="10"/>
        <v>-3.3961136788302464E-3</v>
      </c>
      <c r="F176" s="236">
        <f t="shared" si="11"/>
        <v>3.5950048802474736E-3</v>
      </c>
      <c r="G176" s="77">
        <f>_xll.qlYieldTSForwardRate($C$4,B176,B176,"Act/365 (fixed)","Continuous",,TRUE)</f>
        <v>4.4711584460670931E-2</v>
      </c>
      <c r="H176" s="242">
        <f>(_xll.qlYieldTSDiscount($C$4,B176)-_xll.qlYieldTSDiscount($C$3,B176))/1%</f>
        <v>-1.1325418130502807</v>
      </c>
      <c r="I176" s="245">
        <v>0</v>
      </c>
    </row>
    <row r="177" spans="2:9">
      <c r="B177" s="111">
        <f>_xll.qlCalendarAdvance("Null",B176,"1m")</f>
        <v>48335</v>
      </c>
      <c r="C177" s="112">
        <f t="shared" si="9"/>
        <v>12.591780821917808</v>
      </c>
      <c r="D177" s="77">
        <f>_xll.qlYieldTSForwardRate($C$3,B177,B177,"Act/365 (fixed)","Continuous",,TRUE)</f>
        <v>4.7253310568956791E-2</v>
      </c>
      <c r="E177" s="236">
        <f t="shared" si="10"/>
        <v>-3.0956784050480031E-3</v>
      </c>
      <c r="F177" s="236">
        <f t="shared" si="11"/>
        <v>3.4480652160212583E-3</v>
      </c>
      <c r="G177" s="77">
        <f>_xll.qlYieldTSForwardRate($C$4,B177,B177,"Act/365 (fixed)","Continuous",,TRUE)</f>
        <v>4.4421915588222415E-2</v>
      </c>
      <c r="H177" s="242">
        <f>(_xll.qlYieldTSDiscount($C$4,B177)-_xll.qlYieldTSDiscount($C$3,B177))/1%</f>
        <v>-1.1145222480313133</v>
      </c>
      <c r="I177" s="245">
        <v>0</v>
      </c>
    </row>
    <row r="178" spans="2:9">
      <c r="B178" s="111">
        <f>_xll.qlCalendarAdvance("Null",B177,"1m")</f>
        <v>48366</v>
      </c>
      <c r="C178" s="112">
        <f t="shared" si="9"/>
        <v>12.676712328767124</v>
      </c>
      <c r="D178" s="77">
        <f>_xll.qlYieldTSForwardRate($C$3,B178,B178,"Act/365 (fixed)","Continuous",,TRUE)</f>
        <v>4.722822130579734E-2</v>
      </c>
      <c r="E178" s="236">
        <f t="shared" si="10"/>
        <v>-2.8198616838239544E-3</v>
      </c>
      <c r="F178" s="236">
        <f t="shared" si="11"/>
        <v>3.2634722423285512E-3</v>
      </c>
      <c r="G178" s="77">
        <f>_xll.qlYieldTSForwardRate($C$4,B178,B178,"Act/365 (fixed)","Continuous",,TRUE)</f>
        <v>4.4166910914612847E-2</v>
      </c>
      <c r="H178" s="242">
        <f>(_xll.qlYieldTSDiscount($C$4,B178)-_xll.qlYieldTSDiscount($C$3,B178))/1%</f>
        <v>-1.0947505178731554</v>
      </c>
      <c r="I178" s="245">
        <v>0</v>
      </c>
    </row>
    <row r="179" spans="2:9">
      <c r="B179" s="111">
        <f>_xll.qlCalendarAdvance("Null",B178,"1m")</f>
        <v>48396</v>
      </c>
      <c r="C179" s="112">
        <f t="shared" si="9"/>
        <v>12.758904109589041</v>
      </c>
      <c r="D179" s="77">
        <f>_xll.qlYieldTSForwardRate($C$3,B179,B179,"Act/365 (fixed)","Continuous",,TRUE)</f>
        <v>4.7206184113418911E-2</v>
      </c>
      <c r="E179" s="236">
        <f t="shared" si="10"/>
        <v>-2.5502761946862456E-3</v>
      </c>
      <c r="F179" s="236">
        <f t="shared" si="11"/>
        <v>3.1081191302176534E-3</v>
      </c>
      <c r="G179" s="77">
        <f>_xll.qlYieldTSForwardRate($C$4,B179,B179,"Act/365 (fixed)","Continuous",,TRUE)</f>
        <v>4.3961133529168951E-2</v>
      </c>
      <c r="H179" s="242">
        <f>(_xll.qlYieldTSDiscount($C$4,B179)-_xll.qlYieldTSDiscount($C$3,B179))/1%</f>
        <v>-1.0747154773857681</v>
      </c>
      <c r="I179" s="245">
        <v>0</v>
      </c>
    </row>
    <row r="180" spans="2:9">
      <c r="B180" s="111">
        <f>_xll.qlCalendarAdvance("Null",B179,"1m")</f>
        <v>48427</v>
      </c>
      <c r="C180" s="112">
        <f t="shared" si="9"/>
        <v>12.843835616438357</v>
      </c>
      <c r="D180" s="77">
        <f>_xll.qlYieldTSForwardRate($C$3,B180,B180,"Act/365 (fixed)","Continuous",,TRUE)</f>
        <v>4.7185600251584775E-2</v>
      </c>
      <c r="E180" s="236">
        <f t="shared" si="10"/>
        <v>-2.3004225963081278E-3</v>
      </c>
      <c r="F180" s="236">
        <f t="shared" si="11"/>
        <v>2.8534642799315922E-3</v>
      </c>
      <c r="G180" s="77">
        <f>_xll.qlYieldTSForwardRate($C$4,B180,B180,"Act/365 (fixed)","Continuous",,TRUE)</f>
        <v>4.3788891698021866E-2</v>
      </c>
      <c r="H180" s="242">
        <f>(_xll.qlYieldTSDiscount($C$4,B180)-_xll.qlYieldTSDiscount($C$3,B180))/1%</f>
        <v>-1.0532916705561557</v>
      </c>
      <c r="I180" s="245">
        <v>0</v>
      </c>
    </row>
    <row r="181" spans="2:9">
      <c r="B181" s="111">
        <f>_xll.qlCalendarAdvance("Null",B180,"1m")</f>
        <v>48458</v>
      </c>
      <c r="C181" s="112">
        <f t="shared" si="9"/>
        <v>12.92876712328767</v>
      </c>
      <c r="D181" s="77">
        <f>_xll.qlYieldTSForwardRate($C$3,B181,B181,"Act/365 (fixed)","Continuous",,TRUE)</f>
        <v>4.7167108441919979E-2</v>
      </c>
      <c r="E181" s="236">
        <f t="shared" si="10"/>
        <v>-2.0655781526156764E-3</v>
      </c>
      <c r="F181" s="236">
        <f t="shared" si="11"/>
        <v>2.7399094946415391E-3</v>
      </c>
      <c r="G181" s="77">
        <f>_xll.qlYieldTSForwardRate($C$4,B181,B181,"Act/365 (fixed)","Continuous",,TRUE)</f>
        <v>4.3655701288793029E-2</v>
      </c>
      <c r="H181" s="242">
        <f>(_xll.qlYieldTSDiscount($C$4,B181)-_xll.qlYieldTSDiscount($C$3,B181))/1%</f>
        <v>-1.0313361298718626</v>
      </c>
      <c r="I181" s="245">
        <v>0</v>
      </c>
    </row>
    <row r="182" spans="2:9">
      <c r="B182" s="111">
        <f>_xll.qlCalendarAdvance("Null",B181,"1m")</f>
        <v>48488</v>
      </c>
      <c r="C182" s="112">
        <f t="shared" si="9"/>
        <v>13.010958904109589</v>
      </c>
      <c r="D182" s="77">
        <f>_xll.qlYieldTSForwardRate($C$3,B182,B182,"Act/365 (fixed)","Continuous",,TRUE)</f>
        <v>4.7151079630404075E-2</v>
      </c>
      <c r="E182" s="236">
        <f t="shared" si="10"/>
        <v>-1.8425199136420079E-3</v>
      </c>
      <c r="F182" s="236">
        <f t="shared" si="11"/>
        <v>2.5370148957466342E-3</v>
      </c>
      <c r="G182" s="77">
        <f>_xll.qlYieldTSForwardRate($C$4,B182,B182,"Act/365 (fixed)","Continuous",,TRUE)</f>
        <v>4.356207991340745E-2</v>
      </c>
      <c r="H182" s="242">
        <f>(_xll.qlYieldTSDiscount($C$4,B182)-_xll.qlYieldTSDiscount($C$3,B182))/1%</f>
        <v>-1.0097622240833104</v>
      </c>
      <c r="I182" s="245">
        <v>0</v>
      </c>
    </row>
    <row r="183" spans="2:9">
      <c r="B183" s="111">
        <f>_xll.qlCalendarAdvance("Null",B182,"1m")</f>
        <v>48519</v>
      </c>
      <c r="C183" s="112">
        <f t="shared" si="9"/>
        <v>13.095890410958905</v>
      </c>
      <c r="D183" s="77">
        <f>_xll.qlYieldTSForwardRate($C$3,B183,B183,"Act/365 (fixed)","Continuous",,TRUE)</f>
        <v>4.7136315643363222E-2</v>
      </c>
      <c r="E183" s="236">
        <f t="shared" si="10"/>
        <v>-1.6415838823676046E-3</v>
      </c>
      <c r="F183" s="236">
        <f t="shared" si="11"/>
        <v>2.3524234957731528E-3</v>
      </c>
      <c r="G183" s="77">
        <f>_xll.qlYieldTSForwardRate($C$4,B183,B183,"Act/365 (fixed)","Continuous",,TRUE)</f>
        <v>4.3499812908682239E-2</v>
      </c>
      <c r="H183" s="242">
        <f>(_xll.qlYieldTSDiscount($C$4,B183)-_xll.qlYieldTSDiscount($C$3,B183))/1%</f>
        <v>-0.98730536093242227</v>
      </c>
      <c r="I183" s="245">
        <v>0</v>
      </c>
    </row>
    <row r="184" spans="2:9">
      <c r="B184" s="111">
        <f>_xll.qlCalendarAdvance("Null",B183,"1m")</f>
        <v>48549</v>
      </c>
      <c r="C184" s="112">
        <f t="shared" si="9"/>
        <v>13.178082191780822</v>
      </c>
      <c r="D184" s="77">
        <f>_xll.qlYieldTSForwardRate($C$3,B184,B184,"Act/365 (fixed)","Continuous",,TRUE)</f>
        <v>4.7123644940863137E-2</v>
      </c>
      <c r="E184" s="236">
        <f t="shared" si="10"/>
        <v>-1.4493751650333443E-3</v>
      </c>
      <c r="F184" s="236">
        <f t="shared" si="11"/>
        <v>2.1896002792753623E-3</v>
      </c>
      <c r="G184" s="77">
        <f>_xll.qlYieldTSForwardRate($C$4,B184,B184,"Act/365 (fixed)","Continuous",,TRUE)</f>
        <v>4.3471028670070584E-2</v>
      </c>
      <c r="H184" s="242">
        <f>(_xll.qlYieldTSDiscount($C$4,B184)-_xll.qlYieldTSDiscount($C$3,B184))/1%</f>
        <v>-0.96556941896639437</v>
      </c>
      <c r="I184" s="245">
        <v>0</v>
      </c>
    </row>
    <row r="185" spans="2:9">
      <c r="B185" s="111">
        <f>_xll.qlCalendarAdvance("Null",B184,"1m")</f>
        <v>48580</v>
      </c>
      <c r="C185" s="112">
        <f t="shared" si="9"/>
        <v>13.263013698630138</v>
      </c>
      <c r="D185" s="77">
        <f>_xll.qlYieldTSForwardRate($C$3,B185,B185,"Act/365 (fixed)","Continuous",,TRUE)</f>
        <v>4.7112093209098281E-2</v>
      </c>
      <c r="E185" s="236">
        <f t="shared" si="10"/>
        <v>-1.2756506850092567E-3</v>
      </c>
      <c r="F185" s="236">
        <f t="shared" si="11"/>
        <v>1.9288655501933625E-3</v>
      </c>
      <c r="G185" s="77">
        <f>_xll.qlYieldTSForwardRate($C$4,B185,B185,"Act/365 (fixed)","Continuous",,TRUE)</f>
        <v>4.3471835010445867E-2</v>
      </c>
      <c r="H185" s="242">
        <f>(_xll.qlYieldTSDiscount($C$4,B185)-_xll.qlYieldTSDiscount($C$3,B185))/1%</f>
        <v>-0.94325582023022658</v>
      </c>
      <c r="I185" s="245">
        <v>0</v>
      </c>
    </row>
    <row r="186" spans="2:9">
      <c r="B186" s="111">
        <f>_xll.qlCalendarAdvance("Null",B185,"1m")</f>
        <v>48611</v>
      </c>
      <c r="C186" s="112">
        <f t="shared" si="9"/>
        <v>13.347945205479451</v>
      </c>
      <c r="D186" s="77">
        <f>_xll.qlYieldTSForwardRate($C$3,B186,B186,"Act/365 (fixed)","Continuous",,TRUE)</f>
        <v>4.7101976353884897E-2</v>
      </c>
      <c r="E186" s="236">
        <f t="shared" si="10"/>
        <v>-1.1217322496580352E-3</v>
      </c>
      <c r="F186" s="236">
        <f t="shared" si="11"/>
        <v>1.8565862982133023E-3</v>
      </c>
      <c r="G186" s="77">
        <f>_xll.qlYieldTSForwardRate($C$4,B186,B186,"Act/365 (fixed)","Continuous",,TRUE)</f>
        <v>4.3501686639473139E-2</v>
      </c>
      <c r="H186" s="242">
        <f>(_xll.qlYieldTSDiscount($C$4,B186)-_xll.qlYieldTSDiscount($C$3,B186))/1%</f>
        <v>-0.92123287426009171</v>
      </c>
      <c r="I186" s="245">
        <v>0</v>
      </c>
    </row>
    <row r="187" spans="2:9">
      <c r="B187" s="111">
        <f>_xll.qlCalendarAdvance("Null",B186,"1m")</f>
        <v>48639</v>
      </c>
      <c r="C187" s="112">
        <f t="shared" si="9"/>
        <v>13.424657534246576</v>
      </c>
      <c r="D187" s="77">
        <f>_xll.qlYieldTSForwardRate($C$3,B187,B187,"Act/365 (fixed)","Continuous",,TRUE)</f>
        <v>4.7093961098761343E-2</v>
      </c>
      <c r="E187" s="236">
        <f t="shared" si="10"/>
        <v>-9.7554495461313448E-4</v>
      </c>
      <c r="F187" s="236">
        <f t="shared" si="11"/>
        <v>1.6615953679207304E-3</v>
      </c>
      <c r="G187" s="77">
        <f>_xll.qlYieldTSForwardRate($C$4,B187,B187,"Act/365 (fixed)","Continuous",,TRUE)</f>
        <v>4.3551928069406984E-2</v>
      </c>
      <c r="H187" s="242">
        <f>(_xll.qlYieldTSDiscount($C$4,B187)-_xll.qlYieldTSDiscount($C$3,B187))/1%</f>
        <v>-0.90170052537507095</v>
      </c>
      <c r="I187" s="245">
        <v>0</v>
      </c>
    </row>
    <row r="188" spans="2:9">
      <c r="B188" s="111">
        <f>_xll.qlCalendarAdvance("Null",B187,"1m")</f>
        <v>48670</v>
      </c>
      <c r="C188" s="112">
        <f t="shared" si="9"/>
        <v>13.509589041095891</v>
      </c>
      <c r="D188" s="77">
        <f>_xll.qlYieldTSForwardRate($C$3,B188,B188,"Act/365 (fixed)","Continuous",,TRUE)</f>
        <v>4.7086207271056904E-2</v>
      </c>
      <c r="E188" s="236">
        <f t="shared" si="10"/>
        <v>-8.5314560114481885E-4</v>
      </c>
      <c r="F188" s="236">
        <f t="shared" si="11"/>
        <v>1.4255502296048658E-3</v>
      </c>
      <c r="G188" s="77">
        <f>_xll.qlYieldTSForwardRate($C$4,B188,B188,"Act/365 (fixed)","Continuous",,TRUE)</f>
        <v>4.3631458275974748E-2</v>
      </c>
      <c r="H188" s="242">
        <f>(_xll.qlYieldTSDiscount($C$4,B188)-_xll.qlYieldTSDiscount($C$3,B188))/1%</f>
        <v>-0.88058425814324659</v>
      </c>
      <c r="I188" s="245">
        <v>0</v>
      </c>
    </row>
    <row r="189" spans="2:9">
      <c r="B189" s="111">
        <f>_xll.qlCalendarAdvance("Null",B188,"1m")</f>
        <v>48700</v>
      </c>
      <c r="C189" s="112">
        <f t="shared" si="9"/>
        <v>13.591780821917808</v>
      </c>
      <c r="D189" s="77">
        <f>_xll.qlYieldTSForwardRate($C$3,B189,B189,"Act/365 (fixed)","Continuous",,TRUE)</f>
        <v>4.7079703048988786E-2</v>
      </c>
      <c r="E189" s="236">
        <f t="shared" si="10"/>
        <v>-7.373023135010886E-4</v>
      </c>
      <c r="F189" s="236">
        <f t="shared" si="11"/>
        <v>1.2746436353190884E-3</v>
      </c>
      <c r="G189" s="77">
        <f>_xll.qlYieldTSForwardRate($C$4,B189,B189,"Act/365 (fixed)","Continuous",,TRUE)</f>
        <v>4.3730494504468122E-2</v>
      </c>
      <c r="H189" s="242">
        <f>(_xll.qlYieldTSDiscount($C$4,B189)-_xll.qlYieldTSDiscount($C$3,B189))/1%</f>
        <v>-0.86075817049302561</v>
      </c>
      <c r="I189" s="245">
        <v>0</v>
      </c>
    </row>
    <row r="190" spans="2:9">
      <c r="B190" s="111">
        <f>_xll.qlCalendarAdvance("Null",B189,"1m")</f>
        <v>48731</v>
      </c>
      <c r="C190" s="112">
        <f t="shared" si="9"/>
        <v>13.676712328767124</v>
      </c>
      <c r="D190" s="77">
        <f>_xll.qlYieldTSForwardRate($C$3,B190,B190,"Act/365 (fixed)","Continuous",,TRUE)</f>
        <v>4.7073885232392913E-2</v>
      </c>
      <c r="E190" s="236">
        <f t="shared" si="10"/>
        <v>-6.4012296620108097E-4</v>
      </c>
      <c r="F190" s="236">
        <f t="shared" si="11"/>
        <v>1.0900498403109945E-3</v>
      </c>
      <c r="G190" s="77">
        <f>_xll.qlYieldTSForwardRate($C$4,B190,B190,"Act/365 (fixed)","Continuous",,TRUE)</f>
        <v>4.3853665937694963E-2</v>
      </c>
      <c r="H190" s="242">
        <f>(_xll.qlYieldTSDiscount($C$4,B190)-_xll.qlYieldTSDiscount($C$3,B190))/1%</f>
        <v>-0.84099680548697098</v>
      </c>
      <c r="I190" s="245">
        <v>0</v>
      </c>
    </row>
    <row r="191" spans="2:9">
      <c r="B191" s="111">
        <f>_xll.qlCalendarAdvance("Null",B190,"1m")</f>
        <v>48761</v>
      </c>
      <c r="C191" s="112">
        <f t="shared" si="9"/>
        <v>13.758904109589041</v>
      </c>
      <c r="D191" s="77">
        <f>_xll.qlYieldTSForwardRate($C$3,B191,B191,"Act/365 (fixed)","Continuous",,TRUE)</f>
        <v>4.7069005103526247E-2</v>
      </c>
      <c r="E191" s="236">
        <f t="shared" si="10"/>
        <v>-5.5512960046281295E-4</v>
      </c>
      <c r="F191" s="236">
        <f t="shared" si="11"/>
        <v>9.1688086230554968E-4</v>
      </c>
      <c r="G191" s="77">
        <f>_xll.qlYieldTSForwardRate($C$4,B191,B191,"Act/365 (fixed)","Continuous",,TRUE)</f>
        <v>4.3991137196669083E-2</v>
      </c>
      <c r="H191" s="242">
        <f>(_xll.qlYieldTSDiscount($C$4,B191)-_xll.qlYieldTSDiscount($C$3,B191))/1%</f>
        <v>-0.82265726665367023</v>
      </c>
      <c r="I191" s="245">
        <v>0</v>
      </c>
    </row>
    <row r="192" spans="2:9">
      <c r="B192" s="111">
        <f>_xll.qlCalendarAdvance("Null",B191,"1m")</f>
        <v>48792</v>
      </c>
      <c r="C192" s="112">
        <f t="shared" si="9"/>
        <v>13.843835616438357</v>
      </c>
      <c r="D192" s="77">
        <f>_xll.qlYieldTSForwardRate($C$3,B192,B192,"Act/365 (fixed)","Continuous",,TRUE)</f>
        <v>4.7064607724001617E-2</v>
      </c>
      <c r="E192" s="236">
        <f t="shared" si="10"/>
        <v>-4.8689082208974266E-4</v>
      </c>
      <c r="F192" s="236">
        <f t="shared" si="11"/>
        <v>7.1509860088704092E-4</v>
      </c>
      <c r="G192" s="77">
        <f>_xll.qlYieldTSForwardRate($C$4,B192,B192,"Act/365 (fixed)","Continuous",,TRUE)</f>
        <v>4.4150099796410269E-2</v>
      </c>
      <c r="H192" s="242">
        <f>(_xll.qlYieldTSDiscount($C$4,B192)-_xll.qlYieldTSDiscount($C$3,B192))/1%</f>
        <v>-0.80459250140996197</v>
      </c>
      <c r="I192" s="245">
        <v>0</v>
      </c>
    </row>
    <row r="193" spans="2:9">
      <c r="B193" s="111">
        <f>_xll.qlCalendarAdvance("Null",B192,"1m")</f>
        <v>48823</v>
      </c>
      <c r="C193" s="112">
        <f t="shared" si="9"/>
        <v>13.92876712328767</v>
      </c>
      <c r="D193" s="77">
        <f>_xll.qlYieldTSForwardRate($C$3,B193,B193,"Act/365 (fixed)","Continuous",,TRUE)</f>
        <v>4.706073462928801E-2</v>
      </c>
      <c r="E193" s="236">
        <f t="shared" si="10"/>
        <v>-4.3366079702446692E-4</v>
      </c>
      <c r="F193" s="236">
        <f t="shared" si="11"/>
        <v>5.4867519053143133E-4</v>
      </c>
      <c r="G193" s="77">
        <f>_xll.qlYieldTSForwardRate($C$4,B193,B193,"Act/365 (fixed)","Continuous",,TRUE)</f>
        <v>4.432424296753773E-2</v>
      </c>
      <c r="H193" s="242">
        <f>(_xll.qlYieldTSDiscount($C$4,B193)-_xll.qlYieldTSDiscount($C$3,B193))/1%</f>
        <v>-0.78749482651346847</v>
      </c>
      <c r="I193" s="245">
        <v>0</v>
      </c>
    </row>
    <row r="194" spans="2:9">
      <c r="B194" s="111">
        <f>_xll.qlCalendarAdvance("Null",B193,"1m")</f>
        <v>48853</v>
      </c>
      <c r="C194" s="112">
        <f t="shared" si="9"/>
        <v>14.010958904109589</v>
      </c>
      <c r="D194" s="77">
        <f>_xll.qlYieldTSForwardRate($C$3,B194,B194,"Act/365 (fixed)","Continuous",,TRUE)</f>
        <v>4.7057360242188331E-2</v>
      </c>
      <c r="E194" s="236">
        <f t="shared" si="10"/>
        <v>-3.9519442038448983E-4</v>
      </c>
      <c r="F194" s="236">
        <f t="shared" si="11"/>
        <v>3.6359162554110006E-4</v>
      </c>
      <c r="G194" s="77">
        <f>_xll.qlYieldTSForwardRate($C$4,B194,B194,"Act/365 (fixed)","Continuous",,TRUE)</f>
        <v>4.4505312957231875E-2</v>
      </c>
      <c r="H194" s="242">
        <f>(_xll.qlYieldTSDiscount($C$4,B194)-_xll.qlYieldTSDiscount($C$3,B194))/1%</f>
        <v>-0.77192316447841636</v>
      </c>
      <c r="I194" s="245">
        <v>0</v>
      </c>
    </row>
    <row r="195" spans="2:9">
      <c r="B195" s="111">
        <f>_xll.qlCalendarAdvance("Null",B194,"1m")</f>
        <v>48884</v>
      </c>
      <c r="C195" s="112">
        <f t="shared" si="9"/>
        <v>14.095890410958905</v>
      </c>
      <c r="D195" s="77">
        <f>_xll.qlYieldTSForwardRate($C$3,B195,B195,"Act/365 (fixed)","Continuous",,TRUE)</f>
        <v>4.7054130010207612E-2</v>
      </c>
      <c r="E195" s="236">
        <f t="shared" si="10"/>
        <v>-3.7289616919430988E-4</v>
      </c>
      <c r="F195" s="236">
        <f t="shared" si="11"/>
        <v>1.7899862330295947E-4</v>
      </c>
      <c r="G195" s="77">
        <f>_xll.qlYieldTSForwardRate($C$4,B195,B195,"Act/365 (fixed)","Continuous",,TRUE)</f>
        <v>4.4703407860081402E-2</v>
      </c>
      <c r="H195" s="242">
        <f>(_xll.qlYieldTSDiscount($C$4,B195)-_xll.qlYieldTSDiscount($C$3,B195))/1%</f>
        <v>-0.75688501870273539</v>
      </c>
      <c r="I195" s="245">
        <v>0</v>
      </c>
    </row>
    <row r="196" spans="2:9">
      <c r="B196" s="111">
        <f>_xll.qlCalendarAdvance("Null",B195,"1m")</f>
        <v>48914</v>
      </c>
      <c r="C196" s="112">
        <f t="shared" si="9"/>
        <v>14.178082191780822</v>
      </c>
      <c r="D196" s="77">
        <f>_xll.qlYieldTSForwardRate($C$3,B196,B196,"Act/365 (fixed)","Continuous",,TRUE)</f>
        <v>4.7051128278812755E-2</v>
      </c>
      <c r="E196" s="236">
        <f t="shared" si="10"/>
        <v>-3.6527958196947471E-4</v>
      </c>
      <c r="F196" s="236">
        <f t="shared" si="11"/>
        <v>-1.635921000819465E-6</v>
      </c>
      <c r="G196" s="77">
        <f>_xll.qlYieldTSForwardRate($C$4,B196,B196,"Act/365 (fixed)","Continuous",,TRUE)</f>
        <v>4.4903858530664656E-2</v>
      </c>
      <c r="H196" s="242">
        <f>(_xll.qlYieldTSDiscount($C$4,B196)-_xll.qlYieldTSDiscount($C$3,B196))/1%</f>
        <v>-0.74338505894968598</v>
      </c>
      <c r="I196" s="245">
        <v>0</v>
      </c>
    </row>
    <row r="197" spans="2:9">
      <c r="B197" s="111">
        <f>_xll.qlCalendarAdvance("Null",B196,"1m")</f>
        <v>48945</v>
      </c>
      <c r="C197" s="112">
        <f t="shared" si="9"/>
        <v>14.263013698630138</v>
      </c>
      <c r="D197" s="77">
        <f>_xll.qlYieldTSForwardRate($C$3,B197,B197,"Act/365 (fixed)","Continuous",,TRUE)</f>
        <v>4.7048025337741821E-2</v>
      </c>
      <c r="E197" s="236">
        <f t="shared" si="10"/>
        <v>-3.7316956969033724E-4</v>
      </c>
      <c r="F197" s="236">
        <f t="shared" si="11"/>
        <v>-1.7444453055263245E-4</v>
      </c>
      <c r="G197" s="77">
        <f>_xll.qlYieldTSForwardRate($C$4,B197,B197,"Act/365 (fixed)","Continuous",,TRUE)</f>
        <v>4.5118055106248403E-2</v>
      </c>
      <c r="H197" s="242">
        <f>(_xll.qlYieldTSDiscount($C$4,B197)-_xll.qlYieldTSDiscount($C$3,B197))/1%</f>
        <v>-0.73054985188459876</v>
      </c>
      <c r="I197" s="245">
        <v>0</v>
      </c>
    </row>
    <row r="198" spans="2:9">
      <c r="B198" s="111">
        <f>_xll.qlCalendarAdvance("Null",B197,"1m")</f>
        <v>48976</v>
      </c>
      <c r="C198" s="112">
        <f t="shared" si="9"/>
        <v>14.347945205479451</v>
      </c>
      <c r="D198" s="77">
        <f>_xll.qlYieldTSForwardRate($C$3,B198,B198,"Act/365 (fixed)","Continuous",,TRUE)</f>
        <v>4.7044789508039933E-2</v>
      </c>
      <c r="E198" s="236">
        <f t="shared" si="10"/>
        <v>-3.9491125565238746E-4</v>
      </c>
      <c r="F198" s="236">
        <f t="shared" si="11"/>
        <v>-3.7209331459838694E-4</v>
      </c>
      <c r="G198" s="77">
        <f>_xll.qlYieldTSForwardRate($C$4,B198,B198,"Act/365 (fixed)","Continuous",,TRUE)</f>
        <v>4.5337426112425208E-2</v>
      </c>
      <c r="H198" s="242">
        <f>(_xll.qlYieldTSDiscount($C$4,B198)-_xll.qlYieldTSDiscount($C$3,B198))/1%</f>
        <v>-0.71886516204815454</v>
      </c>
      <c r="I198" s="245">
        <v>0</v>
      </c>
    </row>
    <row r="199" spans="2:9">
      <c r="B199" s="111">
        <f>_xll.qlCalendarAdvance("Null",B198,"1m")</f>
        <v>49004</v>
      </c>
      <c r="C199" s="112">
        <f t="shared" si="9"/>
        <v>14.424657534246576</v>
      </c>
      <c r="D199" s="77">
        <f>_xll.qlYieldTSForwardRate($C$3,B199,B199,"Act/365 (fixed)","Continuous",,TRUE)</f>
        <v>4.7041641840732645E-2</v>
      </c>
      <c r="E199" s="236">
        <f t="shared" si="10"/>
        <v>-4.3331616026925446E-4</v>
      </c>
      <c r="F199" s="236">
        <f t="shared" si="11"/>
        <v>-5.486640755450866E-4</v>
      </c>
      <c r="G199" s="77">
        <f>_xll.qlYieldTSForwardRate($C$4,B199,B199,"Act/365 (fixed)","Continuous",,TRUE)</f>
        <v>4.5538328837733837E-2</v>
      </c>
      <c r="H199" s="242">
        <f>(_xll.qlYieldTSDiscount($C$4,B199)-_xll.qlYieldTSDiscount($C$3,B199))/1%</f>
        <v>-0.70930718694299788</v>
      </c>
      <c r="I199" s="245">
        <v>0</v>
      </c>
    </row>
    <row r="200" spans="2:9">
      <c r="B200" s="111">
        <f>_xll.qlCalendarAdvance("Null",B199,"1m")</f>
        <v>49035</v>
      </c>
      <c r="C200" s="112">
        <f t="shared" si="9"/>
        <v>14.509589041095891</v>
      </c>
      <c r="D200" s="77">
        <f>_xll.qlYieldTSForwardRate($C$3,B200,B200,"Act/365 (fixed)","Continuous",,TRUE)</f>
        <v>4.7037785219421882E-2</v>
      </c>
      <c r="E200" s="236">
        <f t="shared" si="10"/>
        <v>-4.8359942128844334E-4</v>
      </c>
      <c r="F200" s="236">
        <f t="shared" si="11"/>
        <v>-7.1224208712343941E-4</v>
      </c>
      <c r="G200" s="77">
        <f>_xll.qlYieldTSForwardRate($C$4,B200,B200,"Act/365 (fixed)","Continuous",,TRUE)</f>
        <v>4.5761946806904187E-2</v>
      </c>
      <c r="H200" s="242">
        <f>(_xll.qlYieldTSDiscount($C$4,B200)-_xll.qlYieldTSDiscount($C$3,B200))/1%</f>
        <v>-0.69982718634362673</v>
      </c>
      <c r="I200" s="245">
        <v>0</v>
      </c>
    </row>
    <row r="201" spans="2:9">
      <c r="B201" s="111">
        <f>_xll.qlCalendarAdvance("Null",B200,"1m")</f>
        <v>49065</v>
      </c>
      <c r="C201" s="112">
        <f t="shared" si="9"/>
        <v>14.591780821917808</v>
      </c>
      <c r="D201" s="77">
        <f>_xll.qlYieldTSForwardRate($C$3,B201,B201,"Act/365 (fixed)","Continuous",,TRUE)</f>
        <v>4.7033559768212482E-2</v>
      </c>
      <c r="E201" s="236">
        <f t="shared" si="10"/>
        <v>-5.5234839948714424E-4</v>
      </c>
      <c r="F201" s="236">
        <f t="shared" si="11"/>
        <v>-8.9878048359203714E-4</v>
      </c>
      <c r="G201" s="77">
        <f>_xll.qlYieldTSForwardRate($C$4,B201,B201,"Act/365 (fixed)","Continuous",,TRUE)</f>
        <v>4.597769458056996E-2</v>
      </c>
      <c r="H201" s="242">
        <f>(_xll.qlYieldTSDiscount($C$4,B201)-_xll.qlYieldTSDiscount($C$3,B201))/1%</f>
        <v>-0.69174694851162899</v>
      </c>
      <c r="I201" s="245">
        <v>0</v>
      </c>
    </row>
    <row r="202" spans="2:9">
      <c r="B202" s="111">
        <f>_xll.qlCalendarAdvance("Null",B201,"1m")</f>
        <v>49096</v>
      </c>
      <c r="C202" s="112">
        <f t="shared" si="9"/>
        <v>14.676712328767124</v>
      </c>
      <c r="D202" s="77">
        <f>_xll.qlYieldTSForwardRate($C$3,B202,B202,"Act/365 (fixed)","Continuous",,TRUE)</f>
        <v>4.7028554191375659E-2</v>
      </c>
      <c r="E202" s="236">
        <f t="shared" si="10"/>
        <v>-6.3380657060108504E-4</v>
      </c>
      <c r="F202" s="236">
        <f t="shared" si="11"/>
        <v>-1.0833703081269278E-3</v>
      </c>
      <c r="G202" s="77">
        <f>_xll.qlYieldTSForwardRate($C$4,B202,B202,"Act/365 (fixed)","Continuous",,TRUE)</f>
        <v>4.6197982103831671E-2</v>
      </c>
      <c r="H202" s="242">
        <f>(_xll.qlYieldTSDiscount($C$4,B202)-_xll.qlYieldTSDiscount($C$3,B202))/1%</f>
        <v>-0.6845100261459347</v>
      </c>
      <c r="I202" s="245">
        <v>0</v>
      </c>
    </row>
    <row r="203" spans="2:9">
      <c r="B203" s="111">
        <f>_xll.qlCalendarAdvance("Null",B202,"1m")</f>
        <v>49126</v>
      </c>
      <c r="C203" s="112">
        <f t="shared" si="9"/>
        <v>14.758904109589041</v>
      </c>
      <c r="D203" s="77">
        <f>_xll.qlYieldTSForwardRate($C$3,B203,B203,"Act/365 (fixed)","Continuous",,TRUE)</f>
        <v>4.7022967384429834E-2</v>
      </c>
      <c r="E203" s="236">
        <f t="shared" si="10"/>
        <v>-7.3340480714671286E-4</v>
      </c>
      <c r="F203" s="236">
        <f t="shared" si="11"/>
        <v>-1.274354557916861E-3</v>
      </c>
      <c r="G203" s="77">
        <f>_xll.qlYieldTSForwardRate($C$4,B203,B203,"Act/365 (fixed)","Continuous",,TRUE)</f>
        <v>4.6406708448368271E-2</v>
      </c>
      <c r="H203" s="242">
        <f>(_xll.qlYieldTSDiscount($C$4,B203)-_xll.qlYieldTSDiscount($C$3,B203))/1%</f>
        <v>-0.67855821430347074</v>
      </c>
      <c r="I203" s="245">
        <v>0</v>
      </c>
    </row>
    <row r="204" spans="2:9">
      <c r="B204" s="111">
        <f>_xll.qlCalendarAdvance("Null",B203,"1m")</f>
        <v>49157</v>
      </c>
      <c r="C204" s="112">
        <f t="shared" si="9"/>
        <v>14.843835616438357</v>
      </c>
      <c r="D204" s="77">
        <f>_xll.qlYieldTSForwardRate($C$3,B204,B204,"Act/365 (fixed)","Continuous",,TRUE)</f>
        <v>4.7016297289119234E-2</v>
      </c>
      <c r="E204" s="236">
        <f t="shared" si="10"/>
        <v>-8.4678089397897125E-4</v>
      </c>
      <c r="F204" s="236">
        <f t="shared" si="11"/>
        <v>-1.4232695215161406E-3</v>
      </c>
      <c r="G204" s="77">
        <f>_xll.qlYieldTSForwardRate($C$4,B204,B204,"Act/365 (fixed)","Continuous",,TRUE)</f>
        <v>4.6615815464485205E-2</v>
      </c>
      <c r="H204" s="242">
        <f>(_xll.qlYieldTSDiscount($C$4,B204)-_xll.qlYieldTSDiscount($C$3,B204))/1%</f>
        <v>-0.67346020828324971</v>
      </c>
      <c r="I204" s="245">
        <v>0</v>
      </c>
    </row>
    <row r="205" spans="2:9">
      <c r="B205" s="111">
        <f>_xll.qlCalendarAdvance("Null",B204,"1m")</f>
        <v>49188</v>
      </c>
      <c r="C205" s="112">
        <f t="shared" si="9"/>
        <v>14.92876712328767</v>
      </c>
      <c r="D205" s="77">
        <f>_xll.qlYieldTSForwardRate($C$3,B205,B205,"Act/365 (fixed)","Continuous",,TRUE)</f>
        <v>4.7008583708970465E-2</v>
      </c>
      <c r="E205" s="236">
        <f t="shared" si="10"/>
        <v>-9.751656573768505E-4</v>
      </c>
      <c r="F205" s="236">
        <f t="shared" si="11"/>
        <v>-1.6331740704793975E-3</v>
      </c>
      <c r="G205" s="77">
        <f>_xll.qlYieldTSForwardRate($C$4,B205,B205,"Act/365 (fixed)","Continuous",,TRUE)</f>
        <v>4.6816232204004306E-2</v>
      </c>
      <c r="H205" s="242">
        <f>(_xll.qlYieldTSDiscount($C$4,B205)-_xll.qlYieldTSDiscount($C$3,B205))/1%</f>
        <v>-0.66938824312079426</v>
      </c>
      <c r="I205" s="245">
        <v>0</v>
      </c>
    </row>
    <row r="206" spans="2:9">
      <c r="B206" s="111">
        <f>_xll.qlCalendarAdvance("Null",B205,"1m")</f>
        <v>49218</v>
      </c>
      <c r="C206" s="112">
        <f t="shared" si="9"/>
        <v>15.010958904109589</v>
      </c>
      <c r="D206" s="77">
        <f>_xll.qlYieldTSForwardRate($C$3,B206,B206,"Act/365 (fixed)","Continuous",,TRUE)</f>
        <v>4.7000000000050744E-2</v>
      </c>
      <c r="E206" s="236">
        <f t="shared" si="10"/>
        <v>-1.1197223139768977E-3</v>
      </c>
      <c r="F206" s="236">
        <f t="shared" si="11"/>
        <v>-1.7383044583371347E-3</v>
      </c>
      <c r="G206" s="77">
        <f>_xll.qlYieldTSForwardRate($C$4,B206,B206,"Act/365 (fixed)","Continuous",,TRUE)</f>
        <v>4.7000000000050744E-2</v>
      </c>
      <c r="H206" s="242">
        <f>(_xll.qlYieldTSDiscount($C$4,B206)-_xll.qlYieldTSDiscount($C$3,B206))/1%</f>
        <v>-0.66637553044672782</v>
      </c>
      <c r="I206" s="245">
        <v>0</v>
      </c>
    </row>
    <row r="207" spans="2:9">
      <c r="B207" s="111">
        <f>_xll.qlCalendarAdvance("Null",B206,"1m")</f>
        <v>49249</v>
      </c>
      <c r="C207" s="112">
        <f t="shared" si="9"/>
        <v>15.095890410958905</v>
      </c>
      <c r="D207" s="77">
        <f>_xll.qlYieldTSForwardRate($C$3,B207,B207,"Act/365 (fixed)","Continuous",,TRUE)</f>
        <v>4.6989870541531399E-2</v>
      </c>
      <c r="E207" s="236">
        <f t="shared" si="10"/>
        <v>-1.265676813427717E-3</v>
      </c>
      <c r="F207" s="236">
        <f t="shared" si="11"/>
        <v>-1.7678186425490539E-3</v>
      </c>
      <c r="G207" s="77">
        <f>_xll.qlYieldTSForwardRate($C$4,B207,B207,"Act/365 (fixed)","Continuous",,TRUE)</f>
        <v>4.7177779484480147E-2</v>
      </c>
      <c r="H207" s="242">
        <f>(_xll.qlYieldTSDiscount($C$4,B207)-_xll.qlYieldTSDiscount($C$3,B207))/1%</f>
        <v>-0.66416312380228604</v>
      </c>
      <c r="I207" s="245">
        <v>0</v>
      </c>
    </row>
    <row r="208" spans="2:9">
      <c r="B208" s="111">
        <f>_xll.qlCalendarAdvance("Null",B207,"1m")</f>
        <v>49279</v>
      </c>
      <c r="C208" s="112">
        <f t="shared" si="9"/>
        <v>15.178082191780822</v>
      </c>
      <c r="D208" s="77">
        <f>_xll.qlYieldTSForwardRate($C$3,B208,B208,"Act/365 (fixed)","Continuous",,TRUE)</f>
        <v>4.6978847593031815E-2</v>
      </c>
      <c r="E208" s="236">
        <f t="shared" si="10"/>
        <v>-1.4151659775261914E-3</v>
      </c>
      <c r="F208" s="236">
        <f t="shared" si="11"/>
        <v>-1.7578320531411729E-3</v>
      </c>
      <c r="G208" s="77">
        <f>_xll.qlYieldTSForwardRate($C$4,B208,B208,"Act/365 (fixed)","Continuous",,TRUE)</f>
        <v>4.7338004562110528E-2</v>
      </c>
      <c r="H208" s="242">
        <f>(_xll.qlYieldTSDiscount($C$4,B208)-_xll.qlYieldTSDiscount($C$3,B208))/1%</f>
        <v>-0.66283543242731113</v>
      </c>
      <c r="I208" s="245">
        <v>0</v>
      </c>
    </row>
    <row r="209" spans="2:9">
      <c r="B209" s="111">
        <f>_xll.qlCalendarAdvance("Null",B208,"1m")</f>
        <v>49310</v>
      </c>
      <c r="C209" s="112">
        <f t="shared" si="9"/>
        <v>15.263013698630138</v>
      </c>
      <c r="D209" s="77">
        <f>_xll.qlYieldTSForwardRate($C$3,B209,B209,"Act/365 (fixed)","Continuous",,TRUE)</f>
        <v>4.6966219822454934E-2</v>
      </c>
      <c r="E209" s="236">
        <f t="shared" si="10"/>
        <v>-1.5594514853225429E-3</v>
      </c>
      <c r="F209" s="236">
        <f t="shared" si="11"/>
        <v>-1.6559181754126934E-3</v>
      </c>
      <c r="G209" s="77">
        <f>_xll.qlYieldTSForwardRate($C$4,B209,B209,"Act/365 (fixed)","Continuous",,TRUE)</f>
        <v>4.7491618476979268E-2</v>
      </c>
      <c r="H209" s="242">
        <f>(_xll.qlYieldTSDiscount($C$4,B209)-_xll.qlYieldTSDiscount($C$3,B209))/1%</f>
        <v>-0.66224455700621965</v>
      </c>
      <c r="I209" s="245">
        <v>0</v>
      </c>
    </row>
    <row r="210" spans="2:9">
      <c r="B210" s="111">
        <f>_xll.qlCalendarAdvance("Null",B209,"1m")</f>
        <v>49341</v>
      </c>
      <c r="C210" s="112">
        <f t="shared" si="9"/>
        <v>15.347945205479451</v>
      </c>
      <c r="D210" s="77">
        <f>_xll.qlYieldTSForwardRate($C$3,B210,B210,"Act/365 (fixed)","Continuous",,TRUE)</f>
        <v>4.6952358280130446E-2</v>
      </c>
      <c r="E210" s="236">
        <f t="shared" si="10"/>
        <v>-1.6964452292401269E-3</v>
      </c>
      <c r="F210" s="236">
        <f t="shared" si="11"/>
        <v>-1.7206319617631613E-3</v>
      </c>
      <c r="G210" s="77">
        <f>_xll.qlYieldTSForwardRate($C$4,B210,B210,"Act/365 (fixed)","Continuous",,TRUE)</f>
        <v>4.7633350313038517E-2</v>
      </c>
      <c r="H210" s="242">
        <f>(_xll.qlYieldTSDiscount($C$4,B210)-_xll.qlYieldTSDiscount($C$3,B210))/1%</f>
        <v>-0.66238915355256722</v>
      </c>
      <c r="I210" s="245">
        <v>0</v>
      </c>
    </row>
    <row r="211" spans="2:9">
      <c r="B211" s="111">
        <f>_xll.qlCalendarAdvance("Null",B210,"1m")</f>
        <v>49369</v>
      </c>
      <c r="C211" s="112">
        <f t="shared" si="9"/>
        <v>15.424657534246576</v>
      </c>
      <c r="D211" s="77">
        <f>_xll.qlYieldTSForwardRate($C$3,B211,B211,"Act/365 (fixed)","Continuous",,TRUE)</f>
        <v>4.6938797831078176E-2</v>
      </c>
      <c r="E211" s="236">
        <f t="shared" si="10"/>
        <v>-1.8375810353061766E-3</v>
      </c>
      <c r="F211" s="236">
        <f t="shared" si="11"/>
        <v>-1.6738060665211841E-3</v>
      </c>
      <c r="G211" s="77">
        <f>_xll.qlYieldTSForwardRate($C$4,B211,B211,"Act/365 (fixed)","Continuous",,TRUE)</f>
        <v>4.7751376807157624E-2</v>
      </c>
      <c r="H211" s="242">
        <f>(_xll.qlYieldTSDiscount($C$4,B211)-_xll.qlYieldTSDiscount($C$3,B211))/1%</f>
        <v>-0.66310438738091948</v>
      </c>
      <c r="I211" s="245">
        <v>0</v>
      </c>
    </row>
    <row r="212" spans="2:9">
      <c r="B212" s="111">
        <f>_xll.qlCalendarAdvance("Null",B211,"1m")</f>
        <v>49400</v>
      </c>
      <c r="C212" s="112">
        <f t="shared" si="9"/>
        <v>15.509589041095891</v>
      </c>
      <c r="D212" s="77">
        <f>_xll.qlYieldTSForwardRate($C$3,B212,B212,"Act/365 (fixed)","Continuous",,TRUE)</f>
        <v>4.6922654915450154E-2</v>
      </c>
      <c r="E212" s="236">
        <f t="shared" si="10"/>
        <v>-1.9670056619106768E-3</v>
      </c>
      <c r="F212" s="236">
        <f t="shared" si="11"/>
        <v>-1.5859717855040464E-3</v>
      </c>
      <c r="G212" s="77">
        <f>_xll.qlYieldTSForwardRate($C$4,B212,B212,"Act/365 (fixed)","Continuous",,TRUE)</f>
        <v>4.787123684885649E-2</v>
      </c>
      <c r="H212" s="242">
        <f>(_xll.qlYieldTSDiscount($C$4,B212)-_xll.qlYieldTSDiscount($C$3,B212))/1%</f>
        <v>-0.66449265669484836</v>
      </c>
      <c r="I212" s="245">
        <v>0</v>
      </c>
    </row>
    <row r="213" spans="2:9">
      <c r="B213" s="111">
        <f>_xll.qlCalendarAdvance("Null",B212,"1m")</f>
        <v>49430</v>
      </c>
      <c r="C213" s="112">
        <f t="shared" si="9"/>
        <v>15.591780821917808</v>
      </c>
      <c r="D213" s="77">
        <f>_xll.qlYieldTSForwardRate($C$3,B213,B213,"Act/365 (fixed)","Continuous",,TRUE)</f>
        <v>4.6905924585769532E-2</v>
      </c>
      <c r="E213" s="236">
        <f t="shared" si="10"/>
        <v>-2.102633854253428E-3</v>
      </c>
      <c r="F213" s="236">
        <f t="shared" si="11"/>
        <v>-1.5806999818188689E-3</v>
      </c>
      <c r="G213" s="77">
        <f>_xll.qlYieldTSForwardRate($C$4,B213,B213,"Act/365 (fixed)","Continuous",,TRUE)</f>
        <v>4.7976657255639023E-2</v>
      </c>
      <c r="H213" s="242">
        <f>(_xll.qlYieldTSDiscount($C$4,B213)-_xll.qlYieldTSDiscount($C$3,B213))/1%</f>
        <v>-0.66638423898225385</v>
      </c>
      <c r="I213" s="245">
        <v>0</v>
      </c>
    </row>
    <row r="214" spans="2:9">
      <c r="B214" s="111">
        <f>_xll.qlCalendarAdvance("Null",B213,"1m")</f>
        <v>49461</v>
      </c>
      <c r="C214" s="112">
        <f t="shared" si="9"/>
        <v>15.676712328767124</v>
      </c>
      <c r="D214" s="77">
        <f>_xll.qlYieldTSForwardRate($C$3,B214,B214,"Act/365 (fixed)","Continuous",,TRUE)</f>
        <v>4.6887515007200987E-2</v>
      </c>
      <c r="E214" s="236">
        <f t="shared" si="10"/>
        <v>-2.231177439694104E-3</v>
      </c>
      <c r="F214" s="236">
        <f t="shared" si="11"/>
        <v>-1.5471933477151508E-3</v>
      </c>
      <c r="G214" s="77">
        <f>_xll.qlYieldTSForwardRate($C$4,B214,B214,"Act/365 (fixed)","Continuous",,TRUE)</f>
        <v>4.8074927626261171E-2</v>
      </c>
      <c r="H214" s="242">
        <f>(_xll.qlYieldTSDiscount($C$4,B214)-_xll.qlYieldTSDiscount($C$3,B214))/1%</f>
        <v>-0.66885507859830717</v>
      </c>
      <c r="I214" s="245">
        <v>0</v>
      </c>
    </row>
    <row r="215" spans="2:9">
      <c r="B215" s="111">
        <f>_xll.qlCalendarAdvance("Null",B214,"1m")</f>
        <v>49491</v>
      </c>
      <c r="C215" s="112">
        <f t="shared" si="9"/>
        <v>15.758904109589041</v>
      </c>
      <c r="D215" s="77">
        <f>_xll.qlYieldTSForwardRate($C$3,B215,B215,"Act/365 (fixed)","Continuous",,TRUE)</f>
        <v>4.6868636414859575E-2</v>
      </c>
      <c r="E215" s="236">
        <f t="shared" si="10"/>
        <v>-2.3612058931866448E-3</v>
      </c>
      <c r="F215" s="236">
        <f t="shared" si="11"/>
        <v>-1.5268229377602999E-3</v>
      </c>
      <c r="G215" s="77">
        <f>_xll.qlYieldTSForwardRate($C$4,B215,B215,"Act/365 (fixed)","Continuous",,TRUE)</f>
        <v>4.8159958314832767E-2</v>
      </c>
      <c r="H215" s="242">
        <f>(_xll.qlYieldTSDiscount($C$4,B215)-_xll.qlYieldTSDiscount($C$3,B215))/1%</f>
        <v>-0.67169946801828306</v>
      </c>
      <c r="I215" s="245">
        <v>0</v>
      </c>
    </row>
    <row r="216" spans="2:9">
      <c r="B216" s="111">
        <f>_xll.qlCalendarAdvance("Null",B215,"1m")</f>
        <v>49522</v>
      </c>
      <c r="C216" s="112">
        <f t="shared" si="9"/>
        <v>15.843835616438357</v>
      </c>
      <c r="D216" s="77">
        <f>_xll.qlYieldTSForwardRate($C$3,B216,B216,"Act/365 (fixed)","Continuous",,TRUE)</f>
        <v>4.6848053758027183E-2</v>
      </c>
      <c r="E216" s="236">
        <f t="shared" si="10"/>
        <v>-2.4863451087444553E-3</v>
      </c>
      <c r="F216" s="236">
        <f t="shared" si="11"/>
        <v>-1.4573762193260346E-3</v>
      </c>
      <c r="G216" s="77">
        <f>_xll.qlYieldTSForwardRate($C$4,B216,B216,"Act/365 (fixed)","Continuous",,TRUE)</f>
        <v>4.8237679607104553E-2</v>
      </c>
      <c r="H216" s="242">
        <f>(_xll.qlYieldTSDiscount($C$4,B216)-_xll.qlYieldTSDiscount($C$3,B216))/1%</f>
        <v>-0.67506043476222022</v>
      </c>
      <c r="I216" s="245">
        <v>0</v>
      </c>
    </row>
    <row r="217" spans="2:9">
      <c r="B217" s="111">
        <f>_xll.qlCalendarAdvance("Null",B216,"1m")</f>
        <v>49553</v>
      </c>
      <c r="C217" s="112">
        <f t="shared" si="9"/>
        <v>15.92876712328767</v>
      </c>
      <c r="D217" s="77">
        <f>_xll.qlYieldTSForwardRate($C$3,B217,B217,"Act/365 (fixed)","Continuous",,TRUE)</f>
        <v>4.6826402607532958E-2</v>
      </c>
      <c r="E217" s="236">
        <f t="shared" si="10"/>
        <v>-2.6087602098940794E-3</v>
      </c>
      <c r="F217" s="236">
        <f t="shared" si="11"/>
        <v>-1.4599914680175029E-3</v>
      </c>
      <c r="G217" s="77">
        <f>_xll.qlYieldTSForwardRate($C$4,B217,B217,"Act/365 (fixed)","Continuous",,TRUE)</f>
        <v>4.8305356710742653E-2</v>
      </c>
      <c r="H217" s="242">
        <f>(_xll.qlYieldTSDiscount($C$4,B217)-_xll.qlYieldTSDiscount($C$3,B217))/1%</f>
        <v>-0.67880450507880052</v>
      </c>
      <c r="I217" s="245">
        <v>0</v>
      </c>
    </row>
    <row r="218" spans="2:9">
      <c r="B218" s="111">
        <f>_xll.qlCalendarAdvance("Null",B217,"1m")</f>
        <v>49583</v>
      </c>
      <c r="C218" s="112">
        <f t="shared" ref="C218:C281" si="12">(B218-$B$26)/365</f>
        <v>16.010958904109589</v>
      </c>
      <c r="D218" s="77">
        <f>_xll.qlYieldTSForwardRate($C$3,B218,B218,"Act/365 (fixed)","Continuous",,TRUE)</f>
        <v>4.6804455299724844E-2</v>
      </c>
      <c r="E218" s="236">
        <f t="shared" si="10"/>
        <v>-2.7303436828514899E-3</v>
      </c>
      <c r="F218" s="236">
        <f t="shared" si="11"/>
        <v>-1.4153355585852301E-3</v>
      </c>
      <c r="G218" s="77">
        <f>_xll.qlYieldTSForwardRate($C$4,B218,B218,"Act/365 (fixed)","Continuous",,TRUE)</f>
        <v>4.8361540414436764E-2</v>
      </c>
      <c r="H218" s="242">
        <f>(_xll.qlYieldTSDiscount($C$4,B218)-_xll.qlYieldTSDiscount($C$3,B218))/1%</f>
        <v>-0.68275083490217936</v>
      </c>
      <c r="I218" s="245">
        <v>0</v>
      </c>
    </row>
    <row r="219" spans="2:9">
      <c r="B219" s="111">
        <f>_xll.qlCalendarAdvance("Null",B218,"1m")</f>
        <v>49614</v>
      </c>
      <c r="C219" s="112">
        <f t="shared" si="12"/>
        <v>16.095890410958905</v>
      </c>
      <c r="D219" s="77">
        <f>_xll.qlYieldTSForwardRate($C$3,B219,B219,"Act/365 (fixed)","Continuous",,TRUE)</f>
        <v>4.6780772206257905E-2</v>
      </c>
      <c r="E219" s="236">
        <f t="shared" si="10"/>
        <v>-2.8452957416028463E-3</v>
      </c>
      <c r="F219" s="236">
        <f t="shared" si="11"/>
        <v>-1.3818313104186602E-3</v>
      </c>
      <c r="G219" s="77">
        <f>_xll.qlYieldTSForwardRate($C$4,B219,B219,"Act/365 (fixed)","Continuous",,TRUE)</f>
        <v>4.8410237864693027E-2</v>
      </c>
      <c r="H219" s="242">
        <f>(_xll.qlYieldTSDiscount($C$4,B219)-_xll.qlYieldTSDiscount($C$3,B219))/1%</f>
        <v>-0.68712110004699456</v>
      </c>
      <c r="I219" s="245">
        <v>0</v>
      </c>
    </row>
    <row r="220" spans="2:9">
      <c r="B220" s="111">
        <f>_xll.qlCalendarAdvance("Null",B219,"1m")</f>
        <v>49644</v>
      </c>
      <c r="C220" s="112">
        <f t="shared" si="12"/>
        <v>16.17808219178082</v>
      </c>
      <c r="D220" s="77">
        <f>_xll.qlYieldTSForwardRate($C$3,B220,B220,"Act/365 (fixed)","Continuous",,TRUE)</f>
        <v>4.6756903781851482E-2</v>
      </c>
      <c r="E220" s="236">
        <f t="shared" ref="E220:E283" si="13">(D221-D219)/(C221-C219)*10</f>
        <v>-2.9612798744557017E-3</v>
      </c>
      <c r="F220" s="236">
        <f t="shared" ref="F220:F283" si="14">(E221-E219)/(C221-C219)</f>
        <v>-1.3601044354481034E-3</v>
      </c>
      <c r="G220" s="77">
        <f>_xll.qlYieldTSForwardRate($C$4,B220,B220,"Act/365 (fixed)","Continuous",,TRUE)</f>
        <v>4.8448557672956798E-2</v>
      </c>
      <c r="H220" s="242">
        <f>(_xll.qlYieldTSDiscount($C$4,B220)-_xll.qlYieldTSDiscount($C$3,B220))/1%</f>
        <v>-0.69159530369042876</v>
      </c>
      <c r="I220" s="245">
        <v>0</v>
      </c>
    </row>
    <row r="221" spans="2:9">
      <c r="B221" s="111">
        <f>_xll.qlCalendarAdvance("Null",B220,"1m")</f>
        <v>49675</v>
      </c>
      <c r="C221" s="112">
        <f t="shared" si="12"/>
        <v>16.263013698630136</v>
      </c>
      <c r="D221" s="77">
        <f>_xll.qlYieldTSForwardRate($C$3,B221,B221,"Act/365 (fixed)","Continuous",,TRUE)</f>
        <v>4.6731282323424536E-2</v>
      </c>
      <c r="E221" s="236">
        <f t="shared" si="13"/>
        <v>-3.0726008664311568E-3</v>
      </c>
      <c r="F221" s="236">
        <f t="shared" si="14"/>
        <v>-1.2844176349266333E-3</v>
      </c>
      <c r="G221" s="77">
        <f>_xll.qlYieldTSForwardRate($C$4,B221,B221,"Act/365 (fixed)","Continuous",,TRUE)</f>
        <v>4.8479316061828051E-2</v>
      </c>
      <c r="H221" s="242">
        <f>(_xll.qlYieldTSDiscount($C$4,B221)-_xll.qlYieldTSDiscount($C$3,B221))/1%</f>
        <v>-0.69643362456472957</v>
      </c>
      <c r="I221" s="245">
        <v>0</v>
      </c>
    </row>
    <row r="222" spans="2:9">
      <c r="B222" s="111">
        <f>_xll.qlCalendarAdvance("Null",B221,"1m")</f>
        <v>49706</v>
      </c>
      <c r="C222" s="112">
        <f t="shared" si="12"/>
        <v>16.347945205479451</v>
      </c>
      <c r="D222" s="77">
        <f>_xll.qlYieldTSForwardRate($C$3,B222,B222,"Act/365 (fixed)","Continuous",,TRUE)</f>
        <v>4.670471165754498E-2</v>
      </c>
      <c r="E222" s="236">
        <f t="shared" si="13"/>
        <v>-3.1794549247720076E-3</v>
      </c>
      <c r="F222" s="236">
        <f t="shared" si="14"/>
        <v>-1.3045038597278721E-3</v>
      </c>
      <c r="G222" s="77">
        <f>_xll.qlYieldTSForwardRate($C$4,B222,B222,"Act/365 (fixed)","Continuous",,TRUE)</f>
        <v>4.850135667087118E-2</v>
      </c>
      <c r="H222" s="242">
        <f>(_xll.qlYieldTSDiscount($C$4,B222)-_xll.qlYieldTSDiscount($C$3,B222))/1%</f>
        <v>-0.70145337780059824</v>
      </c>
      <c r="I222" s="245">
        <v>0</v>
      </c>
    </row>
    <row r="223" spans="2:9">
      <c r="B223" s="111">
        <f>_xll.qlCalendarAdvance("Null",B222,"1m")</f>
        <v>49735</v>
      </c>
      <c r="C223" s="112">
        <f t="shared" si="12"/>
        <v>16.427397260273974</v>
      </c>
      <c r="D223" s="77">
        <f>_xll.qlYieldTSForwardRate($C$3,B223,B223,"Act/365 (fixed)","Continuous",,TRUE)</f>
        <v>4.667901731096253E-2</v>
      </c>
      <c r="E223" s="236">
        <f t="shared" si="13"/>
        <v>-3.2870398570713582E-3</v>
      </c>
      <c r="F223" s="236">
        <f t="shared" si="14"/>
        <v>-1.2611171908438873E-3</v>
      </c>
      <c r="G223" s="77">
        <f>_xll.qlYieldTSForwardRate($C$4,B223,B223,"Act/365 (fixed)","Continuous",,TRUE)</f>
        <v>4.8514321099685793E-2</v>
      </c>
      <c r="H223" s="242">
        <f>(_xll.qlYieldTSDiscount($C$4,B223)-_xll.qlYieldTSDiscount($C$3,B223))/1%</f>
        <v>-0.70628177066683895</v>
      </c>
      <c r="I223" s="245">
        <v>0</v>
      </c>
    </row>
    <row r="224" spans="2:9">
      <c r="B224" s="111">
        <f>_xll.qlCalendarAdvance("Null",B223,"1m")</f>
        <v>49766</v>
      </c>
      <c r="C224" s="112">
        <f t="shared" si="12"/>
        <v>16.512328767123286</v>
      </c>
      <c r="D224" s="77">
        <f>_xll.qlYieldTSForwardRate($C$3,B224,B224,"Act/365 (fixed)","Continuous",,TRUE)</f>
        <v>4.6650678125647917E-2</v>
      </c>
      <c r="E224" s="236">
        <f t="shared" si="13"/>
        <v>-3.3867618602531932E-3</v>
      </c>
      <c r="F224" s="236">
        <f t="shared" si="14"/>
        <v>-1.207211918112637E-3</v>
      </c>
      <c r="G224" s="77">
        <f>_xll.qlYieldTSForwardRate($C$4,B224,B224,"Act/365 (fixed)","Continuous",,TRUE)</f>
        <v>4.85202520377392E-2</v>
      </c>
      <c r="H224" s="242">
        <f>(_xll.qlYieldTSDiscount($C$4,B224)-_xll.qlYieldTSDiscount($C$3,B224))/1%</f>
        <v>-0.711552364511292</v>
      </c>
      <c r="I224" s="245">
        <v>0</v>
      </c>
    </row>
    <row r="225" spans="2:9">
      <c r="B225" s="111">
        <f>_xll.qlCalendarAdvance("Null",B224,"1m")</f>
        <v>49796</v>
      </c>
      <c r="C225" s="112">
        <f t="shared" si="12"/>
        <v>16.594520547945205</v>
      </c>
      <c r="D225" s="77">
        <f>_xll.qlYieldTSForwardRate($C$3,B225,B225,"Act/365 (fixed)","Continuous",,TRUE)</f>
        <v>4.6622416633298025E-2</v>
      </c>
      <c r="E225" s="236">
        <f t="shared" si="13"/>
        <v>-3.488793081742235E-3</v>
      </c>
      <c r="F225" s="236">
        <f t="shared" si="14"/>
        <v>-1.1851226423078046E-3</v>
      </c>
      <c r="G225" s="77">
        <f>_xll.qlYieldTSForwardRate($C$4,B225,B225,"Act/365 (fixed)","Continuous",,TRUE)</f>
        <v>4.8518439554154857E-2</v>
      </c>
      <c r="H225" s="242">
        <f>(_xll.qlYieldTSDiscount($C$4,B225)-_xll.qlYieldTSDiscount($C$3,B225))/1%</f>
        <v>-0.71673028215419876</v>
      </c>
      <c r="I225" s="245">
        <v>0</v>
      </c>
    </row>
    <row r="226" spans="2:9">
      <c r="B226" s="111">
        <f>_xll.qlCalendarAdvance("Null",B225,"1m")</f>
        <v>49827</v>
      </c>
      <c r="C226" s="112">
        <f t="shared" si="12"/>
        <v>16.67945205479452</v>
      </c>
      <c r="D226" s="77">
        <f>_xll.qlYieldTSForwardRate($C$3,B226,B226,"Act/365 (fixed)","Continuous",,TRUE)</f>
        <v>4.6592372268665375E-2</v>
      </c>
      <c r="E226" s="236">
        <f t="shared" si="13"/>
        <v>-3.584823452529294E-3</v>
      </c>
      <c r="F226" s="236">
        <f t="shared" si="14"/>
        <v>-1.1516199841060729E-3</v>
      </c>
      <c r="G226" s="77">
        <f>_xll.qlYieldTSForwardRate($C$4,B226,B226,"Act/365 (fixed)","Continuous",,TRUE)</f>
        <v>4.8509024388998262E-2</v>
      </c>
      <c r="H226" s="242">
        <f>(_xll.qlYieldTSDiscount($C$4,B226)-_xll.qlYieldTSDiscount($C$3,B226))/1%</f>
        <v>-0.72213042182598386</v>
      </c>
      <c r="I226" s="245">
        <v>0</v>
      </c>
    </row>
    <row r="227" spans="2:9">
      <c r="B227" s="111">
        <f>_xll.qlCalendarAdvance("Null",B226,"1m")</f>
        <v>49857</v>
      </c>
      <c r="C227" s="112">
        <f t="shared" si="12"/>
        <v>16.761643835616439</v>
      </c>
      <c r="D227" s="77">
        <f>_xll.qlYieldTSForwardRate($C$3,B227,B227,"Act/365 (fixed)","Continuous",,TRUE)</f>
        <v>4.6562505885187261E-2</v>
      </c>
      <c r="E227" s="236">
        <f t="shared" si="13"/>
        <v>-3.6812555996339367E-3</v>
      </c>
      <c r="F227" s="236">
        <f t="shared" si="14"/>
        <v>-1.1280074076047445E-3</v>
      </c>
      <c r="G227" s="77">
        <f>_xll.qlYieldTSForwardRate($C$4,B227,B227,"Act/365 (fixed)","Continuous",,TRUE)</f>
        <v>4.8492864354128577E-2</v>
      </c>
      <c r="H227" s="242">
        <f>(_xll.qlYieldTSDiscount($C$4,B227)-_xll.qlYieldTSDiscount($C$3,B227))/1%</f>
        <v>-0.72737681296359824</v>
      </c>
      <c r="I227" s="245">
        <v>0</v>
      </c>
    </row>
    <row r="228" spans="2:9">
      <c r="B228" s="111">
        <f>_xll.qlCalendarAdvance("Null",B227,"1m")</f>
        <v>49888</v>
      </c>
      <c r="C228" s="112">
        <f t="shared" si="12"/>
        <v>16.846575342465755</v>
      </c>
      <c r="D228" s="77">
        <f>_xll.qlYieldTSForwardRate($C$3,B228,B228,"Act/365 (fixed)","Continuous",,TRUE)</f>
        <v>4.6530849914808478E-2</v>
      </c>
      <c r="E228" s="236">
        <f t="shared" si="13"/>
        <v>-3.7733397590057052E-3</v>
      </c>
      <c r="F228" s="236">
        <f t="shared" si="14"/>
        <v>-1.0681799432745694E-3</v>
      </c>
      <c r="G228" s="77">
        <f>_xll.qlYieldTSForwardRate($C$4,B228,B228,"Act/365 (fixed)","Continuous",,TRUE)</f>
        <v>4.8469143683793077E-2</v>
      </c>
      <c r="H228" s="242">
        <f>(_xll.qlYieldTSDiscount($C$4,B228)-_xll.qlYieldTSDiscount($C$3,B228))/1%</f>
        <v>-0.73279187226925613</v>
      </c>
      <c r="I228" s="245">
        <v>0</v>
      </c>
    </row>
    <row r="229" spans="2:9">
      <c r="B229" s="111">
        <f>_xll.qlCalendarAdvance("Null",B228,"1m")</f>
        <v>49919</v>
      </c>
      <c r="C229" s="112">
        <f t="shared" si="12"/>
        <v>16.931506849315067</v>
      </c>
      <c r="D229" s="77">
        <f>_xll.qlYieldTSForwardRate($C$3,B229,B229,"Act/365 (fixed)","Continuous",,TRUE)</f>
        <v>4.6498410798869905E-2</v>
      </c>
      <c r="E229" s="236">
        <f t="shared" si="13"/>
        <v>-3.862699863970984E-3</v>
      </c>
      <c r="F229" s="236">
        <f t="shared" si="14"/>
        <v>-1.0611747068937733E-3</v>
      </c>
      <c r="G229" s="77">
        <f>_xll.qlYieldTSForwardRate($C$4,B229,B229,"Act/365 (fixed)","Continuous",,TRUE)</f>
        <v>4.8438551794231031E-2</v>
      </c>
      <c r="H229" s="242">
        <f>(_xll.qlYieldTSDiscount($C$4,B229)-_xll.qlYieldTSDiscount($C$3,B229))/1%</f>
        <v>-0.73817430142354423</v>
      </c>
      <c r="I229" s="245">
        <v>0</v>
      </c>
    </row>
    <row r="230" spans="2:9">
      <c r="B230" s="111">
        <f>_xll.qlCalendarAdvance("Null",B229,"1m")</f>
        <v>49949</v>
      </c>
      <c r="C230" s="112">
        <f t="shared" si="12"/>
        <v>17.013698630136986</v>
      </c>
      <c r="D230" s="77">
        <f>_xll.qlYieldTSForwardRate($C$3,B230,B230,"Act/365 (fixed)","Continuous",,TRUE)</f>
        <v>4.6466295204753073E-2</v>
      </c>
      <c r="E230" s="236">
        <f t="shared" si="13"/>
        <v>-3.9506867648153475E-3</v>
      </c>
      <c r="F230" s="236">
        <f t="shared" si="14"/>
        <v>-1.01976060498852E-3</v>
      </c>
      <c r="G230" s="77">
        <f>_xll.qlYieldTSForwardRate($C$4,B230,B230,"Act/365 (fixed)","Continuous",,TRUE)</f>
        <v>4.8402657549485001E-2</v>
      </c>
      <c r="H230" s="242">
        <f>(_xll.qlYieldTSDiscount($C$4,B230)-_xll.qlYieldTSDiscount($C$3,B230))/1%</f>
        <v>-0.74332834622617971</v>
      </c>
      <c r="I230" s="245">
        <v>0</v>
      </c>
    </row>
    <row r="231" spans="2:9">
      <c r="B231" s="111">
        <f>_xll.qlCalendarAdvance("Null",B230,"1m")</f>
        <v>49980</v>
      </c>
      <c r="C231" s="112">
        <f t="shared" si="12"/>
        <v>17.098630136986301</v>
      </c>
      <c r="D231" s="77">
        <f>_xll.qlYieldTSForwardRate($C$3,B231,B231,"Act/365 (fixed)","Continuous",,TRUE)</f>
        <v>4.6432385622800387E-2</v>
      </c>
      <c r="E231" s="236">
        <f t="shared" si="13"/>
        <v>-4.0331256089142726E-3</v>
      </c>
      <c r="F231" s="236">
        <f t="shared" si="14"/>
        <v>-9.8625635594524965E-4</v>
      </c>
      <c r="G231" s="77">
        <f>_xll.qlYieldTSForwardRate($C$4,B231,B231,"Act/365 (fixed)","Continuous",,TRUE)</f>
        <v>4.8359329573626632E-2</v>
      </c>
      <c r="H231" s="242">
        <f>(_xll.qlYieldTSDiscount($C$4,B231)-_xll.qlYieldTSDiscount($C$3,B231))/1%</f>
        <v>-0.74857453026790366</v>
      </c>
      <c r="I231" s="245">
        <v>0</v>
      </c>
    </row>
    <row r="232" spans="2:9">
      <c r="B232" s="111">
        <f>_xll.qlCalendarAdvance("Null",B231,"1m")</f>
        <v>50010</v>
      </c>
      <c r="C232" s="112">
        <f t="shared" si="12"/>
        <v>17.18082191780822</v>
      </c>
      <c r="D232" s="77">
        <f>_xll.qlYieldTSForwardRate($C$3,B232,B232,"Act/365 (fixed)","Continuous",,TRUE)</f>
        <v>4.6398892283617793E-2</v>
      </c>
      <c r="E232" s="236">
        <f t="shared" si="13"/>
        <v>-4.1155131695075689E-3</v>
      </c>
      <c r="F232" s="236">
        <f t="shared" si="14"/>
        <v>-9.6128932581380849E-4</v>
      </c>
      <c r="G232" s="77">
        <f>_xll.qlYieldTSForwardRate($C$4,B232,B232,"Act/365 (fixed)","Continuous",,TRUE)</f>
        <v>4.8311613604384386E-2</v>
      </c>
      <c r="H232" s="242">
        <f>(_xll.qlYieldTSDiscount($C$4,B232)-_xll.qlYieldTSDiscount($C$3,B232))/1%</f>
        <v>-0.75355360293504203</v>
      </c>
      <c r="I232" s="245">
        <v>0</v>
      </c>
    </row>
    <row r="233" spans="2:9">
      <c r="B233" s="111">
        <f>_xll.qlCalendarAdvance("Null",B232,"1m")</f>
        <v>50041</v>
      </c>
      <c r="C233" s="112">
        <f t="shared" si="12"/>
        <v>17.265753424657536</v>
      </c>
      <c r="D233" s="77">
        <f>_xll.qlYieldTSForwardRate($C$3,B233,B233,"Act/365 (fixed)","Continuous",,TRUE)</f>
        <v>4.6363605813666151E-2</v>
      </c>
      <c r="E233" s="236">
        <f t="shared" si="13"/>
        <v>-4.1937794414475408E-3</v>
      </c>
      <c r="F233" s="236">
        <f t="shared" si="14"/>
        <v>-8.9133575865304906E-4</v>
      </c>
      <c r="G233" s="77">
        <f>_xll.qlYieldTSForwardRate($C$4,B233,B233,"Act/365 (fixed)","Continuous",,TRUE)</f>
        <v>4.8256590142264556E-2</v>
      </c>
      <c r="H233" s="242">
        <f>(_xll.qlYieldTSDiscount($C$4,B233)-_xll.qlYieldTSDiscount($C$3,B233))/1%</f>
        <v>-0.75857712496022467</v>
      </c>
      <c r="I233" s="245">
        <v>0</v>
      </c>
    </row>
    <row r="234" spans="2:9">
      <c r="B234" s="111">
        <f>_xll.qlCalendarAdvance("Null",B233,"1m")</f>
        <v>50072</v>
      </c>
      <c r="C234" s="112">
        <f t="shared" si="12"/>
        <v>17.350684931506848</v>
      </c>
      <c r="D234" s="77">
        <f>_xll.qlYieldTSForwardRate($C$3,B234,B234,"Act/365 (fixed)","Continuous",,TRUE)</f>
        <v>4.632765548214663E-2</v>
      </c>
      <c r="E234" s="236">
        <f t="shared" si="13"/>
        <v>-4.2669181476897283E-3</v>
      </c>
      <c r="F234" s="236">
        <f t="shared" si="14"/>
        <v>-9.1047569117107654E-4</v>
      </c>
      <c r="G234" s="77">
        <f>_xll.qlYieldTSForwardRate($C$4,B234,B234,"Act/365 (fixed)","Continuous",,TRUE)</f>
        <v>4.8196021861983913E-2</v>
      </c>
      <c r="H234" s="242">
        <f>(_xll.qlYieldTSDiscount($C$4,B234)-_xll.qlYieldTSDiscount($C$3,B234))/1%</f>
        <v>-0.76345777029193651</v>
      </c>
      <c r="I234" s="245">
        <v>0</v>
      </c>
    </row>
    <row r="235" spans="2:9">
      <c r="B235" s="111">
        <f>_xll.qlCalendarAdvance("Null",B234,"1m")</f>
        <v>50100</v>
      </c>
      <c r="C235" s="112">
        <f t="shared" si="12"/>
        <v>17.427397260273974</v>
      </c>
      <c r="D235" s="77">
        <f>_xll.qlYieldTSForwardRate($C$3,B235,B235,"Act/365 (fixed)","Continuous",,TRUE)</f>
        <v>4.6294633712100755E-2</v>
      </c>
      <c r="E235" s="236">
        <f t="shared" si="13"/>
        <v>-4.340952224403961E-3</v>
      </c>
      <c r="F235" s="236">
        <f t="shared" si="14"/>
        <v>-8.7034632761405148E-4</v>
      </c>
      <c r="G235" s="77">
        <f>_xll.qlYieldTSForwardRate($C$4,B235,B235,"Act/365 (fixed)","Continuous",,TRUE)</f>
        <v>4.8136772682032578E-2</v>
      </c>
      <c r="H235" s="242">
        <f>(_xll.qlYieldTSDiscount($C$4,B235)-_xll.qlYieldTSDiscount($C$3,B235))/1%</f>
        <v>-0.76772809150998933</v>
      </c>
      <c r="I235" s="245">
        <v>0</v>
      </c>
    </row>
    <row r="236" spans="2:9">
      <c r="B236" s="111">
        <f>_xll.qlCalendarAdvance("Null",B235,"1m")</f>
        <v>50131</v>
      </c>
      <c r="C236" s="112">
        <f t="shared" si="12"/>
        <v>17.512328767123286</v>
      </c>
      <c r="D236" s="77">
        <f>_xll.qlYieldTSForwardRate($C$3,B236,B236,"Act/365 (fixed)","Continuous",,TRUE)</f>
        <v>4.6257486665368594E-2</v>
      </c>
      <c r="E236" s="236">
        <f t="shared" si="13"/>
        <v>-4.4076042663999445E-3</v>
      </c>
      <c r="F236" s="236">
        <f t="shared" si="14"/>
        <v>-8.0885415270772691E-4</v>
      </c>
      <c r="G236" s="77">
        <f>_xll.qlYieldTSForwardRate($C$4,B236,B236,"Act/365 (fixed)","Continuous",,TRUE)</f>
        <v>4.8066393838084906E-2</v>
      </c>
      <c r="H236" s="242">
        <f>(_xll.qlYieldTSDiscount($C$4,B236)-_xll.qlYieldTSDiscount($C$3,B236))/1%</f>
        <v>-0.77228751971083476</v>
      </c>
      <c r="I236" s="245">
        <v>0</v>
      </c>
    </row>
    <row r="237" spans="2:9">
      <c r="B237" s="111">
        <f>_xll.qlCalendarAdvance("Null",B236,"1m")</f>
        <v>50161</v>
      </c>
      <c r="C237" s="112">
        <f t="shared" si="12"/>
        <v>17.594520547945205</v>
      </c>
      <c r="D237" s="77">
        <f>_xll.qlYieldTSForwardRate($C$3,B237,B237,"Act/365 (fixed)","Continuous",,TRUE)</f>
        <v>4.6220972380525305E-2</v>
      </c>
      <c r="E237" s="236">
        <f t="shared" si="13"/>
        <v>-4.4761305896510043E-3</v>
      </c>
      <c r="F237" s="236">
        <f t="shared" si="14"/>
        <v>-7.9063045876391093E-4</v>
      </c>
      <c r="G237" s="77">
        <f>_xll.qlYieldTSForwardRate($C$4,B237,B237,"Act/365 (fixed)","Continuous",,TRUE)</f>
        <v>4.7993746010650221E-2</v>
      </c>
      <c r="H237" s="242">
        <f>(_xll.qlYieldTSDiscount($C$4,B237)-_xll.qlYieldTSDiscount($C$3,B237))/1%</f>
        <v>-0.77651702248004439</v>
      </c>
      <c r="I237" s="245">
        <v>0</v>
      </c>
    </row>
    <row r="238" spans="2:9">
      <c r="B238" s="111">
        <f>_xll.qlCalendarAdvance("Null",B237,"1m")</f>
        <v>50192</v>
      </c>
      <c r="C238" s="112">
        <f t="shared" si="12"/>
        <v>17.67945205479452</v>
      </c>
      <c r="D238" s="77">
        <f>_xll.qlYieldTSForwardRate($C$3,B238,B238,"Act/365 (fixed)","Continuous",,TRUE)</f>
        <v>4.6182680099349768E-2</v>
      </c>
      <c r="E238" s="236">
        <f t="shared" si="13"/>
        <v>-4.5397370280015857E-3</v>
      </c>
      <c r="F238" s="236">
        <f t="shared" si="14"/>
        <v>-7.5712620757917857E-4</v>
      </c>
      <c r="G238" s="77">
        <f>_xll.qlYieldTSForwardRate($C$4,B238,B238,"Act/365 (fixed)","Continuous",,TRUE)</f>
        <v>4.7914247582120435E-2</v>
      </c>
      <c r="H238" s="242">
        <f>(_xll.qlYieldTSDiscount($C$4,B238)-_xll.qlYieldTSDiscount($C$3,B238))/1%</f>
        <v>-0.78068446264341618</v>
      </c>
      <c r="I238" s="245">
        <v>0</v>
      </c>
    </row>
    <row r="239" spans="2:9">
      <c r="B239" s="111">
        <f>_xll.qlCalendarAdvance("Null",B238,"1m")</f>
        <v>50222</v>
      </c>
      <c r="C239" s="112">
        <f t="shared" si="12"/>
        <v>17.761643835616439</v>
      </c>
      <c r="D239" s="77">
        <f>_xll.qlYieldTSForwardRate($C$3,B239,B239,"Act/365 (fixed)","Continuous",,TRUE)</f>
        <v>4.6145102802797058E-2</v>
      </c>
      <c r="E239" s="236">
        <f t="shared" si="13"/>
        <v>-4.6026640106436902E-3</v>
      </c>
      <c r="F239" s="236">
        <f t="shared" si="14"/>
        <v>-7.3027857711971519E-4</v>
      </c>
      <c r="G239" s="77">
        <f>_xll.qlYieldTSForwardRate($C$4,B239,B239,"Act/365 (fixed)","Continuous",,TRUE)</f>
        <v>4.7833277863578404E-2</v>
      </c>
      <c r="H239" s="242">
        <f>(_xll.qlYieldTSDiscount($C$4,B239)-_xll.qlYieldTSDiscount($C$3,B239))/1%</f>
        <v>-0.78450861872956801</v>
      </c>
      <c r="I239" s="245">
        <v>0</v>
      </c>
    </row>
    <row r="240" spans="2:9">
      <c r="B240" s="111">
        <f>_xll.qlCalendarAdvance("Null",B239,"1m")</f>
        <v>50253</v>
      </c>
      <c r="C240" s="112">
        <f t="shared" si="12"/>
        <v>17.846575342465755</v>
      </c>
      <c r="D240" s="77">
        <f>_xll.qlYieldTSForwardRate($C$3,B240,B240,"Act/365 (fixed)","Continuous",,TRUE)</f>
        <v>4.6105758865199284E-2</v>
      </c>
      <c r="E240" s="236">
        <f t="shared" si="13"/>
        <v>-4.6617835847257037E-3</v>
      </c>
      <c r="F240" s="236">
        <f t="shared" si="14"/>
        <v>-6.8004896301493824E-4</v>
      </c>
      <c r="G240" s="77">
        <f>_xll.qlYieldTSForwardRate($C$4,B240,B240,"Act/365 (fixed)","Continuous",,TRUE)</f>
        <v>4.774570044379272E-2</v>
      </c>
      <c r="H240" s="242">
        <f>(_xll.qlYieldTSDiscount($C$4,B240)-_xll.qlYieldTSDiscount($C$3,B240))/1%</f>
        <v>-0.7882327027965097</v>
      </c>
      <c r="I240" s="245">
        <v>0</v>
      </c>
    </row>
    <row r="241" spans="2:9">
      <c r="B241" s="111">
        <f>_xll.qlCalendarAdvance("Null",B240,"1m")</f>
        <v>50284</v>
      </c>
      <c r="C241" s="112">
        <f t="shared" si="12"/>
        <v>17.931506849315067</v>
      </c>
      <c r="D241" s="77">
        <f>_xll.qlYieldTSForwardRate($C$3,B241,B241,"Act/365 (fixed)","Continuous",,TRUE)</f>
        <v>4.6065916341905828E-2</v>
      </c>
      <c r="E241" s="236">
        <f t="shared" si="13"/>
        <v>-4.718179176964034E-3</v>
      </c>
      <c r="F241" s="236">
        <f t="shared" si="14"/>
        <v>-6.6344710008899813E-4</v>
      </c>
      <c r="G241" s="77">
        <f>_xll.qlYieldTSForwardRate($C$4,B241,B241,"Act/365 (fixed)","Continuous",,TRUE)</f>
        <v>4.7654416092824115E-2</v>
      </c>
      <c r="H241" s="242">
        <f>(_xll.qlYieldTSDiscount($C$4,B241)-_xll.qlYieldTSDiscount($C$3,B241))/1%</f>
        <v>-0.79171476956092501</v>
      </c>
      <c r="I241" s="245">
        <v>0</v>
      </c>
    </row>
    <row r="242" spans="2:9">
      <c r="B242" s="111">
        <f>_xll.qlCalendarAdvance("Null",B241,"1m")</f>
        <v>50314</v>
      </c>
      <c r="C242" s="112">
        <f t="shared" si="12"/>
        <v>18.013698630136986</v>
      </c>
      <c r="D242" s="77">
        <f>_xll.qlYieldTSForwardRate($C$3,B242,B242,"Act/365 (fixed)","Continuous",,TRUE)</f>
        <v>4.6026907103611667E-2</v>
      </c>
      <c r="E242" s="236">
        <f t="shared" si="13"/>
        <v>-4.7726610452885213E-3</v>
      </c>
      <c r="F242" s="236">
        <f t="shared" si="14"/>
        <v>-6.2526681412670472E-4</v>
      </c>
      <c r="G242" s="77">
        <f>_xll.qlYieldTSForwardRate($C$4,B242,B242,"Act/365 (fixed)","Continuous",,TRUE)</f>
        <v>4.756280004570769E-2</v>
      </c>
      <c r="H242" s="242">
        <f>(_xll.qlYieldTSDiscount($C$4,B242)-_xll.qlYieldTSDiscount($C$3,B242))/1%</f>
        <v>-0.7948449436816829</v>
      </c>
      <c r="I242" s="245">
        <v>0</v>
      </c>
    </row>
    <row r="243" spans="2:9">
      <c r="B243" s="111">
        <f>_xll.qlCalendarAdvance("Null",B242,"1m")</f>
        <v>50345</v>
      </c>
      <c r="C243" s="112">
        <f t="shared" si="12"/>
        <v>18.098630136986301</v>
      </c>
      <c r="D243" s="77">
        <f>_xll.qlYieldTSForwardRate($C$3,B243,B243,"Act/365 (fixed)","Continuous",,TRUE)</f>
        <v>4.5986154061422924E-2</v>
      </c>
      <c r="E243" s="236">
        <f t="shared" si="13"/>
        <v>-4.8226758226126076E-3</v>
      </c>
      <c r="F243" s="236">
        <f t="shared" si="14"/>
        <v>-5.9176176583930842E-4</v>
      </c>
      <c r="G243" s="77">
        <f>_xll.qlYieldTSForwardRate($C$4,B243,B243,"Act/365 (fixed)","Continuous",,TRUE)</f>
        <v>4.746500612888415E-2</v>
      </c>
      <c r="H243" s="242">
        <f>(_xll.qlYieldTSDiscount($C$4,B243)-_xll.qlYieldTSDiscount($C$3,B243))/1%</f>
        <v>-0.79782358122169605</v>
      </c>
      <c r="I243" s="245">
        <v>0</v>
      </c>
    </row>
    <row r="244" spans="2:9">
      <c r="B244" s="111">
        <f>_xll.qlCalendarAdvance("Null",B243,"1m")</f>
        <v>50375</v>
      </c>
      <c r="C244" s="112">
        <f t="shared" si="12"/>
        <v>18.18082191780822</v>
      </c>
      <c r="D244" s="77">
        <f>_xll.qlYieldTSForwardRate($C$3,B244,B244,"Act/365 (fixed)","Continuous",,TRUE)</f>
        <v>4.5946308959726907E-2</v>
      </c>
      <c r="E244" s="236">
        <f t="shared" si="13"/>
        <v>-4.8715582171137218E-3</v>
      </c>
      <c r="F244" s="236">
        <f t="shared" si="14"/>
        <v>-5.6356021895182992E-4</v>
      </c>
      <c r="G244" s="77">
        <f>_xll.qlYieldTSForwardRate($C$4,B244,B244,"Act/365 (fixed)","Continuous",,TRUE)</f>
        <v>4.7367594010553023E-2</v>
      </c>
      <c r="H244" s="242">
        <f>(_xll.qlYieldTSDiscount($C$4,B244)-_xll.qlYieldTSDiscount($C$3,B244))/1%</f>
        <v>-0.80045158627226609</v>
      </c>
      <c r="I244" s="245">
        <v>0</v>
      </c>
    </row>
    <row r="245" spans="2:9">
      <c r="B245" s="111">
        <f>_xll.qlCalendarAdvance("Null",B244,"1m")</f>
        <v>50406</v>
      </c>
      <c r="C245" s="112">
        <f t="shared" si="12"/>
        <v>18.265753424657536</v>
      </c>
      <c r="D245" s="77">
        <f>_xll.qlYieldTSForwardRate($C$3,B245,B245,"Act/365 (fixed)","Continuous",,TRUE)</f>
        <v>4.5904738978890337E-2</v>
      </c>
      <c r="E245" s="236">
        <f t="shared" si="13"/>
        <v>-4.9168598592045582E-3</v>
      </c>
      <c r="F245" s="236">
        <f t="shared" si="14"/>
        <v>-5.0956784723642863E-4</v>
      </c>
      <c r="G245" s="77">
        <f>_xll.qlYieldTSForwardRate($C$4,B245,B245,"Act/365 (fixed)","Continuous",,TRUE)</f>
        <v>4.7264331121303869E-2</v>
      </c>
      <c r="H245" s="242">
        <f>(_xll.qlYieldTSDiscount($C$4,B245)-_xll.qlYieldTSDiscount($C$3,B245))/1%</f>
        <v>-0.80289798978994686</v>
      </c>
      <c r="I245" s="245">
        <v>0</v>
      </c>
    </row>
    <row r="246" spans="2:9">
      <c r="B246" s="111">
        <f>_xll.qlCalendarAdvance("Null",B245,"1m")</f>
        <v>50437</v>
      </c>
      <c r="C246" s="112">
        <f t="shared" si="12"/>
        <v>18.350684931506848</v>
      </c>
      <c r="D246" s="77">
        <f>_xll.qlYieldTSForwardRate($C$3,B246,B246,"Act/365 (fixed)","Continuous",,TRUE)</f>
        <v>4.5862789696365078E-2</v>
      </c>
      <c r="E246" s="236">
        <f t="shared" si="13"/>
        <v>-4.9581149473292233E-3</v>
      </c>
      <c r="F246" s="236">
        <f t="shared" si="14"/>
        <v>-5.0595338173216916E-4</v>
      </c>
      <c r="G246" s="77">
        <f>_xll.qlYieldTSForwardRate($C$4,B246,B246,"Act/365 (fixed)","Continuous",,TRUE)</f>
        <v>4.7158687706446441E-2</v>
      </c>
      <c r="H246" s="242">
        <f>(_xll.qlYieldTSDiscount($C$4,B246)-_xll.qlYieldTSDiscount($C$3,B246))/1%</f>
        <v>-0.80506557890769881</v>
      </c>
      <c r="I246" s="245">
        <v>0</v>
      </c>
    </row>
    <row r="247" spans="2:9">
      <c r="B247" s="111">
        <f>_xll.qlCalendarAdvance("Null",B246,"1m")</f>
        <v>50465</v>
      </c>
      <c r="C247" s="112">
        <f t="shared" si="12"/>
        <v>18.427397260273974</v>
      </c>
      <c r="D247" s="77">
        <f>_xll.qlYieldTSForwardRate($C$3,B247,B247,"Act/365 (fixed)","Continuous",,TRUE)</f>
        <v>4.5824594107138988E-2</v>
      </c>
      <c r="E247" s="236">
        <f t="shared" si="13"/>
        <v>-4.9986441044708538E-3</v>
      </c>
      <c r="F247" s="236">
        <f t="shared" si="14"/>
        <v>-4.691662278913626E-4</v>
      </c>
      <c r="G247" s="77">
        <f>_xll.qlYieldTSForwardRate($C$4,B247,B247,"Act/365 (fixed)","Continuous",,TRUE)</f>
        <v>4.7061445275260794E-2</v>
      </c>
      <c r="H247" s="242">
        <f>(_xll.qlYieldTSDiscount($C$4,B247)-_xll.qlYieldTSDiscount($C$3,B247))/1%</f>
        <v>-0.80678024405649307</v>
      </c>
      <c r="I247" s="245">
        <v>0</v>
      </c>
    </row>
    <row r="248" spans="2:9">
      <c r="B248" s="111">
        <f>_xll.qlCalendarAdvance("Null",B247,"1m")</f>
        <v>50496</v>
      </c>
      <c r="C248" s="112">
        <f t="shared" si="12"/>
        <v>18.512328767123286</v>
      </c>
      <c r="D248" s="77">
        <f>_xll.qlYieldTSForwardRate($C$3,B248,B248,"Act/365 (fixed)","Continuous",,TRUE)</f>
        <v>4.5781989695772261E-2</v>
      </c>
      <c r="E248" s="236">
        <f t="shared" si="13"/>
        <v>-5.033952775947279E-3</v>
      </c>
      <c r="F248" s="236">
        <f t="shared" si="14"/>
        <v>-4.2082760150308869E-4</v>
      </c>
      <c r="G248" s="77">
        <f>_xll.qlYieldTSForwardRate($C$4,B248,B248,"Act/365 (fixed)","Continuous",,TRUE)</f>
        <v>4.6952013668521635E-2</v>
      </c>
      <c r="H248" s="242">
        <f>(_xll.qlYieldTSDiscount($C$4,B248)-_xll.qlYieldTSDiscount($C$3,B248))/1%</f>
        <v>-0.80840647033879054</v>
      </c>
      <c r="I248" s="245">
        <v>0</v>
      </c>
    </row>
    <row r="249" spans="2:9">
      <c r="B249" s="111">
        <f>_xll.qlCalendarAdvance("Null",B248,"1m")</f>
        <v>50526</v>
      </c>
      <c r="C249" s="112">
        <f t="shared" si="12"/>
        <v>18.594520547945205</v>
      </c>
      <c r="D249" s="77">
        <f>_xll.qlYieldTSForwardRate($C$3,B249,B249,"Act/365 (fixed)","Continuous",,TRUE)</f>
        <v>4.5740465033349186E-2</v>
      </c>
      <c r="E249" s="236">
        <f t="shared" si="13"/>
        <v>-5.0689741967768487E-3</v>
      </c>
      <c r="F249" s="236">
        <f t="shared" si="14"/>
        <v>-3.9613663469354826E-4</v>
      </c>
      <c r="G249" s="77">
        <f>_xll.qlYieldTSForwardRate($C$4,B249,B249,"Act/365 (fixed)","Continuous",,TRUE)</f>
        <v>4.6844585668471404E-2</v>
      </c>
      <c r="H249" s="242">
        <f>(_xll.qlYieldTSDiscount($C$4,B249)-_xll.qlYieldTSDiscount($C$3,B249))/1%</f>
        <v>-0.80970593162910665</v>
      </c>
      <c r="I249" s="245">
        <v>0</v>
      </c>
    </row>
    <row r="250" spans="2:9">
      <c r="B250" s="111">
        <f>_xll.qlCalendarAdvance("Null",B249,"1m")</f>
        <v>50557</v>
      </c>
      <c r="C250" s="112">
        <f t="shared" si="12"/>
        <v>18.67945205479452</v>
      </c>
      <c r="D250" s="77">
        <f>_xll.qlYieldTSForwardRate($C$3,B250,B250,"Act/365 (fixed)","Continuous",,TRUE)</f>
        <v>4.5697275332483661E-2</v>
      </c>
      <c r="E250" s="236">
        <f t="shared" si="13"/>
        <v>-5.1001564327042836E-3</v>
      </c>
      <c r="F250" s="236">
        <f t="shared" si="14"/>
        <v>-3.6263158292806457E-4</v>
      </c>
      <c r="G250" s="77">
        <f>_xll.qlYieldTSForwardRate($C$4,B250,B250,"Act/365 (fixed)","Continuous",,TRUE)</f>
        <v>4.6732260984888169E-2</v>
      </c>
      <c r="H250" s="242">
        <f>(_xll.qlYieldTSDiscount($C$4,B250)-_xll.qlYieldTSDiscount($C$3,B250))/1%</f>
        <v>-0.81076406861464445</v>
      </c>
      <c r="I250" s="245">
        <v>0</v>
      </c>
    </row>
    <row r="251" spans="2:9">
      <c r="B251" s="111">
        <f>_xll.qlCalendarAdvance("Null",B250,"1m")</f>
        <v>50587</v>
      </c>
      <c r="C251" s="112">
        <f t="shared" si="12"/>
        <v>18.761643835616439</v>
      </c>
      <c r="D251" s="77">
        <f>_xll.qlYieldTSForwardRate($C$3,B251,B251,"Act/365 (fixed)","Continuous",,TRUE)</f>
        <v>4.5655229542282072E-2</v>
      </c>
      <c r="E251" s="236">
        <f t="shared" si="13"/>
        <v>-5.1295783791292108E-3</v>
      </c>
      <c r="F251" s="236">
        <f t="shared" si="14"/>
        <v>-3.3255079335968955E-4</v>
      </c>
      <c r="G251" s="77">
        <f>_xll.qlYieldTSForwardRate($C$4,B251,B251,"Act/365 (fixed)","Continuous",,TRUE)</f>
        <v>4.6622536752207927E-2</v>
      </c>
      <c r="H251" s="242">
        <f>(_xll.qlYieldTSDiscount($C$4,B251)-_xll.qlYieldTSDiscount($C$3,B251))/1%</f>
        <v>-0.81151238276239157</v>
      </c>
      <c r="I251" s="245">
        <v>0</v>
      </c>
    </row>
    <row r="252" spans="2:9">
      <c r="B252" s="111">
        <f>_xll.qlCalendarAdvance("Null",B251,"1m")</f>
        <v>50618</v>
      </c>
      <c r="C252" s="112">
        <f t="shared" si="12"/>
        <v>18.846575342465755</v>
      </c>
      <c r="D252" s="77">
        <f>_xll.qlYieldTSForwardRate($C$3,B252,B252,"Act/365 (fixed)","Continuous",,TRUE)</f>
        <v>4.5611548132174926E-2</v>
      </c>
      <c r="E252" s="236">
        <f t="shared" si="13"/>
        <v>-5.1557334146082323E-3</v>
      </c>
      <c r="F252" s="236">
        <f t="shared" si="14"/>
        <v>-2.919171436222752E-4</v>
      </c>
      <c r="G252" s="77">
        <f>_xll.qlYieldTSForwardRate($C$4,B252,B252,"Act/365 (fixed)","Continuous",,TRUE)</f>
        <v>4.6508359594354953E-2</v>
      </c>
      <c r="H252" s="242">
        <f>(_xll.qlYieldTSDiscount($C$4,B252)-_xll.qlYieldTSDiscount($C$3,B252))/1%</f>
        <v>-0.81200144914995165</v>
      </c>
      <c r="I252" s="245">
        <v>0</v>
      </c>
    </row>
    <row r="253" spans="2:9">
      <c r="B253" s="111">
        <f>_xll.qlCalendarAdvance("Null",B252,"1m")</f>
        <v>50649</v>
      </c>
      <c r="C253" s="112">
        <f t="shared" si="12"/>
        <v>18.931506849315067</v>
      </c>
      <c r="D253" s="77">
        <f>_xll.qlYieldTSForwardRate($C$3,B253,B253,"Act/365 (fixed)","Continuous",,TRUE)</f>
        <v>4.5567652700718865E-2</v>
      </c>
      <c r="E253" s="236">
        <f t="shared" si="13"/>
        <v>-5.1791643048951855E-3</v>
      </c>
      <c r="F253" s="236">
        <f t="shared" si="14"/>
        <v>-2.6571912491153189E-4</v>
      </c>
      <c r="G253" s="77">
        <f>_xll.qlYieldTSForwardRate($C$4,B253,B253,"Act/365 (fixed)","Continuous",,TRUE)</f>
        <v>4.6393639798448995E-2</v>
      </c>
      <c r="H253" s="242">
        <f>(_xll.qlYieldTSDiscount($C$4,B253)-_xll.qlYieldTSDiscount($C$3,B253))/1%</f>
        <v>-0.81220329752995091</v>
      </c>
      <c r="I253" s="245">
        <v>0</v>
      </c>
    </row>
    <row r="254" spans="2:9">
      <c r="B254" s="111">
        <f>_xll.qlCalendarAdvance("Null",B253,"1m")</f>
        <v>50679</v>
      </c>
      <c r="C254" s="112">
        <f t="shared" si="12"/>
        <v>19.013698630136986</v>
      </c>
      <c r="D254" s="77">
        <f>_xll.qlYieldTSForwardRate($C$3,B254,B254,"Act/365 (fixed)","Continuous",,TRUE)</f>
        <v>4.5524992235572569E-2</v>
      </c>
      <c r="E254" s="236">
        <f t="shared" si="13"/>
        <v>-5.20014126836057E-3</v>
      </c>
      <c r="F254" s="236">
        <f t="shared" si="14"/>
        <v>-2.3077375600259631E-4</v>
      </c>
      <c r="G254" s="77">
        <f>_xll.qlYieldTSForwardRate($C$4,B254,B254,"Act/365 (fixed)","Continuous",,TRUE)</f>
        <v>4.6282357113679472E-2</v>
      </c>
      <c r="H254" s="242">
        <f>(_xll.qlYieldTSDiscount($C$4,B254)-_xll.qlYieldTSDiscount($C$3,B254))/1%</f>
        <v>-0.812127583593375</v>
      </c>
      <c r="I254" s="245">
        <v>0</v>
      </c>
    </row>
    <row r="255" spans="2:9">
      <c r="B255" s="111">
        <f>_xll.qlCalendarAdvance("Null",B254,"1m")</f>
        <v>50710</v>
      </c>
      <c r="C255" s="112">
        <f t="shared" si="12"/>
        <v>19.098630136986301</v>
      </c>
      <c r="D255" s="77">
        <f>_xll.qlYieldTSForwardRate($C$3,B255,B255,"Act/365 (fixed)","Continuous",,TRUE)</f>
        <v>4.5480746230206537E-2</v>
      </c>
      <c r="E255" s="236">
        <f t="shared" si="13"/>
        <v>-5.2177319737065787E-3</v>
      </c>
      <c r="F255" s="236">
        <f t="shared" si="14"/>
        <v>-1.9726790644625084E-4</v>
      </c>
      <c r="G255" s="77">
        <f>_xll.qlYieldTSForwardRate($C$4,B255,B255,"Act/365 (fixed)","Continuous",,TRUE)</f>
        <v>4.6167354265127455E-2</v>
      </c>
      <c r="H255" s="242">
        <f>(_xll.qlYieldTSDiscount($C$4,B255)-_xll.qlYieldTSDiscount($C$3,B255))/1%</f>
        <v>-0.81177264192076048</v>
      </c>
      <c r="I255" s="245">
        <v>0</v>
      </c>
    </row>
    <row r="256" spans="2:9">
      <c r="B256" s="111">
        <f>_xll.qlCalendarAdvance("Null",B255,"1m")</f>
        <v>50740</v>
      </c>
      <c r="C256" s="112">
        <f t="shared" si="12"/>
        <v>19.18082191780822</v>
      </c>
      <c r="D256" s="77">
        <f>_xll.qlYieldTSForwardRate($C$3,B256,B256,"Act/365 (fixed)","Continuous",,TRUE)</f>
        <v>4.5437791783409252E-2</v>
      </c>
      <c r="E256" s="236">
        <f t="shared" si="13"/>
        <v>-5.233109329437889E-3</v>
      </c>
      <c r="F256" s="236">
        <f t="shared" si="14"/>
        <v>-1.6583291747229752E-4</v>
      </c>
      <c r="G256" s="77">
        <f>_xll.qlYieldTSForwardRate($C$4,B256,B256,"Act/365 (fixed)","Continuous",,TRUE)</f>
        <v>4.6056301170903834E-2</v>
      </c>
      <c r="H256" s="242">
        <f>(_xll.qlYieldTSDiscount($C$4,B256)-_xll.qlYieldTSDiscount($C$3,B256))/1%</f>
        <v>-0.81116543116200868</v>
      </c>
      <c r="I256" s="245">
        <v>0</v>
      </c>
    </row>
    <row r="257" spans="2:9">
      <c r="B257" s="111">
        <f>_xll.qlCalendarAdvance("Null",B256,"1m")</f>
        <v>50771</v>
      </c>
      <c r="C257" s="112">
        <f t="shared" si="12"/>
        <v>19.265753424657536</v>
      </c>
      <c r="D257" s="77">
        <f>_xll.qlYieldTSForwardRate($C$3,B257,B257,"Act/365 (fixed)","Continuous",,TRUE)</f>
        <v>4.539328878661867E-2</v>
      </c>
      <c r="E257" s="236">
        <f t="shared" si="13"/>
        <v>-5.2454465160786615E-3</v>
      </c>
      <c r="F257" s="236">
        <f t="shared" si="14"/>
        <v>-1.2780006893697122E-4</v>
      </c>
      <c r="G257" s="77">
        <f>_xll.qlYieldTSForwardRate($C$4,B257,B257,"Act/365 (fixed)","Continuous",,TRUE)</f>
        <v>4.5942055863630003E-2</v>
      </c>
      <c r="H257" s="242">
        <f>(_xll.qlYieldTSDiscount($C$4,B257)-_xll.qlYieldTSDiscount($C$3,B257))/1%</f>
        <v>-0.81027055269045078</v>
      </c>
      <c r="I257" s="245">
        <v>0</v>
      </c>
    </row>
    <row r="258" spans="2:9">
      <c r="B258" s="111">
        <f>_xll.qlCalendarAdvance("Null",B257,"1m")</f>
        <v>50802</v>
      </c>
      <c r="C258" s="112">
        <f t="shared" si="12"/>
        <v>19.350684931506848</v>
      </c>
      <c r="D258" s="77">
        <f>_xll.qlYieldTSForwardRate($C$3,B258,B258,"Act/365 (fixed)","Continuous",,TRUE)</f>
        <v>4.5348691048067644E-2</v>
      </c>
      <c r="E258" s="236">
        <f t="shared" si="13"/>
        <v>-5.2548178342984152E-3</v>
      </c>
      <c r="F258" s="236">
        <f t="shared" si="14"/>
        <v>-1.0143009626832364E-4</v>
      </c>
      <c r="G258" s="77">
        <f>_xll.qlYieldTSForwardRate($C$4,B258,B258,"Act/365 (fixed)","Continuous",,TRUE)</f>
        <v>4.5828594324505555E-2</v>
      </c>
      <c r="H258" s="242">
        <f>(_xll.qlYieldTSDiscount($C$4,B258)-_xll.qlYieldTSDiscount($C$3,B258))/1%</f>
        <v>-0.8091098735378055</v>
      </c>
      <c r="I258" s="245">
        <v>0</v>
      </c>
    </row>
    <row r="259" spans="2:9">
      <c r="B259" s="111">
        <f>_xll.qlCalendarAdvance("Null",B258,"1m")</f>
        <v>50830</v>
      </c>
      <c r="C259" s="112">
        <f t="shared" si="12"/>
        <v>19.427397260273974</v>
      </c>
      <c r="D259" s="77">
        <f>_xll.qlYieldTSForwardRate($C$3,B259,B259,"Act/365 (fixed)","Continuous",,TRUE)</f>
        <v>4.5308347895598504E-2</v>
      </c>
      <c r="E259" s="236">
        <f t="shared" si="13"/>
        <v>-5.2618420658864179E-3</v>
      </c>
      <c r="F259" s="236">
        <f t="shared" si="14"/>
        <v>-6.7985024901182171E-5</v>
      </c>
      <c r="G259" s="77">
        <f>_xll.qlYieldTSForwardRate($C$4,B259,B259,"Act/365 (fixed)","Continuous",,TRUE)</f>
        <v>4.5727010139955594E-2</v>
      </c>
      <c r="H259" s="242">
        <f>(_xll.qlYieldTSDiscount($C$4,B259)-_xll.qlYieldTSDiscount($C$3,B259))/1%</f>
        <v>-0.80783879081290366</v>
      </c>
      <c r="I259" s="245">
        <v>0</v>
      </c>
    </row>
    <row r="260" spans="2:9">
      <c r="B260" s="111">
        <f>_xll.qlCalendarAdvance("Null",B259,"1m")</f>
        <v>50861</v>
      </c>
      <c r="C260" s="112">
        <f t="shared" si="12"/>
        <v>19.512328767123286</v>
      </c>
      <c r="D260" s="77">
        <f>_xll.qlYieldTSForwardRate($C$3,B260,B260,"Act/365 (fixed)","Continuous",,TRUE)</f>
        <v>4.5263636614673863E-2</v>
      </c>
      <c r="E260" s="236">
        <f t="shared" si="13"/>
        <v>-5.2658071944879214E-3</v>
      </c>
      <c r="F260" s="236">
        <f t="shared" si="14"/>
        <v>-3.2799186750158654E-5</v>
      </c>
      <c r="G260" s="77">
        <f>_xll.qlYieldTSForwardRate($C$4,B260,B260,"Act/365 (fixed)","Continuous",,TRUE)</f>
        <v>4.5615782774369465E-2</v>
      </c>
      <c r="H260" s="242">
        <f>(_xll.qlYieldTSDiscount($C$4,B260)-_xll.qlYieldTSDiscount($C$3,B260))/1%</f>
        <v>-0.80619202231571596</v>
      </c>
      <c r="I260" s="245">
        <v>0</v>
      </c>
    </row>
    <row r="261" spans="2:9">
      <c r="B261" s="111">
        <f>_xll.qlCalendarAdvance("Null",B260,"1m")</f>
        <v>50891</v>
      </c>
      <c r="C261" s="112">
        <f t="shared" si="12"/>
        <v>19.594520547945205</v>
      </c>
      <c r="D261" s="77">
        <f>_xll.qlYieldTSForwardRate($C$3,B261,B261,"Act/365 (fixed)","Continuous",,TRUE)</f>
        <v>4.522034399453994E-2</v>
      </c>
      <c r="E261" s="236">
        <f t="shared" si="13"/>
        <v>-5.2673235738090471E-3</v>
      </c>
      <c r="F261" s="236">
        <f t="shared" si="14"/>
        <v>-1.6427366784449771E-6</v>
      </c>
      <c r="G261" s="77">
        <f>_xll.qlYieldTSForwardRate($C$4,B261,B261,"Act/365 (fixed)","Continuous",,TRUE)</f>
        <v>4.5509629772030963E-2</v>
      </c>
      <c r="H261" s="242">
        <f>(_xll.qlYieldTSDiscount($C$4,B261)-_xll.qlYieldTSDiscount($C$3,B261))/1%</f>
        <v>-0.80436647995195676</v>
      </c>
      <c r="I261" s="245">
        <v>0</v>
      </c>
    </row>
    <row r="262" spans="2:9">
      <c r="B262" s="111">
        <f>_xll.qlCalendarAdvance("Null",B261,"1m")</f>
        <v>50922</v>
      </c>
      <c r="C262" s="112">
        <f t="shared" si="12"/>
        <v>19.67945205479452</v>
      </c>
      <c r="D262" s="77">
        <f>_xll.qlYieldTSForwardRate($C$3,B262,B262,"Act/365 (fixed)","Continuous",,TRUE)</f>
        <v>4.5175607371385547E-2</v>
      </c>
      <c r="E262" s="236">
        <f t="shared" si="13"/>
        <v>-5.2660817340424012E-3</v>
      </c>
      <c r="F262" s="236">
        <f t="shared" si="14"/>
        <v>3.1861526952865151E-5</v>
      </c>
      <c r="G262" s="77">
        <f>_xll.qlYieldTSForwardRate($C$4,B262,B262,"Act/365 (fixed)","Continuous",,TRUE)</f>
        <v>4.5401735844626763E-2</v>
      </c>
      <c r="H262" s="242">
        <f>(_xll.qlYieldTSDiscount($C$4,B262)-_xll.qlYieldTSDiscount($C$3,B262))/1%</f>
        <v>-0.80224947200745467</v>
      </c>
      <c r="I262" s="245">
        <v>0</v>
      </c>
    </row>
    <row r="263" spans="2:9">
      <c r="B263" s="111">
        <f>_xll.qlCalendarAdvance("Null",B262,"1m")</f>
        <v>50952</v>
      </c>
      <c r="C263" s="112">
        <f t="shared" si="12"/>
        <v>19.761643835616439</v>
      </c>
      <c r="D263" s="77">
        <f>_xll.qlYieldTSForwardRate($C$3,B263,B263,"Act/365 (fixed)","Continuous",,TRUE)</f>
        <v>4.5132335505286079E-2</v>
      </c>
      <c r="E263" s="236">
        <f t="shared" si="13"/>
        <v>-5.2619987706744586E-3</v>
      </c>
      <c r="F263" s="236">
        <f t="shared" si="14"/>
        <v>6.5175977466303954E-5</v>
      </c>
      <c r="G263" s="77">
        <f>_xll.qlYieldTSForwardRate($C$4,B263,B263,"Act/365 (fixed)","Continuous",,TRUE)</f>
        <v>4.5299312270984327E-2</v>
      </c>
      <c r="H263" s="242">
        <f>(_xll.qlYieldTSDiscount($C$4,B263)-_xll.qlYieldTSDiscount($C$3,B263))/1%</f>
        <v>-0.79998692112174252</v>
      </c>
      <c r="I263" s="245">
        <v>0</v>
      </c>
    </row>
    <row r="264" spans="2:9">
      <c r="B264" s="111">
        <f>_xll.qlCalendarAdvance("Null",B263,"1m")</f>
        <v>50983</v>
      </c>
      <c r="C264" s="112">
        <f t="shared" si="12"/>
        <v>19.846575342465755</v>
      </c>
      <c r="D264" s="77">
        <f>_xll.qlYieldTSForwardRate($C$3,B264,B264,"Act/365 (fixed)","Continuous",,TRUE)</f>
        <v>4.5087667117957836E-2</v>
      </c>
      <c r="E264" s="236">
        <f t="shared" si="13"/>
        <v>-5.2551893104110462E-3</v>
      </c>
      <c r="F264" s="236">
        <f t="shared" si="14"/>
        <v>9.6214751922585472E-5</v>
      </c>
      <c r="G264" s="77">
        <f>_xll.qlYieldTSForwardRate($C$4,B264,B264,"Act/365 (fixed)","Continuous",,TRUE)</f>
        <v>4.5195792380435883E-2</v>
      </c>
      <c r="H264" s="242">
        <f>(_xll.qlYieldTSDiscount($C$4,B264)-_xll.qlYieldTSDiscount($C$3,B264))/1%</f>
        <v>-0.79743848256967342</v>
      </c>
      <c r="I264" s="245">
        <v>0</v>
      </c>
    </row>
    <row r="265" spans="2:9">
      <c r="B265" s="111">
        <f>_xll.qlCalendarAdvance("Null",B264,"1m")</f>
        <v>51014</v>
      </c>
      <c r="C265" s="112">
        <f t="shared" si="12"/>
        <v>19.931506849315067</v>
      </c>
      <c r="D265" s="77">
        <f>_xll.qlYieldTSForwardRate($C$3,B265,B265,"Act/365 (fixed)","Continuous",,TRUE)</f>
        <v>4.5043069275903756E-2</v>
      </c>
      <c r="E265" s="236">
        <f t="shared" si="13"/>
        <v>-5.2456554429506225E-3</v>
      </c>
      <c r="F265" s="236">
        <f t="shared" si="14"/>
        <v>1.3129293375023707E-4</v>
      </c>
      <c r="G265" s="77">
        <f>_xll.qlYieldTSForwardRate($C$4,B265,B265,"Act/365 (fixed)","Continuous",,TRUE)</f>
        <v>4.5094894148762339E-2</v>
      </c>
      <c r="H265" s="242">
        <f>(_xll.qlYieldTSDiscount($C$4,B265)-_xll.qlYieldTSDiscount($C$3,B265))/1%</f>
        <v>-0.79468752473018101</v>
      </c>
      <c r="I265" s="245">
        <v>0</v>
      </c>
    </row>
    <row r="266" spans="2:9">
      <c r="B266" s="111">
        <f>_xll.qlCalendarAdvance("Null",B265,"1m")</f>
        <v>51044</v>
      </c>
      <c r="C266" s="112">
        <f t="shared" si="12"/>
        <v>20.013698630136986</v>
      </c>
      <c r="D266" s="77">
        <f>_xll.qlYieldTSForwardRate($C$3,B266,B266,"Act/365 (fixed)","Continuous",,TRUE)</f>
        <v>4.4999999999596196E-2</v>
      </c>
      <c r="E266" s="236">
        <f t="shared" si="13"/>
        <v>-5.2332472036747055E-3</v>
      </c>
      <c r="F266" s="236">
        <f t="shared" si="14"/>
        <v>1.582577663846307E-4</v>
      </c>
      <c r="G266" s="77">
        <f>_xll.qlYieldTSForwardRate($C$4,B266,B266,"Act/365 (fixed)","Continuous",,TRUE)</f>
        <v>4.4999999999596196E-2</v>
      </c>
      <c r="H266" s="242">
        <f>(_xll.qlYieldTSDiscount($C$4,B266)-_xll.qlYieldTSDiscount($C$3,B266))/1%</f>
        <v>-0.79184401837827934</v>
      </c>
      <c r="I266" s="245">
        <v>0</v>
      </c>
    </row>
    <row r="267" spans="2:9">
      <c r="B267" s="111">
        <f>_xll.qlCalendarAdvance("Null",B266,"1m")</f>
        <v>51075</v>
      </c>
      <c r="C267" s="112">
        <f t="shared" si="12"/>
        <v>20.098630136986301</v>
      </c>
      <c r="D267" s="77">
        <f>_xll.qlYieldTSForwardRate($C$3,B267,B267,"Act/365 (fixed)","Continuous",,TRUE)</f>
        <v>4.4955609528116315E-2</v>
      </c>
      <c r="E267" s="236">
        <f t="shared" si="13"/>
        <v>-5.2192068847329168E-3</v>
      </c>
      <c r="F267" s="236">
        <f t="shared" si="14"/>
        <v>1.7991978908046333E-4</v>
      </c>
      <c r="G267" s="77">
        <f>_xll.qlYieldTSForwardRate($C$4,B267,B267,"Act/365 (fixed)","Continuous",,TRUE)</f>
        <v>4.4904991743539929E-2</v>
      </c>
      <c r="H267" s="242">
        <f>(_xll.qlYieldTSDiscount($C$4,B267)-_xll.qlYieldTSDiscount($C$3,B267))/1%</f>
        <v>-0.78873096594838099</v>
      </c>
      <c r="I267" s="245">
        <v>0</v>
      </c>
    </row>
    <row r="268" spans="2:9">
      <c r="B268" s="111">
        <f>_xll.qlCalendarAdvance("Null",B267,"1m")</f>
        <v>51105</v>
      </c>
      <c r="C268" s="112">
        <f t="shared" si="12"/>
        <v>20.18082191780822</v>
      </c>
      <c r="D268" s="77">
        <f>_xll.qlYieldTSForwardRate($C$3,B268,B268,"Act/365 (fixed)","Continuous",,TRUE)</f>
        <v>4.4912774898234906E-2</v>
      </c>
      <c r="E268" s="236">
        <f t="shared" si="13"/>
        <v>-5.2031784170064634E-3</v>
      </c>
      <c r="F268" s="236">
        <f t="shared" si="14"/>
        <v>1.9867188496905611E-4</v>
      </c>
      <c r="G268" s="77">
        <f>_xll.qlYieldTSForwardRate($C$4,B268,B268,"Act/365 (fixed)","Continuous",,TRUE)</f>
        <v>4.4815998818946212E-2</v>
      </c>
      <c r="H268" s="242">
        <f>(_xll.qlYieldTSDiscount($C$4,B268)-_xll.qlYieldTSDiscount($C$3,B268))/1%</f>
        <v>-0.78556136686888101</v>
      </c>
      <c r="I268" s="245">
        <v>0</v>
      </c>
    </row>
    <row r="269" spans="2:9">
      <c r="B269" s="111">
        <f>_xll.qlCalendarAdvance("Null",B268,"1m")</f>
        <v>51136</v>
      </c>
      <c r="C269" s="112">
        <f t="shared" si="12"/>
        <v>20.265753424657536</v>
      </c>
      <c r="D269" s="77">
        <f>_xll.qlYieldTSForwardRate($C$3,B269,B269,"Act/365 (fixed)","Continuous",,TRUE)</f>
        <v>4.4868652299777302E-2</v>
      </c>
      <c r="E269" s="236">
        <f t="shared" si="13"/>
        <v>-5.1860041861490468E-3</v>
      </c>
      <c r="F269" s="236">
        <f t="shared" si="14"/>
        <v>2.083787661547893E-4</v>
      </c>
      <c r="G269" s="77">
        <f>_xll.qlYieldTSForwardRate($C$4,B269,B269,"Act/365 (fixed)","Continuous",,TRUE)</f>
        <v>4.4727037588065656E-2</v>
      </c>
      <c r="H269" s="242">
        <f>(_xll.qlYieldTSDiscount($C$4,B269)-_xll.qlYieldTSDiscount($C$3,B269))/1%</f>
        <v>-0.78213625165879375</v>
      </c>
      <c r="I269" s="245">
        <v>0</v>
      </c>
    </row>
    <row r="270" spans="2:9">
      <c r="B270" s="111">
        <f>_xll.qlCalendarAdvance("Null",B269,"1m")</f>
        <v>51167</v>
      </c>
      <c r="C270" s="112">
        <f t="shared" si="12"/>
        <v>20.350684931506848</v>
      </c>
      <c r="D270" s="77">
        <f>_xll.qlYieldTSForwardRate($C$3,B270,B270,"Act/365 (fixed)","Continuous",,TRUE)</f>
        <v>4.4824683868223608E-2</v>
      </c>
      <c r="E270" s="236">
        <f t="shared" si="13"/>
        <v>-5.1677825717966093E-3</v>
      </c>
      <c r="F270" s="236">
        <f t="shared" si="14"/>
        <v>2.3405111645290397E-4</v>
      </c>
      <c r="G270" s="77">
        <f>_xll.qlYieldTSForwardRate($C$4,B270,B270,"Act/365 (fixed)","Continuous",,TRUE)</f>
        <v>4.4641072033383529E-2</v>
      </c>
      <c r="H270" s="242">
        <f>(_xll.qlYieldTSDiscount($C$4,B270)-_xll.qlYieldTSDiscount($C$3,B270))/1%</f>
        <v>-0.77857094592614917</v>
      </c>
      <c r="I270" s="245">
        <v>0</v>
      </c>
    </row>
    <row r="271" spans="2:9">
      <c r="B271" s="111">
        <f>_xll.qlCalendarAdvance("Null",B270,"1m")</f>
        <v>51196</v>
      </c>
      <c r="C271" s="112">
        <f t="shared" si="12"/>
        <v>20.43013698630137</v>
      </c>
      <c r="D271" s="77">
        <f>_xll.qlYieldTSForwardRate($C$3,B271,B271,"Act/365 (fixed)","Continuous",,TRUE)</f>
        <v>4.4783702449282016E-2</v>
      </c>
      <c r="E271" s="236">
        <f t="shared" si="13"/>
        <v>-5.1475300300198026E-3</v>
      </c>
      <c r="F271" s="236">
        <f t="shared" si="14"/>
        <v>2.4857250073650469E-4</v>
      </c>
      <c r="G271" s="77">
        <f>_xll.qlYieldTSForwardRate($C$4,B271,B271,"Act/365 (fixed)","Continuous",,TRUE)</f>
        <v>4.4563318436898508E-2</v>
      </c>
      <c r="H271" s="242">
        <f>(_xll.qlYieldTSDiscount($C$4,B271)-_xll.qlYieldTSDiscount($C$3,B271))/1%</f>
        <v>-0.77511925014944749</v>
      </c>
      <c r="I271" s="245">
        <v>0</v>
      </c>
    </row>
    <row r="272" spans="2:9">
      <c r="B272" s="111">
        <f>_xll.qlCalendarAdvance("Null",B271,"1m")</f>
        <v>51227</v>
      </c>
      <c r="C272" s="112">
        <f t="shared" si="12"/>
        <v>20.515068493150686</v>
      </c>
      <c r="D272" s="77">
        <f>_xll.qlYieldTSForwardRate($C$3,B272,B272,"Act/365 (fixed)","Continuous",,TRUE)</f>
        <v>4.4740066936223281E-2</v>
      </c>
      <c r="E272" s="236">
        <f t="shared" si="13"/>
        <v>-5.1269213387988271E-3</v>
      </c>
      <c r="F272" s="236">
        <f t="shared" si="14"/>
        <v>2.6120841722949967E-4</v>
      </c>
      <c r="G272" s="77">
        <f>_xll.qlYieldTSForwardRate($C$4,B272,B272,"Act/365 (fixed)","Continuous",,TRUE)</f>
        <v>4.4483002769548183E-2</v>
      </c>
      <c r="H272" s="242">
        <f>(_xll.qlYieldTSDiscount($C$4,B272)-_xll.qlYieldTSDiscount($C$3,B272))/1%</f>
        <v>-0.77131592171452712</v>
      </c>
      <c r="I272" s="245">
        <v>0</v>
      </c>
    </row>
    <row r="273" spans="2:9">
      <c r="B273" s="111">
        <f>_xll.qlCalendarAdvance("Null",B272,"1m")</f>
        <v>51257</v>
      </c>
      <c r="C273" s="112">
        <f t="shared" si="12"/>
        <v>20.597260273972601</v>
      </c>
      <c r="D273" s="77">
        <f>_xll.qlYieldTSForwardRate($C$3,B273,B273,"Act/365 (fixed)","Continuous",,TRUE)</f>
        <v>4.4698019654304831E-2</v>
      </c>
      <c r="E273" s="236">
        <f t="shared" si="13"/>
        <v>-5.10387602056501E-3</v>
      </c>
      <c r="F273" s="236">
        <f t="shared" si="14"/>
        <v>2.7949291689601728E-4</v>
      </c>
      <c r="G273" s="77">
        <f>_xll.qlYieldTSForwardRate($C$4,B273,B273,"Act/365 (fixed)","Continuous",,TRUE)</f>
        <v>4.4407984944617375E-2</v>
      </c>
      <c r="H273" s="242">
        <f>(_xll.qlYieldTSDiscount($C$4,B273)-_xll.qlYieldTSDiscount($C$3,B273))/1%</f>
        <v>-0.76753373183645057</v>
      </c>
      <c r="I273" s="245">
        <v>0</v>
      </c>
    </row>
    <row r="274" spans="2:9">
      <c r="B274" s="111">
        <f>_xll.qlCalendarAdvance("Null",B273,"1m")</f>
        <v>51288</v>
      </c>
      <c r="C274" s="112">
        <f t="shared" si="12"/>
        <v>20.682191780821917</v>
      </c>
      <c r="D274" s="77">
        <f>_xll.qlYieldTSForwardRate($C$3,B274,B274,"Act/365 (fixed)","Continuous",,TRUE)</f>
        <v>4.4654769282180963E-2</v>
      </c>
      <c r="E274" s="236">
        <f t="shared" si="13"/>
        <v>-5.0802115636463425E-3</v>
      </c>
      <c r="F274" s="236">
        <f t="shared" si="14"/>
        <v>2.9634442758323779E-4</v>
      </c>
      <c r="G274" s="77">
        <f>_xll.qlYieldTSForwardRate($C$4,B274,B274,"Act/365 (fixed)","Continuous",,TRUE)</f>
        <v>4.4333213001347432E-2</v>
      </c>
      <c r="H274" s="242">
        <f>(_xll.qlYieldTSDiscount($C$4,B274)-_xll.qlYieldTSDiscount($C$3,B274))/1%</f>
        <v>-0.76353094041333169</v>
      </c>
      <c r="I274" s="245">
        <v>0</v>
      </c>
    </row>
    <row r="275" spans="2:9">
      <c r="B275" s="111">
        <f>_xll.qlCalendarAdvance("Null",B274,"1m")</f>
        <v>51318</v>
      </c>
      <c r="C275" s="112">
        <f t="shared" si="12"/>
        <v>20.764383561643836</v>
      </c>
      <c r="D275" s="77">
        <f>_xll.qlYieldTSForwardRate($C$3,B275,B275,"Act/365 (fixed)","Continuous",,TRUE)</f>
        <v>4.4613117488446631E-2</v>
      </c>
      <c r="E275" s="236">
        <f t="shared" si="13"/>
        <v>-5.0543499655442492E-3</v>
      </c>
      <c r="F275" s="236">
        <f t="shared" si="14"/>
        <v>3.1539611041810051E-4</v>
      </c>
      <c r="G275" s="77">
        <f>_xll.qlYieldTSForwardRate($C$4,B275,B275,"Act/365 (fixed)","Continuous",,TRUE)</f>
        <v>4.4263462334225907E-2</v>
      </c>
      <c r="H275" s="242">
        <f>(_xll.qlYieldTSDiscount($C$4,B275)-_xll.qlYieldTSDiscount($C$3,B275))/1%</f>
        <v>-0.75957539986395983</v>
      </c>
      <c r="I275" s="245">
        <v>0</v>
      </c>
    </row>
    <row r="276" spans="2:9">
      <c r="B276" s="111">
        <f>_xll.qlCalendarAdvance("Null",B275,"1m")</f>
        <v>51349</v>
      </c>
      <c r="C276" s="112">
        <f t="shared" si="12"/>
        <v>20.849315068493151</v>
      </c>
      <c r="D276" s="77">
        <f>_xll.qlYieldTSForwardRate($C$3,B276,B276,"Act/365 (fixed)","Continuous",,TRUE)</f>
        <v>4.4570299323852688E-2</v>
      </c>
      <c r="E276" s="236">
        <f t="shared" si="13"/>
        <v>-5.0275015287545499E-3</v>
      </c>
      <c r="F276" s="236">
        <f t="shared" si="14"/>
        <v>3.2418284036093834E-4</v>
      </c>
      <c r="G276" s="77">
        <f>_xll.qlYieldTSForwardRate($C$4,B276,B276,"Act/365 (fixed)","Continuous",,TRUE)</f>
        <v>4.419403213329811E-2</v>
      </c>
      <c r="H276" s="242">
        <f>(_xll.qlYieldTSDiscount($C$4,B276)-_xll.qlYieldTSDiscount($C$3,B276))/1%</f>
        <v>-0.7554130819782956</v>
      </c>
      <c r="I276" s="245">
        <v>0</v>
      </c>
    </row>
    <row r="277" spans="2:9">
      <c r="B277" s="111">
        <f>_xll.qlCalendarAdvance("Null",B276,"1m")</f>
        <v>51380</v>
      </c>
      <c r="C277" s="112">
        <f t="shared" si="12"/>
        <v>20.934246575342467</v>
      </c>
      <c r="D277" s="77">
        <f>_xll.qlYieldTSForwardRate($C$3,B277,B277,"Act/365 (fixed)","Continuous",,TRUE)</f>
        <v>4.4527718832341759E-2</v>
      </c>
      <c r="E277" s="236">
        <f t="shared" si="13"/>
        <v>-4.9992832912911581E-3</v>
      </c>
      <c r="F277" s="236">
        <f t="shared" si="14"/>
        <v>3.4900368241546302E-4</v>
      </c>
      <c r="G277" s="77">
        <f>_xll.qlYieldTSForwardRate($C$4,B277,B277,"Act/365 (fixed)","Continuous",,TRUE)</f>
        <v>4.412723917955097E-2</v>
      </c>
      <c r="H277" s="242">
        <f>(_xll.qlYieldTSDiscount($C$4,B277)-_xll.qlYieldTSDiscount($C$3,B277))/1%</f>
        <v>-0.75118407733980597</v>
      </c>
      <c r="I277" s="245">
        <v>0</v>
      </c>
    </row>
    <row r="278" spans="2:9">
      <c r="B278" s="111">
        <f>_xll.qlCalendarAdvance("Null",B277,"1m")</f>
        <v>51410</v>
      </c>
      <c r="C278" s="112">
        <f t="shared" si="12"/>
        <v>21.016438356164382</v>
      </c>
      <c r="D278" s="77">
        <f>_xll.qlYieldTSForwardRate($C$3,B278,B278,"Act/365 (fixed)","Continuous",,TRUE)</f>
        <v>4.4486749657888645E-2</v>
      </c>
      <c r="E278" s="236">
        <f t="shared" si="13"/>
        <v>-4.9691748859399115E-3</v>
      </c>
      <c r="F278" s="236">
        <f t="shared" si="14"/>
        <v>3.6265496972121193E-4</v>
      </c>
      <c r="G278" s="77">
        <f>_xll.qlYieldTSForwardRate($C$4,B278,B278,"Act/365 (fixed)","Continuous",,TRUE)</f>
        <v>4.4065062714413107E-2</v>
      </c>
      <c r="H278" s="242">
        <f>(_xll.qlYieldTSDiscount($C$4,B278)-_xll.qlYieldTSDiscount($C$3,B278))/1%</f>
        <v>-0.74703667228502302</v>
      </c>
      <c r="I278" s="245">
        <v>0</v>
      </c>
    </row>
    <row r="279" spans="2:9">
      <c r="B279" s="111">
        <f>_xll.qlCalendarAdvance("Null",B278,"1m")</f>
        <v>51441</v>
      </c>
      <c r="C279" s="112">
        <f t="shared" si="12"/>
        <v>21.101369863013698</v>
      </c>
      <c r="D279" s="77">
        <f>_xll.qlYieldTSForwardRate($C$3,B279,B279,"Act/365 (fixed)","Continuous",,TRUE)</f>
        <v>4.44446723479466E-2</v>
      </c>
      <c r="E279" s="236">
        <f t="shared" si="13"/>
        <v>-4.9386752004610384E-3</v>
      </c>
      <c r="F279" s="236">
        <f t="shared" si="14"/>
        <v>3.7950568671427256E-4</v>
      </c>
      <c r="G279" s="77">
        <f>_xll.qlYieldTSForwardRate($C$4,B279,B279,"Act/365 (fixed)","Continuous",,TRUE)</f>
        <v>4.400330686835334E-2</v>
      </c>
      <c r="H279" s="242">
        <f>(_xll.qlYieldTSDiscount($C$4,B279)-_xll.qlYieldTSDiscount($C$3,B279))/1%</f>
        <v>-0.74270298903300613</v>
      </c>
      <c r="I279" s="245">
        <v>0</v>
      </c>
    </row>
    <row r="280" spans="2:9">
      <c r="B280" s="111">
        <f>_xll.qlCalendarAdvance("Null",B279,"1m")</f>
        <v>51471</v>
      </c>
      <c r="C280" s="112">
        <f t="shared" si="12"/>
        <v>21.183561643835617</v>
      </c>
      <c r="D280" s="77">
        <f>_xll.qlYieldTSForwardRate($C$3,B280,B280,"Act/365 (fixed)","Continuous",,TRUE)</f>
        <v>4.4404212894264501E-2</v>
      </c>
      <c r="E280" s="236">
        <f t="shared" si="13"/>
        <v>-4.9057506478862927E-3</v>
      </c>
      <c r="F280" s="236">
        <f t="shared" si="14"/>
        <v>3.9923818154908127E-4</v>
      </c>
      <c r="G280" s="77">
        <f>_xll.qlYieldTSForwardRate($C$4,B280,B280,"Act/365 (fixed)","Continuous",,TRUE)</f>
        <v>4.3945907291432218E-2</v>
      </c>
      <c r="H280" s="242">
        <f>(_xll.qlYieldTSDiscount($C$4,B280)-_xll.qlYieldTSDiscount($C$3,B280))/1%</f>
        <v>-0.73847054234230658</v>
      </c>
      <c r="I280" s="245">
        <v>0</v>
      </c>
    </row>
    <row r="281" spans="2:9">
      <c r="B281" s="111">
        <f>_xll.qlCalendarAdvance("Null",B280,"1m")</f>
        <v>51502</v>
      </c>
      <c r="C281" s="112">
        <f t="shared" si="12"/>
        <v>21.268493150684932</v>
      </c>
      <c r="D281" s="77">
        <f>_xll.qlYieldTSForwardRate($C$3,B281,B281,"Act/365 (fixed)","Continuous",,TRUE)</f>
        <v>4.4362685830269595E-2</v>
      </c>
      <c r="E281" s="236">
        <f t="shared" si="13"/>
        <v>-4.8719532029966707E-3</v>
      </c>
      <c r="F281" s="236">
        <f t="shared" si="14"/>
        <v>3.989968103150903E-4</v>
      </c>
      <c r="G281" s="77">
        <f>_xll.qlYieldTSForwardRate($C$4,B281,B281,"Act/365 (fixed)","Continuous",,TRUE)</f>
        <v>4.3888986569034075E-2</v>
      </c>
      <c r="H281" s="242">
        <f>(_xll.qlYieldTSDiscount($C$4,B281)-_xll.qlYieldTSDiscount($C$3,B281))/1%</f>
        <v>-0.7340651113960206</v>
      </c>
      <c r="I281" s="245">
        <v>0</v>
      </c>
    </row>
    <row r="282" spans="2:9">
      <c r="B282" s="111">
        <f>_xll.qlCalendarAdvance("Null",B281,"1m")</f>
        <v>51533</v>
      </c>
      <c r="C282" s="112">
        <f t="shared" ref="C282:C345" si="15">(B282-$B$26)/365</f>
        <v>21.353424657534248</v>
      </c>
      <c r="D282" s="77">
        <f>_xll.qlYieldTSForwardRate($C$3,B282,B282,"Act/365 (fixed)","Continuous",,TRUE)</f>
        <v>4.432145642889853E-2</v>
      </c>
      <c r="E282" s="236">
        <f t="shared" si="13"/>
        <v>-4.8379758472300305E-3</v>
      </c>
      <c r="F282" s="236">
        <f t="shared" si="14"/>
        <v>4.39871705559669E-4</v>
      </c>
      <c r="G282" s="77">
        <f>_xll.qlYieldTSForwardRate($C$4,B282,B282,"Act/365 (fixed)","Continuous",,TRUE)</f>
        <v>4.3834445638901827E-2</v>
      </c>
      <c r="H282" s="242">
        <f>(_xll.qlYieldTSDiscount($C$4,B282)-_xll.qlYieldTSDiscount($C$3,B282))/1%</f>
        <v>-0.72963499053439462</v>
      </c>
      <c r="I282" s="245">
        <v>0</v>
      </c>
    </row>
    <row r="283" spans="2:9">
      <c r="B283" s="111">
        <f>_xll.qlCalendarAdvance("Null",B282,"1m")</f>
        <v>51561</v>
      </c>
      <c r="C283" s="112">
        <f t="shared" si="15"/>
        <v>21.43013698630137</v>
      </c>
      <c r="D283" s="77">
        <f>_xll.qlYieldTSForwardRate($C$3,B283,B283,"Act/365 (fixed)","Continuous",,TRUE)</f>
        <v>4.4284482933013E-2</v>
      </c>
      <c r="E283" s="236">
        <f t="shared" si="13"/>
        <v>-4.8008506533308614E-3</v>
      </c>
      <c r="F283" s="236">
        <f t="shared" si="14"/>
        <v>4.5263366380647032E-4</v>
      </c>
      <c r="G283" s="77">
        <f>_xll.qlYieldTSForwardRate($C$4,B283,B283,"Act/365 (fixed)","Continuous",,TRUE)</f>
        <v>4.3787184952978293E-2</v>
      </c>
      <c r="H283" s="242">
        <f>(_xll.qlYieldTSDiscount($C$4,B283)-_xll.qlYieldTSDiscount($C$3,B283))/1%</f>
        <v>-0.72561860227657871</v>
      </c>
      <c r="I283" s="245">
        <v>0</v>
      </c>
    </row>
    <row r="284" spans="2:9">
      <c r="B284" s="111">
        <f>_xll.qlCalendarAdvance("Null",B283,"1m")</f>
        <v>51592</v>
      </c>
      <c r="C284" s="112">
        <f t="shared" si="15"/>
        <v>21.515068493150686</v>
      </c>
      <c r="D284" s="77">
        <f>_xll.qlYieldTSForwardRate($C$3,B284,B284,"Act/365 (fixed)","Continuous",,TRUE)</f>
        <v>4.4243853637515922E-2</v>
      </c>
      <c r="E284" s="236">
        <f t="shared" ref="E284:E347" si="16">(D285-D283)/(C285-C283)*10</f>
        <v>-4.7648104056832313E-3</v>
      </c>
      <c r="F284" s="236">
        <f t="shared" ref="F284:F347" si="17">(E285-E283)/(C285-C283)</f>
        <v>4.5436685795539569E-4</v>
      </c>
      <c r="G284" s="77">
        <f>_xll.qlYieldTSForwardRate($C$4,B284,B284,"Act/365 (fixed)","Continuous",,TRUE)</f>
        <v>4.3737029175337706E-2</v>
      </c>
      <c r="H284" s="242">
        <f>(_xll.qlYieldTSDiscount($C$4,B284)-_xll.qlYieldTSDiscount($C$3,B284))/1%</f>
        <v>-0.7211618939897857</v>
      </c>
      <c r="I284" s="245">
        <v>0</v>
      </c>
    </row>
    <row r="285" spans="2:9">
      <c r="B285" s="111">
        <f>_xll.qlCalendarAdvance("Null",B284,"1m")</f>
        <v>51622</v>
      </c>
      <c r="C285" s="112">
        <f t="shared" si="15"/>
        <v>21.597260273972601</v>
      </c>
      <c r="D285" s="77">
        <f>_xll.qlYieldTSForwardRate($C$3,B285,B285,"Act/365 (fixed)","Continuous",,TRUE)</f>
        <v>4.4204851855000213E-2</v>
      </c>
      <c r="E285" s="236">
        <f t="shared" si="16"/>
        <v>-4.7249153702205084E-3</v>
      </c>
      <c r="F285" s="236">
        <f t="shared" si="17"/>
        <v>4.7788475021105103E-4</v>
      </c>
      <c r="G285" s="77">
        <f>_xll.qlYieldTSForwardRate($C$4,B285,B285,"Act/365 (fixed)","Continuous",,TRUE)</f>
        <v>4.3690613538178262E-2</v>
      </c>
      <c r="H285" s="242">
        <f>(_xll.qlYieldTSDiscount($C$4,B285)-_xll.qlYieldTSDiscount($C$3,B285))/1%</f>
        <v>-0.71684519627663867</v>
      </c>
      <c r="I285" s="245">
        <v>0</v>
      </c>
    </row>
    <row r="286" spans="2:9">
      <c r="B286" s="111">
        <f>_xll.qlCalendarAdvance("Null",B285,"1m")</f>
        <v>51653</v>
      </c>
      <c r="C286" s="112">
        <f t="shared" si="15"/>
        <v>21.682191780821917</v>
      </c>
      <c r="D286" s="77">
        <f>_xll.qlYieldTSForwardRate($C$3,B286,B286,"Act/365 (fixed)","Continuous",,TRUE)</f>
        <v>4.4164889298451963E-2</v>
      </c>
      <c r="E286" s="236">
        <f t="shared" si="16"/>
        <v>-4.6849447351000155E-3</v>
      </c>
      <c r="F286" s="236">
        <f t="shared" si="17"/>
        <v>4.9473387883695267E-4</v>
      </c>
      <c r="G286" s="77">
        <f>_xll.qlYieldTSForwardRate($C$4,B286,B286,"Act/365 (fixed)","Continuous",,TRUE)</f>
        <v>4.3644792893370803E-2</v>
      </c>
      <c r="H286" s="242">
        <f>(_xll.qlYieldTSDiscount($C$4,B286)-_xll.qlYieldTSDiscount($C$3,B286))/1%</f>
        <v>-0.71238709593500205</v>
      </c>
      <c r="I286" s="245">
        <v>0</v>
      </c>
    </row>
    <row r="287" spans="2:9">
      <c r="B287" s="111">
        <f>_xll.qlCalendarAdvance("Null",B286,"1m")</f>
        <v>51683</v>
      </c>
      <c r="C287" s="112">
        <f t="shared" si="15"/>
        <v>21.764383561643836</v>
      </c>
      <c r="D287" s="77">
        <f>_xll.qlYieldTSForwardRate($C$3,B287,B287,"Act/365 (fixed)","Continuous",,TRUE)</f>
        <v>4.4126555518331417E-2</v>
      </c>
      <c r="E287" s="236">
        <f t="shared" si="16"/>
        <v>-4.6422338178669347E-3</v>
      </c>
      <c r="F287" s="236">
        <f t="shared" si="17"/>
        <v>5.1541193225255035E-4</v>
      </c>
      <c r="G287" s="77">
        <f>_xll.qlYieldTSForwardRate($C$4,B287,B287,"Act/365 (fixed)","Continuous",,TRUE)</f>
        <v>4.3602474811309383E-2</v>
      </c>
      <c r="H287" s="242">
        <f>(_xll.qlYieldTSDiscount($C$4,B287)-_xll.qlYieldTSDiscount($C$3,B287))/1%</f>
        <v>-0.70808101652804489</v>
      </c>
      <c r="I287" s="245">
        <v>0</v>
      </c>
    </row>
    <row r="288" spans="2:9">
      <c r="B288" s="111">
        <f>_xll.qlCalendarAdvance("Null",B287,"1m")</f>
        <v>51714</v>
      </c>
      <c r="C288" s="112">
        <f t="shared" si="15"/>
        <v>21.849315068493151</v>
      </c>
      <c r="D288" s="77">
        <f>_xll.qlYieldTSForwardRate($C$3,B288,B288,"Act/365 (fixed)","Continuous",,TRUE)</f>
        <v>4.4087306760673912E-2</v>
      </c>
      <c r="E288" s="236">
        <f t="shared" si="16"/>
        <v>-4.5988073984769857E-3</v>
      </c>
      <c r="F288" s="236">
        <f t="shared" si="17"/>
        <v>5.1937637810810136E-4</v>
      </c>
      <c r="G288" s="77">
        <f>_xll.qlYieldTSForwardRate($C$4,B288,B288,"Act/365 (fixed)","Continuous",,TRUE)</f>
        <v>4.3560787319677302E-2</v>
      </c>
      <c r="H288" s="242">
        <f>(_xll.qlYieldTSDiscount($C$4,B288)-_xll.qlYieldTSDiscount($C$3,B288))/1%</f>
        <v>-0.70364565151930236</v>
      </c>
      <c r="I288" s="245">
        <v>0</v>
      </c>
    </row>
    <row r="289" spans="2:9">
      <c r="B289" s="111">
        <f>_xll.qlCalendarAdvance("Null",B288,"1m")</f>
        <v>51745</v>
      </c>
      <c r="C289" s="112">
        <f t="shared" si="15"/>
        <v>21.934246575342467</v>
      </c>
      <c r="D289" s="77">
        <f>_xll.qlYieldTSForwardRate($C$3,B289,B289,"Act/365 (fixed)","Continuous",,TRUE)</f>
        <v>4.4048438789918931E-2</v>
      </c>
      <c r="E289" s="236">
        <f t="shared" si="16"/>
        <v>-4.554010981037613E-3</v>
      </c>
      <c r="F289" s="236">
        <f t="shared" si="17"/>
        <v>5.4902148444828792E-4</v>
      </c>
      <c r="G289" s="77">
        <f>_xll.qlYieldTSForwardRate($C$4,B289,B289,"Act/365 (fixed)","Continuous",,TRUE)</f>
        <v>4.3521122869683043E-2</v>
      </c>
      <c r="H289" s="242">
        <f>(_xll.qlYieldTSDiscount($C$4,B289)-_xll.qlYieldTSDiscount($C$3,B289))/1%</f>
        <v>-0.69923032990346079</v>
      </c>
      <c r="I289" s="245">
        <v>0</v>
      </c>
    </row>
    <row r="290" spans="2:9">
      <c r="B290" s="111">
        <f>_xll.qlCalendarAdvance("Null",B289,"1m")</f>
        <v>51775</v>
      </c>
      <c r="C290" s="112">
        <f t="shared" si="15"/>
        <v>22.016438356164382</v>
      </c>
      <c r="D290" s="77">
        <f>_xll.qlYieldTSForwardRate($C$3,B290,B290,"Act/365 (fixed)","Continuous",,TRUE)</f>
        <v>4.4011198631949723E-2</v>
      </c>
      <c r="E290" s="236">
        <f t="shared" si="16"/>
        <v>-4.5070531229938482E-3</v>
      </c>
      <c r="F290" s="236">
        <f t="shared" si="17"/>
        <v>5.6104363690521596E-4</v>
      </c>
      <c r="G290" s="77">
        <f>_xll.qlYieldTSForwardRate($C$4,B290,B290,"Act/365 (fixed)","Continuous",,TRUE)</f>
        <v>4.3484614994129735E-2</v>
      </c>
      <c r="H290" s="242">
        <f>(_xll.qlYieldTSDiscount($C$4,B290)-_xll.qlYieldTSDiscount($C$3,B290))/1%</f>
        <v>-0.69498153609113822</v>
      </c>
      <c r="I290" s="245">
        <v>0</v>
      </c>
    </row>
    <row r="291" spans="2:9">
      <c r="B291" s="111">
        <f>_xll.qlCalendarAdvance("Null",B290,"1m")</f>
        <v>51806</v>
      </c>
      <c r="C291" s="112">
        <f t="shared" si="15"/>
        <v>22.101369863013698</v>
      </c>
      <c r="D291" s="77">
        <f>_xll.qlYieldTSForwardRate($C$3,B291,B291,"Act/365 (fixed)","Continuous",,TRUE)</f>
        <v>4.3973115436356569E-2</v>
      </c>
      <c r="E291" s="236">
        <f t="shared" si="16"/>
        <v>-4.4602475239109889E-3</v>
      </c>
      <c r="F291" s="236">
        <f t="shared" si="17"/>
        <v>5.7789515151524483E-4</v>
      </c>
      <c r="G291" s="77">
        <f>_xll.qlYieldTSForwardRate($C$4,B291,B291,"Act/365 (fixed)","Continuous",,TRUE)</f>
        <v>4.3448779060245746E-2</v>
      </c>
      <c r="H291" s="242">
        <f>(_xll.qlYieldTSDiscount($C$4,B291)-_xll.qlYieldTSDiscount($C$3,B291))/1%</f>
        <v>-0.69062091227298228</v>
      </c>
      <c r="I291" s="245">
        <v>0</v>
      </c>
    </row>
    <row r="292" spans="2:9">
      <c r="B292" s="111">
        <f>_xll.qlCalendarAdvance("Null",B291,"1m")</f>
        <v>51836</v>
      </c>
      <c r="C292" s="112">
        <f t="shared" si="15"/>
        <v>22.183561643835617</v>
      </c>
      <c r="D292" s="77">
        <f>_xll.qlYieldTSForwardRate($C$3,B292,B292,"Act/365 (fixed)","Continuous",,TRUE)</f>
        <v>4.3936657508947374E-2</v>
      </c>
      <c r="E292" s="236">
        <f t="shared" si="16"/>
        <v>-4.4104733853433543E-3</v>
      </c>
      <c r="F292" s="236">
        <f t="shared" si="17"/>
        <v>5.9925483736980416E-4</v>
      </c>
      <c r="G292" s="77">
        <f>_xll.qlYieldTSForwardRate($C$4,B292,B292,"Act/365 (fixed)","Continuous",,TRUE)</f>
        <v>4.3415878467671636E-2</v>
      </c>
      <c r="H292" s="242">
        <f>(_xll.qlYieldTSDiscount($C$4,B292)-_xll.qlYieldTSDiscount($C$3,B292))/1%</f>
        <v>-0.68643420751909878</v>
      </c>
      <c r="I292" s="245">
        <v>0</v>
      </c>
    </row>
    <row r="293" spans="2:9">
      <c r="B293" s="111">
        <f>_xll.qlCalendarAdvance("Null",B292,"1m")</f>
        <v>51867</v>
      </c>
      <c r="C293" s="112">
        <f t="shared" si="15"/>
        <v>22.268493150684932</v>
      </c>
      <c r="D293" s="77">
        <f>_xll.qlYieldTSForwardRate($C$3,B293,B293,"Act/365 (fixed)","Continuous",,TRUE)</f>
        <v>4.3899406155122063E-2</v>
      </c>
      <c r="E293" s="236">
        <f t="shared" si="16"/>
        <v>-4.3600980853368563E-3</v>
      </c>
      <c r="F293" s="236">
        <f t="shared" si="17"/>
        <v>5.909875622622196E-4</v>
      </c>
      <c r="G293" s="77">
        <f>_xll.qlYieldTSForwardRate($C$4,B293,B293,"Act/365 (fixed)","Continuous",,TRUE)</f>
        <v>4.3383669067979976E-2</v>
      </c>
      <c r="H293" s="242">
        <f>(_xll.qlYieldTSDiscount($C$4,B293)-_xll.qlYieldTSDiscount($C$3,B293))/1%</f>
        <v>-0.68214664955458248</v>
      </c>
      <c r="I293" s="245">
        <v>0</v>
      </c>
    </row>
    <row r="294" spans="2:9">
      <c r="B294" s="111">
        <f>_xll.qlCalendarAdvance("Null",B293,"1m")</f>
        <v>51898</v>
      </c>
      <c r="C294" s="112">
        <f t="shared" si="15"/>
        <v>22.353424657534248</v>
      </c>
      <c r="D294" s="77">
        <f>_xll.qlYieldTSForwardRate($C$3,B294,B294,"Act/365 (fixed)","Continuous",,TRUE)</f>
        <v>4.3862595568867679E-2</v>
      </c>
      <c r="E294" s="236">
        <f t="shared" si="16"/>
        <v>-4.3100864569590863E-3</v>
      </c>
      <c r="F294" s="236">
        <f t="shared" si="17"/>
        <v>6.4330747732233733E-4</v>
      </c>
      <c r="G294" s="77">
        <f>_xll.qlYieldTSForwardRate($C$4,B294,B294,"Act/365 (fixed)","Continuous",,TRUE)</f>
        <v>4.3353225254867733E-2</v>
      </c>
      <c r="H294" s="242">
        <f>(_xll.qlYieldTSDiscount($C$4,B294)-_xll.qlYieldTSDiscount($C$3,B294))/1%</f>
        <v>-0.67790256547886618</v>
      </c>
      <c r="I294" s="245">
        <v>0</v>
      </c>
    </row>
    <row r="295" spans="2:9">
      <c r="B295" s="111">
        <f>_xll.qlCalendarAdvance("Null",B294,"1m")</f>
        <v>51926</v>
      </c>
      <c r="C295" s="112">
        <f t="shared" si="15"/>
        <v>22.43013698630137</v>
      </c>
      <c r="D295" s="77">
        <f>_xll.qlYieldTSForwardRate($C$3,B295,B295,"Act/365 (fixed)","Continuous",,TRUE)</f>
        <v>4.382973626444793E-2</v>
      </c>
      <c r="E295" s="236">
        <f t="shared" si="16"/>
        <v>-4.2561113972217389E-3</v>
      </c>
      <c r="F295" s="236">
        <f t="shared" si="17"/>
        <v>6.5438870997340092E-4</v>
      </c>
      <c r="G295" s="77">
        <f>_xll.qlYieldTSForwardRate($C$4,B295,B295,"Act/365 (fixed)","Continuous",,TRUE)</f>
        <v>4.3327201786586403E-2</v>
      </c>
      <c r="H295" s="242">
        <f>(_xll.qlYieldTSDiscount($C$4,B295)-_xll.qlYieldTSDiscount($C$3,B295))/1%</f>
        <v>-0.67410982012425236</v>
      </c>
      <c r="I295" s="245">
        <v>0</v>
      </c>
    </row>
    <row r="296" spans="2:9">
      <c r="B296" s="111">
        <f>_xll.qlCalendarAdvance("Null",B295,"1m")</f>
        <v>51957</v>
      </c>
      <c r="C296" s="112">
        <f t="shared" si="15"/>
        <v>22.515068493150686</v>
      </c>
      <c r="D296" s="77">
        <f>_xll.qlYieldTSForwardRate($C$3,B296,B296,"Act/365 (fixed)","Continuous",,TRUE)</f>
        <v>4.3793798151761903E-2</v>
      </c>
      <c r="E296" s="236">
        <f t="shared" si="16"/>
        <v>-4.204308555894893E-3</v>
      </c>
      <c r="F296" s="236">
        <f t="shared" si="17"/>
        <v>6.4950452096885201E-4</v>
      </c>
      <c r="G296" s="77">
        <f>_xll.qlYieldTSForwardRate($C$4,B296,B296,"Act/365 (fixed)","Continuous",,TRUE)</f>
        <v>4.3299974162236229E-2</v>
      </c>
      <c r="H296" s="242">
        <f>(_xll.qlYieldTSDiscount($C$4,B296)-_xll.qlYieldTSDiscount($C$3,B296))/1%</f>
        <v>-0.66995903989188199</v>
      </c>
      <c r="I296" s="245">
        <v>0</v>
      </c>
    </row>
    <row r="297" spans="2:9">
      <c r="B297" s="111">
        <f>_xll.qlCalendarAdvance("Null",B296,"1m")</f>
        <v>51987</v>
      </c>
      <c r="C297" s="112">
        <f t="shared" si="15"/>
        <v>22.597260273972601</v>
      </c>
      <c r="D297" s="77">
        <f>_xll.qlYieldTSForwardRate($C$3,B297,B297,"Act/365 (fixed)","Continuous",,TRUE)</f>
        <v>4.3759472477623386E-2</v>
      </c>
      <c r="E297" s="236">
        <f t="shared" si="16"/>
        <v>-4.1475640663200964E-3</v>
      </c>
      <c r="F297" s="236">
        <f t="shared" si="17"/>
        <v>6.7627422885741656E-4</v>
      </c>
      <c r="G297" s="77">
        <f>_xll.qlYieldTSForwardRate($C$4,B297,B297,"Act/365 (fixed)","Continuous",,TRUE)</f>
        <v>4.3275162259416966E-2</v>
      </c>
      <c r="H297" s="242">
        <f>(_xll.qlYieldTSDiscount($C$4,B297)-_xll.qlYieldTSDiscount($C$3,B297))/1%</f>
        <v>-0.66599359820987969</v>
      </c>
      <c r="I297" s="245">
        <v>0</v>
      </c>
    </row>
    <row r="298" spans="2:9">
      <c r="B298" s="111">
        <f>_xll.qlCalendarAdvance("Null",B297,"1m")</f>
        <v>52018</v>
      </c>
      <c r="C298" s="112">
        <f t="shared" si="15"/>
        <v>22.682191780821917</v>
      </c>
      <c r="D298" s="77">
        <f>_xll.qlYieldTSForwardRate($C$3,B298,B298,"Act/365 (fixed)","Continuous",,TRUE)</f>
        <v>4.3724482697502856E-2</v>
      </c>
      <c r="E298" s="236">
        <f t="shared" si="16"/>
        <v>-4.0912873834009151E-3</v>
      </c>
      <c r="F298" s="236">
        <f t="shared" si="17"/>
        <v>6.9312415457856646E-4</v>
      </c>
      <c r="G298" s="77">
        <f>_xll.qlYieldTSForwardRate($C$4,B298,B298,"Act/365 (fixed)","Continuous",,TRUE)</f>
        <v>4.3251061175973743E-2</v>
      </c>
      <c r="H298" s="242">
        <f>(_xll.qlYieldTSDiscount($C$4,B298)-_xll.qlYieldTSDiscount($C$3,B298))/1%</f>
        <v>-0.6619521791292271</v>
      </c>
      <c r="I298" s="245">
        <v>0</v>
      </c>
    </row>
    <row r="299" spans="2:9">
      <c r="B299" s="111">
        <f>_xll.qlCalendarAdvance("Null",B298,"1m")</f>
        <v>52048</v>
      </c>
      <c r="C299" s="112">
        <f t="shared" si="15"/>
        <v>22.764383561643836</v>
      </c>
      <c r="D299" s="77">
        <f>_xll.qlYieldTSForwardRate($C$3,B299,B299,"Act/365 (fixed)","Continuous",,TRUE)</f>
        <v>4.3691097537791206E-2</v>
      </c>
      <c r="E299" s="236">
        <f t="shared" si="16"/>
        <v>-4.0317268788425814E-3</v>
      </c>
      <c r="F299" s="236">
        <f t="shared" si="17"/>
        <v>7.1542874466621459E-4</v>
      </c>
      <c r="G299" s="77">
        <f>_xll.qlYieldTSForwardRate($C$4,B299,B299,"Act/365 (fixed)","Continuous",,TRUE)</f>
        <v>4.3229177220472842E-2</v>
      </c>
      <c r="H299" s="242">
        <f>(_xll.qlYieldTSDiscount($C$4,B299)-_xll.qlYieldTSDiscount($C$3,B299))/1%</f>
        <v>-0.65809819770144551</v>
      </c>
      <c r="I299" s="245">
        <v>0</v>
      </c>
    </row>
    <row r="300" spans="2:9">
      <c r="B300" s="111">
        <f>_xll.qlCalendarAdvance("Null",B299,"1m")</f>
        <v>52079</v>
      </c>
      <c r="C300" s="112">
        <f t="shared" si="15"/>
        <v>22.849315068493151</v>
      </c>
      <c r="D300" s="77">
        <f>_xll.qlYieldTSForwardRate($C$3,B300,B300,"Act/365 (fixed)","Continuous",,TRUE)</f>
        <v>4.365710315240439E-2</v>
      </c>
      <c r="E300" s="236">
        <f t="shared" si="16"/>
        <v>-3.9717225794977931E-3</v>
      </c>
      <c r="F300" s="236">
        <f t="shared" si="17"/>
        <v>7.1456681452052376E-4</v>
      </c>
      <c r="G300" s="77">
        <f>_xll.qlYieldTSForwardRate($C$4,B300,B300,"Act/365 (fixed)","Continuous",,TRUE)</f>
        <v>4.3208000695978681E-2</v>
      </c>
      <c r="H300" s="242">
        <f>(_xll.qlYieldTSDiscount($C$4,B300)-_xll.qlYieldTSDiscount($C$3,B300))/1%</f>
        <v>-0.65417727519958557</v>
      </c>
      <c r="I300" s="245">
        <v>0</v>
      </c>
    </row>
    <row r="301" spans="2:9">
      <c r="B301" s="111">
        <f>_xll.qlCalendarAdvance("Null",B300,"1m")</f>
        <v>52110</v>
      </c>
      <c r="C301" s="112">
        <f t="shared" si="15"/>
        <v>22.934246575342467</v>
      </c>
      <c r="D301" s="77">
        <f>_xll.qlYieldTSForwardRate($C$3,B301,B301,"Act/365 (fixed)","Continuous",,TRUE)</f>
        <v>4.3623632661098366E-2</v>
      </c>
      <c r="E301" s="236">
        <f t="shared" si="16"/>
        <v>-3.9103484062390946E-3</v>
      </c>
      <c r="F301" s="236">
        <f t="shared" si="17"/>
        <v>7.4903835192943215E-4</v>
      </c>
      <c r="G301" s="77">
        <f>_xll.qlYieldTSForwardRate($C$4,B301,B301,"Act/365 (fixed)","Continuous",,TRUE)</f>
        <v>4.3188233011728132E-2</v>
      </c>
      <c r="H301" s="242">
        <f>(_xll.qlYieldTSDiscount($C$4,B301)-_xll.qlYieldTSDiscount($C$3,B301))/1%</f>
        <v>-0.65032123498280359</v>
      </c>
      <c r="I301" s="245">
        <v>0</v>
      </c>
    </row>
    <row r="302" spans="2:9">
      <c r="B302" s="111">
        <f>_xll.qlCalendarAdvance("Null",B301,"1m")</f>
        <v>52140</v>
      </c>
      <c r="C302" s="112">
        <f t="shared" si="15"/>
        <v>23.016438356164382</v>
      </c>
      <c r="D302" s="77">
        <f>_xll.qlYieldTSForwardRate($C$3,B302,B302,"Act/365 (fixed)","Continuous",,TRUE)</f>
        <v>4.3591752124245327E-2</v>
      </c>
      <c r="E302" s="236">
        <f t="shared" si="16"/>
        <v>-3.8465408275315058E-3</v>
      </c>
      <c r="F302" s="236">
        <f t="shared" si="17"/>
        <v>7.5943551006206369E-4</v>
      </c>
      <c r="G302" s="77">
        <f>_xll.qlYieldTSForwardRate($C$4,B302,B302,"Act/365 (fixed)","Continuous",,TRUE)</f>
        <v>4.3170395266420129E-2</v>
      </c>
      <c r="H302" s="242">
        <f>(_xll.qlYieldTSDiscount($C$4,B302)-_xll.qlYieldTSDiscount($C$3,B302))/1%</f>
        <v>-0.64665336710745258</v>
      </c>
      <c r="I302" s="245">
        <v>0</v>
      </c>
    </row>
    <row r="303" spans="2:9">
      <c r="B303" s="111">
        <f>_xll.qlCalendarAdvance("Null",B302,"1m")</f>
        <v>52171</v>
      </c>
      <c r="C303" s="112">
        <f t="shared" si="15"/>
        <v>23.101369863013698</v>
      </c>
      <c r="D303" s="77">
        <f>_xll.qlYieldTSForwardRate($C$3,B303,B303,"Act/365 (fixed)","Continuous",,TRUE)</f>
        <v>4.3559348006172498E-2</v>
      </c>
      <c r="E303" s="236">
        <f t="shared" si="16"/>
        <v>-3.7834290470232443E-3</v>
      </c>
      <c r="F303" s="236">
        <f t="shared" si="17"/>
        <v>7.7628464134870724E-4</v>
      </c>
      <c r="G303" s="77">
        <f>_xll.qlYieldTSForwardRate($C$4,B303,B303,"Act/365 (fixed)","Continuous",,TRUE)</f>
        <v>4.3153247512830797E-2</v>
      </c>
      <c r="H303" s="242">
        <f>(_xll.qlYieldTSDiscount($C$4,B303)-_xll.qlYieldTSDiscount($C$3,B303))/1%</f>
        <v>-0.64293098686318273</v>
      </c>
      <c r="I303" s="245">
        <v>0</v>
      </c>
    </row>
    <row r="304" spans="2:9">
      <c r="B304" s="111">
        <f>_xll.qlCalendarAdvance("Null",B303,"1m")</f>
        <v>52201</v>
      </c>
      <c r="C304" s="112">
        <f t="shared" si="15"/>
        <v>23.183561643835617</v>
      </c>
      <c r="D304" s="77">
        <f>_xll.qlYieldTSForwardRate($C$3,B304,B304,"Act/365 (fixed)","Continuous",,TRUE)</f>
        <v>4.352852221414439E-2</v>
      </c>
      <c r="E304" s="236">
        <f t="shared" si="16"/>
        <v>-3.7168055861006247E-3</v>
      </c>
      <c r="F304" s="236">
        <f t="shared" si="17"/>
        <v>7.9927010697609761E-4</v>
      </c>
      <c r="G304" s="77">
        <f>_xll.qlYieldTSForwardRate($C$4,B304,B304,"Act/365 (fixed)","Continuous",,TRUE)</f>
        <v>4.3137847444774405E-2</v>
      </c>
      <c r="H304" s="242">
        <f>(_xll.qlYieldTSDiscount($C$4,B304)-_xll.qlYieldTSDiscount($C$3,B304))/1%</f>
        <v>-0.63939579007392111</v>
      </c>
      <c r="I304" s="245">
        <v>0</v>
      </c>
    </row>
    <row r="305" spans="2:9">
      <c r="B305" s="111">
        <f>_xll.qlCalendarAdvance("Null",B304,"1m")</f>
        <v>52232</v>
      </c>
      <c r="C305" s="112">
        <f t="shared" si="15"/>
        <v>23.268493150684932</v>
      </c>
      <c r="D305" s="77">
        <f>_xll.qlYieldTSForwardRate($C$3,B305,B305,"Act/365 (fixed)","Continuous",,TRUE)</f>
        <v>4.3497231529254103E-2</v>
      </c>
      <c r="E305" s="236">
        <f t="shared" si="16"/>
        <v>-3.6498523990080595E-3</v>
      </c>
      <c r="F305" s="236">
        <f t="shared" si="17"/>
        <v>7.829803914084965E-4</v>
      </c>
      <c r="G305" s="77">
        <f>_xll.qlYieldTSForwardRate($C$4,B305,B305,"Act/365 (fixed)","Continuous",,TRUE)</f>
        <v>4.3123117630987071E-2</v>
      </c>
      <c r="H305" s="242">
        <f>(_xll.qlYieldTSDiscount($C$4,B305)-_xll.qlYieldTSDiscount($C$3,B305))/1%</f>
        <v>-0.63581348337923838</v>
      </c>
      <c r="I305" s="245">
        <v>0</v>
      </c>
    </row>
    <row r="306" spans="2:9">
      <c r="B306" s="111">
        <f>_xll.qlCalendarAdvance("Null",B305,"1m")</f>
        <v>52263</v>
      </c>
      <c r="C306" s="112">
        <f t="shared" si="15"/>
        <v>23.353424657534248</v>
      </c>
      <c r="D306" s="77">
        <f>_xll.qlYieldTSForwardRate($C$3,B306,B306,"Act/365 (fixed)","Continuous",,TRUE)</f>
        <v>4.3466524721339321E-2</v>
      </c>
      <c r="E306" s="236">
        <f t="shared" si="16"/>
        <v>-3.5838061771490438E-3</v>
      </c>
      <c r="F306" s="236">
        <f t="shared" si="17"/>
        <v>8.4674354584026617E-4</v>
      </c>
      <c r="G306" s="77">
        <f>_xll.qlYieldTSForwardRate($C$4,B306,B306,"Act/365 (fixed)","Continuous",,TRUE)</f>
        <v>4.3109539195647584E-2</v>
      </c>
      <c r="H306" s="242">
        <f>(_xll.qlYieldTSDiscount($C$4,B306)-_xll.qlYieldTSDiscount($C$3,B306))/1%</f>
        <v>-0.63230424894415993</v>
      </c>
      <c r="I306" s="245">
        <v>0</v>
      </c>
    </row>
    <row r="307" spans="2:9">
      <c r="B307" s="111">
        <f>_xll.qlCalendarAdvance("Null",B306,"1m")</f>
        <v>52291</v>
      </c>
      <c r="C307" s="112">
        <f t="shared" si="15"/>
        <v>23.43013698630137</v>
      </c>
      <c r="D307" s="77">
        <f>_xll.qlYieldTSForwardRate($C$3,B307,B307,"Act/365 (fixed)","Continuous",,TRUE)</f>
        <v>4.3439301511596078E-2</v>
      </c>
      <c r="E307" s="236">
        <f t="shared" si="16"/>
        <v>-3.5129815244749757E-3</v>
      </c>
      <c r="F307" s="236">
        <f t="shared" si="17"/>
        <v>8.5614079623628602E-4</v>
      </c>
      <c r="G307" s="77">
        <f>_xll.qlYieldTSForwardRate($C$4,B307,B307,"Act/365 (fixed)","Continuous",,TRUE)</f>
        <v>4.3098221053604273E-2</v>
      </c>
      <c r="H307" s="242">
        <f>(_xll.qlYieldTSDiscount($C$4,B307)-_xll.qlYieldTSDiscount($C$3,B307))/1%</f>
        <v>-0.62919823694119748</v>
      </c>
      <c r="I307" s="245">
        <v>0</v>
      </c>
    </row>
    <row r="308" spans="2:9">
      <c r="B308" s="111">
        <f>_xll.qlCalendarAdvance("Null",B307,"1m")</f>
        <v>52322</v>
      </c>
      <c r="C308" s="112">
        <f t="shared" si="15"/>
        <v>23.515068493150686</v>
      </c>
      <c r="D308" s="77">
        <f>_xll.qlYieldTSForwardRate($C$3,B308,B308,"Act/365 (fixed)","Continuous",,TRUE)</f>
        <v>4.3409739540532739E-2</v>
      </c>
      <c r="E308" s="236">
        <f t="shared" si="16"/>
        <v>-3.4454162950176993E-3</v>
      </c>
      <c r="F308" s="236">
        <f t="shared" si="17"/>
        <v>8.4464096392964792E-4</v>
      </c>
      <c r="G308" s="77">
        <f>_xll.qlYieldTSForwardRate($C$4,B308,B308,"Act/365 (fixed)","Continuous",,TRUE)</f>
        <v>4.3086689842904202E-2</v>
      </c>
      <c r="H308" s="242">
        <f>(_xll.qlYieldTSDiscount($C$4,B308)-_xll.qlYieldTSDiscount($C$3,B308))/1%</f>
        <v>-0.62583057193209002</v>
      </c>
      <c r="I308" s="245">
        <v>0</v>
      </c>
    </row>
    <row r="309" spans="2:9">
      <c r="B309" s="111">
        <f>_xll.qlCalendarAdvance("Null",B308,"1m")</f>
        <v>52352</v>
      </c>
      <c r="C309" s="112">
        <f t="shared" si="15"/>
        <v>23.597260273972601</v>
      </c>
      <c r="D309" s="77">
        <f>_xll.qlYieldTSForwardRate($C$3,B309,B309,"Act/365 (fixed)","Continuous",,TRUE)</f>
        <v>4.3381720581734139E-2</v>
      </c>
      <c r="E309" s="236">
        <f t="shared" si="16"/>
        <v>-3.3718223496812553E-3</v>
      </c>
      <c r="F309" s="236">
        <f t="shared" si="17"/>
        <v>8.7466452136354548E-4</v>
      </c>
      <c r="G309" s="77">
        <f>_xll.qlYieldTSForwardRate($C$4,B309,B309,"Act/365 (fixed)","Continuous",,TRUE)</f>
        <v>4.3076483213591754E-2</v>
      </c>
      <c r="H309" s="242">
        <f>(_xll.qlYieldTSDiscount($C$4,B309)-_xll.qlYieldTSDiscount($C$3,B309))/1%</f>
        <v>-0.62264321208789775</v>
      </c>
      <c r="I309" s="245">
        <v>0</v>
      </c>
    </row>
    <row r="310" spans="2:9">
      <c r="B310" s="111">
        <f>_xll.qlCalendarAdvance("Null",B309,"1m")</f>
        <v>52383</v>
      </c>
      <c r="C310" s="112">
        <f t="shared" si="15"/>
        <v>23.682191780821917</v>
      </c>
      <c r="D310" s="77">
        <f>_xll.qlYieldTSForwardRate($C$3,B310,B310,"Act/365 (fixed)","Continuous",,TRUE)</f>
        <v>4.3353388536880533E-2</v>
      </c>
      <c r="E310" s="236">
        <f t="shared" si="16"/>
        <v>-3.2992394845980399E-3</v>
      </c>
      <c r="F310" s="236">
        <f t="shared" si="17"/>
        <v>8.9151762801014452E-4</v>
      </c>
      <c r="G310" s="77">
        <f>_xll.qlYieldTSForwardRate($C$4,B310,B310,"Act/365 (fixed)","Continuous",,TRUE)</f>
        <v>4.3066869953731608E-2</v>
      </c>
      <c r="H310" s="242">
        <f>(_xll.qlYieldTSDiscount($C$4,B310)-_xll.qlYieldTSDiscount($C$3,B310))/1%</f>
        <v>-0.61942399572699758</v>
      </c>
      <c r="I310" s="245">
        <v>0</v>
      </c>
    </row>
    <row r="311" spans="2:9">
      <c r="B311" s="111">
        <f>_xll.qlCalendarAdvance("Null",B310,"1m")</f>
        <v>52413</v>
      </c>
      <c r="C311" s="112">
        <f t="shared" si="15"/>
        <v>23.764383561643836</v>
      </c>
      <c r="D311" s="77">
        <f>_xll.qlYieldTSForwardRate($C$3,B311,B311,"Act/365 (fixed)","Continuous",,TRUE)</f>
        <v>4.3326582606786061E-2</v>
      </c>
      <c r="E311" s="236">
        <f t="shared" si="16"/>
        <v>-3.2228289926713393E-3</v>
      </c>
      <c r="F311" s="236">
        <f t="shared" si="17"/>
        <v>9.1544497111838011E-4</v>
      </c>
      <c r="G311" s="77">
        <f>_xll.qlYieldTSForwardRate($C$4,B311,B311,"Act/365 (fixed)","Continuous",,TRUE)</f>
        <v>4.3058421670290739E-2</v>
      </c>
      <c r="H311" s="242">
        <f>(_xll.qlYieldTSDiscount($C$4,B311)-_xll.qlYieldTSDiscount($C$3,B311))/1%</f>
        <v>-0.61638073506249391</v>
      </c>
      <c r="I311" s="245">
        <v>0</v>
      </c>
    </row>
    <row r="312" spans="2:9">
      <c r="B312" s="111">
        <f>_xll.qlCalendarAdvance("Null",B311,"1m")</f>
        <v>52444</v>
      </c>
      <c r="C312" s="112">
        <f t="shared" si="15"/>
        <v>23.849315068493151</v>
      </c>
      <c r="D312" s="77">
        <f>_xll.qlYieldTSForwardRate($C$3,B312,B312,"Act/365 (fixed)","Continuous",,TRUE)</f>
        <v>4.3299527559194792E-2</v>
      </c>
      <c r="E312" s="236">
        <f t="shared" si="16"/>
        <v>-3.1462473113426379E-3</v>
      </c>
      <c r="F312" s="236">
        <f t="shared" si="17"/>
        <v>9.0975491952326681E-4</v>
      </c>
      <c r="G312" s="77">
        <f>_xll.qlYieldTSForwardRate($C$4,B312,B312,"Act/365 (fixed)","Continuous",,TRUE)</f>
        <v>4.3050524374835149E-2</v>
      </c>
      <c r="H312" s="242">
        <f>(_xll.qlYieldTSDiscount($C$4,B312)-_xll.qlYieldTSDiscount($C$3,B312))/1%</f>
        <v>-0.61331047310509978</v>
      </c>
      <c r="I312" s="245">
        <v>0</v>
      </c>
    </row>
    <row r="313" spans="2:9">
      <c r="B313" s="111">
        <f>_xll.qlCalendarAdvance("Null",B312,"1m")</f>
        <v>52475</v>
      </c>
      <c r="C313" s="112">
        <f t="shared" si="15"/>
        <v>23.934246575342467</v>
      </c>
      <c r="D313" s="77">
        <f>_xll.qlYieldTSForwardRate($C$3,B313,B313,"Act/365 (fixed)","Continuous",,TRUE)</f>
        <v>4.3273139501771474E-2</v>
      </c>
      <c r="E313" s="236">
        <f t="shared" si="16"/>
        <v>-3.0682952803139617E-3</v>
      </c>
      <c r="F313" s="236">
        <f t="shared" si="17"/>
        <v>9.4905822129787707E-4</v>
      </c>
      <c r="G313" s="77">
        <f>_xll.qlYieldTSForwardRate($C$4,B313,B313,"Act/365 (fixed)","Continuous",,TRUE)</f>
        <v>4.3043421718082828E-2</v>
      </c>
      <c r="H313" s="242">
        <f>(_xll.qlYieldTSDiscount($C$4,B313)-_xll.qlYieldTSDiscount($C$3,B313))/1%</f>
        <v>-0.61031559757612763</v>
      </c>
      <c r="I313" s="245">
        <v>0</v>
      </c>
    </row>
    <row r="314" spans="2:9">
      <c r="B314" s="111">
        <f>_xll.qlCalendarAdvance("Null",B313,"1m")</f>
        <v>52505</v>
      </c>
      <c r="C314" s="112">
        <f t="shared" si="15"/>
        <v>24.016438356164382</v>
      </c>
      <c r="D314" s="77">
        <f>_xll.qlYieldTSForwardRate($C$3,B314,B314,"Act/365 (fixed)","Continuous",,TRUE)</f>
        <v>4.3248249199715573E-2</v>
      </c>
      <c r="E314" s="236">
        <f t="shared" si="16"/>
        <v>-2.987637581207926E-3</v>
      </c>
      <c r="F314" s="236">
        <f t="shared" si="17"/>
        <v>9.5782739611773883E-4</v>
      </c>
      <c r="G314" s="77">
        <f>_xll.qlYieldTSForwardRate($C$4,B314,B314,"Act/365 (fixed)","Continuous",,TRUE)</f>
        <v>4.3037255648099598E-2</v>
      </c>
      <c r="H314" s="242">
        <f>(_xll.qlYieldTSDiscount($C$4,B314)-_xll.qlYieldTSDiscount($C$3,B314))/1%</f>
        <v>-0.60748866137574353</v>
      </c>
      <c r="I314" s="245">
        <v>0</v>
      </c>
    </row>
    <row r="315" spans="2:9">
      <c r="B315" s="111">
        <f>_xll.qlCalendarAdvance("Null",B314,"1m")</f>
        <v>52536</v>
      </c>
      <c r="C315" s="112">
        <f t="shared" si="15"/>
        <v>24.101369863013698</v>
      </c>
      <c r="D315" s="77">
        <f>_xll.qlYieldTSForwardRate($C$3,B315,B315,"Act/365 (fixed)","Continuous",,TRUE)</f>
        <v>4.3223209120277314E-2</v>
      </c>
      <c r="E315" s="236">
        <f t="shared" si="16"/>
        <v>-2.9082200168531907E-3</v>
      </c>
      <c r="F315" s="236">
        <f t="shared" si="17"/>
        <v>9.7467255279220925E-4</v>
      </c>
      <c r="G315" s="77">
        <f>_xll.qlYieldTSForwardRate($C$4,B315,B315,"Act/365 (fixed)","Continuous",,TRUE)</f>
        <v>4.3031564327418989E-2</v>
      </c>
      <c r="H315" s="242">
        <f>(_xll.qlYieldTSDiscount($C$4,B315)-_xll.qlYieldTSDiscount($C$3,B315))/1%</f>
        <v>-0.60464054939809997</v>
      </c>
      <c r="I315" s="245">
        <v>0</v>
      </c>
    </row>
    <row r="316" spans="2:9">
      <c r="B316" s="111">
        <f>_xll.qlCalendarAdvance("Null",B315,"1m")</f>
        <v>52566</v>
      </c>
      <c r="C316" s="112">
        <f t="shared" si="15"/>
        <v>24.183561643835617</v>
      </c>
      <c r="D316" s="77">
        <f>_xll.qlYieldTSForwardRate($C$3,B316,B316,"Act/365 (fixed)","Continuous",,TRUE)</f>
        <v>4.3199646070666793E-2</v>
      </c>
      <c r="E316" s="236">
        <f t="shared" si="16"/>
        <v>-2.8247470997823771E-3</v>
      </c>
      <c r="F316" s="236">
        <f t="shared" si="17"/>
        <v>9.9928791301097538E-4</v>
      </c>
      <c r="G316" s="77">
        <f>_xll.qlYieldTSForwardRate($C$4,B316,B316,"Act/365 (fixed)","Continuous",,TRUE)</f>
        <v>4.3026666330947573E-2</v>
      </c>
      <c r="H316" s="242">
        <f>(_xll.qlYieldTSDiscount($C$4,B316)-_xll.qlYieldTSDiscount($C$3,B316))/1%</f>
        <v>-0.60195420860771343</v>
      </c>
      <c r="I316" s="245">
        <v>0</v>
      </c>
    </row>
    <row r="317" spans="2:9">
      <c r="B317" s="111">
        <f>_xll.qlCalendarAdvance("Null",B316,"1m")</f>
        <v>52597</v>
      </c>
      <c r="C317" s="112">
        <f t="shared" si="15"/>
        <v>24.268493150684932</v>
      </c>
      <c r="D317" s="77">
        <f>_xll.qlYieldTSForwardRate($C$3,B317,B317,"Act/365 (fixed)","Continuous",,TRUE)</f>
        <v>4.3176001018061773E-2</v>
      </c>
      <c r="E317" s="236">
        <f t="shared" si="16"/>
        <v>-2.7412157355006699E-3</v>
      </c>
      <c r="F317" s="236">
        <f t="shared" si="17"/>
        <v>9.8327427015484545E-4</v>
      </c>
      <c r="G317" s="77">
        <f>_xll.qlYieldTSForwardRate($C$4,B317,B317,"Act/365 (fixed)","Continuous",,TRUE)</f>
        <v>4.3022184359896611E-2</v>
      </c>
      <c r="H317" s="242">
        <f>(_xll.qlYieldTSDiscount($C$4,B317)-_xll.qlYieldTSDiscount($C$3,B317))/1%</f>
        <v>-0.59924952958073097</v>
      </c>
      <c r="I317" s="245">
        <v>0</v>
      </c>
    </row>
    <row r="318" spans="2:9">
      <c r="B318" s="111">
        <f>_xll.qlCalendarAdvance("Null",B317,"1m")</f>
        <v>52628</v>
      </c>
      <c r="C318" s="112">
        <f t="shared" si="15"/>
        <v>24.353424657534248</v>
      </c>
      <c r="D318" s="77">
        <f>_xll.qlYieldTSForwardRate($C$3,B318,B318,"Act/365 (fixed)","Continuous",,TRUE)</f>
        <v>4.3153082954063768E-2</v>
      </c>
      <c r="E318" s="236">
        <f t="shared" si="16"/>
        <v>-2.6577251689615532E-3</v>
      </c>
      <c r="F318" s="236">
        <f t="shared" si="17"/>
        <v>1.0413907844813186E-3</v>
      </c>
      <c r="G318" s="77">
        <f>_xll.qlYieldTSForwardRate($C$4,B318,B318,"Act/365 (fixed)","Continuous",,TRUE)</f>
        <v>4.3018239565722836E-2</v>
      </c>
      <c r="H318" s="242">
        <f>(_xll.qlYieldTSDiscount($C$4,B318)-_xll.qlYieldTSDiscount($C$3,B318))/1%</f>
        <v>-0.59661600447845076</v>
      </c>
      <c r="I318" s="245">
        <v>0</v>
      </c>
    </row>
    <row r="319" spans="2:9">
      <c r="B319" s="111">
        <f>_xll.qlCalendarAdvance("Null",B318,"1m")</f>
        <v>52657</v>
      </c>
      <c r="C319" s="112">
        <f t="shared" si="15"/>
        <v>24.432876712328767</v>
      </c>
      <c r="D319" s="77">
        <f>_xll.qlYieldTSForwardRate($C$3,B319,B319,"Act/365 (fixed)","Continuous",,TRUE)</f>
        <v>4.3132312385147337E-2</v>
      </c>
      <c r="E319" s="236">
        <f t="shared" si="16"/>
        <v>-2.5700282092845639E-3</v>
      </c>
      <c r="F319" s="236">
        <f t="shared" si="17"/>
        <v>1.0492960630529215E-3</v>
      </c>
      <c r="G319" s="77">
        <f>_xll.qlYieldTSForwardRate($C$4,B319,B319,"Act/365 (fixed)","Continuous",,TRUE)</f>
        <v>4.3014989381815451E-2</v>
      </c>
      <c r="H319" s="242">
        <f>(_xll.qlYieldTSDiscount($C$4,B319)-_xll.qlYieldTSDiscount($C$3,B319))/1%</f>
        <v>-0.59421554968856483</v>
      </c>
      <c r="I319" s="245">
        <v>0</v>
      </c>
    </row>
    <row r="320" spans="2:9">
      <c r="B320" s="111">
        <f>_xll.qlCalendarAdvance("Null",B319,"1m")</f>
        <v>52688</v>
      </c>
      <c r="C320" s="112">
        <f t="shared" si="15"/>
        <v>24.517808219178082</v>
      </c>
      <c r="D320" s="77">
        <f>_xll.qlYieldTSForwardRate($C$3,B320,B320,"Act/365 (fixed)","Continuous",,TRUE)</f>
        <v>4.3110835915007036E-2</v>
      </c>
      <c r="E320" s="236">
        <f t="shared" si="16"/>
        <v>-2.4852381448980604E-3</v>
      </c>
      <c r="F320" s="236">
        <f t="shared" si="17"/>
        <v>1.0488063636427314E-3</v>
      </c>
      <c r="G320" s="77">
        <f>_xll.qlYieldTSForwardRate($C$4,B320,B320,"Act/365 (fixed)","Continuous",,TRUE)</f>
        <v>4.3011936103995285E-2</v>
      </c>
      <c r="H320" s="242">
        <f>(_xll.qlYieldTSDiscount($C$4,B320)-_xll.qlYieldTSDiscount($C$3,B320))/1%</f>
        <v>-0.59171556354589705</v>
      </c>
      <c r="I320" s="245">
        <v>0</v>
      </c>
    </row>
    <row r="321" spans="2:9">
      <c r="B321" s="111">
        <f>_xll.qlCalendarAdvance("Null",B320,"1m")</f>
        <v>52718</v>
      </c>
      <c r="C321" s="112">
        <f t="shared" si="15"/>
        <v>24.6</v>
      </c>
      <c r="D321" s="77">
        <f>_xll.qlYieldTSForwardRate($C$3,B321,B321,"Act/365 (fixed)","Continuous",,TRUE)</f>
        <v>4.3090778268205204E-2</v>
      </c>
      <c r="E321" s="236">
        <f t="shared" si="16"/>
        <v>-2.3947482416620783E-3</v>
      </c>
      <c r="F321" s="236">
        <f t="shared" si="17"/>
        <v>1.0735993891568807E-3</v>
      </c>
      <c r="G321" s="77">
        <f>_xll.qlYieldTSForwardRate($C$4,B321,B321,"Act/365 (fixed)","Continuous",,TRUE)</f>
        <v>4.3009347519124753E-2</v>
      </c>
      <c r="H321" s="242">
        <f>(_xll.qlYieldTSDiscount($C$4,B321)-_xll.qlYieldTSDiscount($C$3,B321))/1%</f>
        <v>-0.58935955197736423</v>
      </c>
      <c r="I321" s="245">
        <v>0</v>
      </c>
    </row>
    <row r="322" spans="2:9">
      <c r="B322" s="111">
        <f>_xll.qlCalendarAdvance("Null",B321,"1m")</f>
        <v>52749</v>
      </c>
      <c r="C322" s="112">
        <f t="shared" si="15"/>
        <v>24.684931506849313</v>
      </c>
      <c r="D322" s="77">
        <f>_xll.qlYieldTSForwardRate($C$3,B322,B322,"Act/365 (fixed)","Continuous",,TRUE)</f>
        <v>4.3070814095077889E-2</v>
      </c>
      <c r="E322" s="236">
        <f t="shared" si="16"/>
        <v>-2.3058146853403372E-3</v>
      </c>
      <c r="F322" s="236">
        <f t="shared" si="17"/>
        <v>1.0904493152836038E-3</v>
      </c>
      <c r="G322" s="77">
        <f>_xll.qlYieldTSForwardRate($C$4,B322,B322,"Act/365 (fixed)","Continuous",,TRUE)</f>
        <v>4.3007000291260221E-2</v>
      </c>
      <c r="H322" s="242">
        <f>(_xll.qlYieldTSDiscount($C$4,B322)-_xll.qlYieldTSDiscount($C$3,B322))/1%</f>
        <v>-0.58698856911827968</v>
      </c>
      <c r="I322" s="245">
        <v>0</v>
      </c>
    </row>
    <row r="323" spans="2:9">
      <c r="B323" s="111">
        <f>_xll.qlCalendarAdvance("Null",B322,"1m")</f>
        <v>52779</v>
      </c>
      <c r="C323" s="112">
        <f t="shared" si="15"/>
        <v>24.767123287671232</v>
      </c>
      <c r="D323" s="77">
        <f>_xll.qlYieldTSForwardRate($C$3,B323,B323,"Act/365 (fixed)","Continuous",,TRUE)</f>
        <v>4.3052242735107736E-2</v>
      </c>
      <c r="E323" s="236">
        <f t="shared" si="16"/>
        <v>-2.2125087670530398E-3</v>
      </c>
      <c r="F323" s="236">
        <f t="shared" si="17"/>
        <v>1.1160093088956921E-3</v>
      </c>
      <c r="G323" s="77">
        <f>_xll.qlYieldTSForwardRate($C$4,B323,B323,"Act/365 (fixed)","Continuous",,TRUE)</f>
        <v>4.3004997244375294E-2</v>
      </c>
      <c r="H323" s="242">
        <f>(_xll.qlYieldTSDiscount($C$4,B323)-_xll.qlYieldTSDiscount($C$3,B323))/1%</f>
        <v>-0.58475362775242123</v>
      </c>
      <c r="I323" s="245">
        <v>0</v>
      </c>
    </row>
    <row r="324" spans="2:9">
      <c r="B324" s="111">
        <f>_xll.qlCalendarAdvance("Null",B323,"1m")</f>
        <v>52810</v>
      </c>
      <c r="C324" s="112">
        <f t="shared" si="15"/>
        <v>24.852054794520548</v>
      </c>
      <c r="D324" s="77">
        <f>_xll.qlYieldTSForwardRate($C$3,B324,B324,"Act/365 (fixed)","Continuous",,TRUE)</f>
        <v>4.3033837921162756E-2</v>
      </c>
      <c r="E324" s="236">
        <f t="shared" si="16"/>
        <v>-2.1193035405659868E-3</v>
      </c>
      <c r="F324" s="236">
        <f t="shared" si="17"/>
        <v>1.1054835049338497E-3</v>
      </c>
      <c r="G324" s="77">
        <f>_xll.qlYieldTSForwardRate($C$4,B324,B324,"Act/365 (fixed)","Continuous",,TRUE)</f>
        <v>4.3003154073358897E-2</v>
      </c>
      <c r="H324" s="242">
        <f>(_xll.qlYieldTSDiscount($C$4,B324)-_xll.qlYieldTSDiscount($C$3,B324))/1%</f>
        <v>-0.58250353098807661</v>
      </c>
      <c r="I324" s="245">
        <v>0</v>
      </c>
    </row>
    <row r="325" spans="2:9">
      <c r="B325" s="111">
        <f>_xll.qlCalendarAdvance("Null",B324,"1m")</f>
        <v>52841</v>
      </c>
      <c r="C325" s="112">
        <f t="shared" si="15"/>
        <v>24.936986301369863</v>
      </c>
      <c r="D325" s="77">
        <f>_xll.qlYieldTSForwardRate($C$3,B325,B325,"Act/365 (fixed)","Continuous",,TRUE)</f>
        <v>4.3016243606473464E-2</v>
      </c>
      <c r="E325" s="236">
        <f t="shared" si="16"/>
        <v>-2.0247280073108507E-3</v>
      </c>
      <c r="F325" s="236">
        <f t="shared" si="17"/>
        <v>1.1480505956361334E-3</v>
      </c>
      <c r="G325" s="77">
        <f>_xll.qlYieldTSForwardRate($C$4,B325,B325,"Act/365 (fixed)","Continuous",,TRUE)</f>
        <v>4.3001489660803111E-2</v>
      </c>
      <c r="H325" s="242">
        <f>(_xll.qlYieldTSDiscount($C$4,B325)-_xll.qlYieldTSDiscount($C$3,B325))/1%</f>
        <v>-0.58031135239068887</v>
      </c>
      <c r="I325" s="245">
        <v>0</v>
      </c>
    </row>
    <row r="326" spans="2:9">
      <c r="B326" s="111">
        <f>_xll.qlCalendarAdvance("Null",B325,"1m")</f>
        <v>52871</v>
      </c>
      <c r="C326" s="112">
        <f t="shared" si="15"/>
        <v>25.019178082191782</v>
      </c>
      <c r="D326" s="77">
        <f>_xll.qlYieldTSForwardRate($C$3,B326,B326,"Act/365 (fixed)","Continuous",,TRUE)</f>
        <v>4.3000000001040574E-2</v>
      </c>
      <c r="E326" s="236">
        <f t="shared" si="16"/>
        <v>-1.9274375506103572E-3</v>
      </c>
      <c r="F326" s="236">
        <f t="shared" si="17"/>
        <v>1.144793609516201E-3</v>
      </c>
      <c r="G326" s="77">
        <f>_xll.qlYieldTSForwardRate($C$4,B326,B326,"Act/365 (fixed)","Continuous",,TRUE)</f>
        <v>4.3000000001040574E-2</v>
      </c>
      <c r="H326" s="242">
        <f>(_xll.qlYieldTSDiscount($C$4,B326)-_xll.qlYieldTSDiscount($C$3,B326))/1%</f>
        <v>-0.57824260391453053</v>
      </c>
      <c r="I326" s="245">
        <v>0</v>
      </c>
    </row>
    <row r="327" spans="2:9">
      <c r="B327" s="111">
        <f>_xll.qlCalendarAdvance("Null",B326,"1m")</f>
        <v>52902</v>
      </c>
      <c r="C327" s="112">
        <f t="shared" si="15"/>
        <v>25.104109589041094</v>
      </c>
      <c r="D327" s="77">
        <f>_xll.qlYieldTSForwardRate($C$3,B327,B327,"Act/365 (fixed)","Continuous",,TRUE)</f>
        <v>4.2984031636449566E-2</v>
      </c>
      <c r="E327" s="236">
        <f t="shared" si="16"/>
        <v>-1.8334063355834877E-3</v>
      </c>
      <c r="F327" s="236">
        <f t="shared" si="17"/>
        <v>1.1356972817676567E-3</v>
      </c>
      <c r="G327" s="77">
        <f>_xll.qlYieldTSForwardRate($C$4,B327,B327,"Act/365 (fixed)","Continuous",,TRUE)</f>
        <v>4.2998543494615224E-2</v>
      </c>
      <c r="H327" s="242">
        <f>(_xll.qlYieldTSDiscount($C$4,B327)-_xll.qlYieldTSDiscount($C$3,B327))/1%</f>
        <v>-0.57615671464683604</v>
      </c>
      <c r="I327" s="245">
        <v>0</v>
      </c>
    </row>
    <row r="328" spans="2:9">
      <c r="B328" s="111">
        <f>_xll.qlCalendarAdvance("Null",B327,"1m")</f>
        <v>52932</v>
      </c>
      <c r="C328" s="112">
        <f t="shared" si="15"/>
        <v>25.186301369863013</v>
      </c>
      <c r="D328" s="77">
        <f>_xll.qlYieldTSForwardRate($C$3,B328,B328,"Act/365 (fixed)","Continuous",,TRUE)</f>
        <v>4.2969359511596576E-2</v>
      </c>
      <c r="E328" s="236">
        <f t="shared" si="16"/>
        <v>-1.737636087082066E-3</v>
      </c>
      <c r="F328" s="236">
        <f t="shared" si="17"/>
        <v>1.1270692823303174E-3</v>
      </c>
      <c r="G328" s="77">
        <f>_xll.qlYieldTSForwardRate($C$4,B328,B328,"Act/365 (fixed)","Continuous",,TRUE)</f>
        <v>4.2997205219772079E-2</v>
      </c>
      <c r="H328" s="242">
        <f>(_xll.qlYieldTSDiscount($C$4,B328)-_xll.qlYieldTSDiscount($C$3,B328))/1%</f>
        <v>-0.57418568170569673</v>
      </c>
      <c r="I328" s="245">
        <v>0</v>
      </c>
    </row>
    <row r="329" spans="2:9">
      <c r="B329" s="111">
        <f>_xll.qlCalendarAdvance("Null",B328,"1m")</f>
        <v>52963</v>
      </c>
      <c r="C329" s="112">
        <f t="shared" si="15"/>
        <v>25.271232876712329</v>
      </c>
      <c r="D329" s="77">
        <f>_xll.qlYieldTSForwardRate($C$3,B329,B329,"Act/365 (fixed)","Continuous",,TRUE)</f>
        <v>4.2954991690884632E-2</v>
      </c>
      <c r="E329" s="236">
        <f t="shared" si="16"/>
        <v>-1.6450468116871863E-3</v>
      </c>
      <c r="F329" s="236">
        <f t="shared" si="17"/>
        <v>1.063454908650636E-3</v>
      </c>
      <c r="G329" s="77">
        <f>_xll.qlYieldTSForwardRate($C$4,B329,B329,"Act/365 (fixed)","Continuous",,TRUE)</f>
        <v>4.2995894704825906E-2</v>
      </c>
      <c r="H329" s="242">
        <f>(_xll.qlYieldTSDiscount($C$4,B329)-_xll.qlYieldTSDiscount($C$3,B329))/1%</f>
        <v>-0.5721954745780411</v>
      </c>
      <c r="I329" s="245">
        <v>0</v>
      </c>
    </row>
    <row r="330" spans="2:9">
      <c r="B330" s="111">
        <f>_xll.qlCalendarAdvance("Null",B329,"1m")</f>
        <v>52994</v>
      </c>
      <c r="C330" s="112">
        <f t="shared" si="15"/>
        <v>25.356164383561644</v>
      </c>
      <c r="D330" s="77">
        <f>_xll.qlYieldTSForwardRate($C$3,B330,B330,"Act/365 (fixed)","Continuous",,TRUE)</f>
        <v>4.2941416250685725E-2</v>
      </c>
      <c r="E330" s="236">
        <f t="shared" si="16"/>
        <v>-1.5569944313660667E-3</v>
      </c>
      <c r="F330" s="236">
        <f t="shared" si="17"/>
        <v>1.1069186289279322E-3</v>
      </c>
      <c r="G330" s="77">
        <f>_xll.qlYieldTSForwardRate($C$4,B330,B330,"Act/365 (fixed)","Continuous",,TRUE)</f>
        <v>4.2994656460646853E-2</v>
      </c>
      <c r="H330" s="242">
        <f>(_xll.qlYieldTSDiscount($C$4,B330)-_xll.qlYieldTSDiscount($C$3,B330))/1%</f>
        <v>-0.57024995847825277</v>
      </c>
      <c r="I330" s="245">
        <v>0</v>
      </c>
    </row>
    <row r="331" spans="2:9">
      <c r="B331" s="111">
        <f>_xll.qlCalendarAdvance("Null",B330,"1m")</f>
        <v>53022</v>
      </c>
      <c r="C331" s="112">
        <f t="shared" si="15"/>
        <v>25.432876712328767</v>
      </c>
      <c r="D331" s="77">
        <f>_xll.qlYieldTSForwardRate($C$3,B331,B331,"Act/365 (fixed)","Continuous",,TRUE)</f>
        <v>4.2929823835692688E-2</v>
      </c>
      <c r="E331" s="236">
        <f t="shared" si="16"/>
        <v>-1.4661202387919866E-3</v>
      </c>
      <c r="F331" s="236">
        <f t="shared" si="17"/>
        <v>1.0786570032552084E-3</v>
      </c>
      <c r="G331" s="77">
        <f>_xll.qlYieldTSForwardRate($C$4,B331,B331,"Act/365 (fixed)","Continuous",,TRUE)</f>
        <v>4.2993599093225164E-2</v>
      </c>
      <c r="H331" s="242">
        <f>(_xll.qlYieldTSDiscount($C$4,B331)-_xll.qlYieldTSDiscount($C$3,B331))/1%</f>
        <v>-0.56852900489682279</v>
      </c>
      <c r="I331" s="245">
        <v>0</v>
      </c>
    </row>
    <row r="332" spans="2:9">
      <c r="B332" s="111">
        <f>_xll.qlCalendarAdvance("Null",B331,"1m")</f>
        <v>53053</v>
      </c>
      <c r="C332" s="112">
        <f t="shared" si="15"/>
        <v>25.517808219178082</v>
      </c>
      <c r="D332" s="77">
        <f>_xll.qlYieldTSForwardRate($C$3,B332,B332,"Act/365 (fixed)","Continuous",,TRUE)</f>
        <v>4.2917717320798403E-2</v>
      </c>
      <c r="E332" s="236">
        <f t="shared" si="16"/>
        <v>-1.3826361760453621E-3</v>
      </c>
      <c r="F332" s="236">
        <f t="shared" si="17"/>
        <v>1.0239749261242831E-3</v>
      </c>
      <c r="G332" s="77">
        <f>_xll.qlYieldTSForwardRate($C$4,B332,B332,"Act/365 (fixed)","Continuous",,TRUE)</f>
        <v>4.2992494834625285E-2</v>
      </c>
      <c r="H332" s="242">
        <f>(_xll.qlYieldTSDiscount($C$4,B332)-_xll.qlYieldTSDiscount($C$3,B332))/1%</f>
        <v>-0.56666154898023513</v>
      </c>
      <c r="I332" s="245">
        <v>0</v>
      </c>
    </row>
    <row r="333" spans="2:9">
      <c r="B333" s="111">
        <f>_xll.qlCalendarAdvance("Null",B332,"1m")</f>
        <v>53083</v>
      </c>
      <c r="C333" s="112">
        <f t="shared" si="15"/>
        <v>25.6</v>
      </c>
      <c r="D333" s="77">
        <f>_xll.qlYieldTSForwardRate($C$3,B333,B333,"Act/365 (fixed)","Continuous",,TRUE)</f>
        <v>4.2906716765353299E-2</v>
      </c>
      <c r="E333" s="236">
        <f t="shared" si="16"/>
        <v>-1.2949901826451869E-3</v>
      </c>
      <c r="F333" s="236">
        <f t="shared" si="17"/>
        <v>1.022460598319301E-3</v>
      </c>
      <c r="G333" s="77">
        <f>_xll.qlYieldTSForwardRate($C$4,B333,B333,"Act/365 (fixed)","Continuous",,TRUE)</f>
        <v>4.2991491454896509E-2</v>
      </c>
      <c r="H333" s="242">
        <f>(_xll.qlYieldTSDiscount($C$4,B333)-_xll.qlYieldTSDiscount($C$3,B333))/1%</f>
        <v>-0.56489003769703561</v>
      </c>
      <c r="I333" s="245">
        <v>0</v>
      </c>
    </row>
    <row r="334" spans="2:9">
      <c r="B334" s="111">
        <f>_xll.qlCalendarAdvance("Null",B333,"1m")</f>
        <v>53114</v>
      </c>
      <c r="C334" s="112">
        <f t="shared" si="15"/>
        <v>25.684931506849313</v>
      </c>
      <c r="D334" s="77">
        <f>_xll.qlYieldTSForwardRate($C$3,B334,B334,"Act/365 (fixed)","Continuous",,TRUE)</f>
        <v>4.289607501911584E-2</v>
      </c>
      <c r="E334" s="236">
        <f t="shared" si="16"/>
        <v>-1.2117591993399466E-3</v>
      </c>
      <c r="F334" s="236">
        <f t="shared" si="17"/>
        <v>1.0028226339792246E-3</v>
      </c>
      <c r="G334" s="77">
        <f>_xll.qlYieldTSForwardRate($C$4,B334,B334,"Act/365 (fixed)","Continuous",,TRUE)</f>
        <v>4.299052079996081E-2</v>
      </c>
      <c r="H334" s="242">
        <f>(_xll.qlYieldTSDiscount($C$4,B334)-_xll.qlYieldTSDiscount($C$3,B334))/1%</f>
        <v>-0.56309408414405571</v>
      </c>
      <c r="I334" s="245">
        <v>0</v>
      </c>
    </row>
    <row r="335" spans="2:9">
      <c r="B335" s="111">
        <f>_xll.qlCalendarAdvance("Null",B334,"1m")</f>
        <v>53144</v>
      </c>
      <c r="C335" s="112">
        <f t="shared" si="15"/>
        <v>25.767123287671232</v>
      </c>
      <c r="D335" s="77">
        <f>_xll.qlYieldTSForwardRate($C$3,B335,B335,"Act/365 (fixed)","Continuous",,TRUE)</f>
        <v>4.2886465447227344E-2</v>
      </c>
      <c r="E335" s="236">
        <f t="shared" si="16"/>
        <v>-1.1273951671034554E-3</v>
      </c>
      <c r="F335" s="236">
        <f t="shared" si="17"/>
        <v>9.9166736889269775E-4</v>
      </c>
      <c r="G335" s="77">
        <f>_xll.qlYieldTSForwardRate($C$4,B335,B335,"Act/365 (fixed)","Continuous",,TRUE)</f>
        <v>4.2989644289312345E-2</v>
      </c>
      <c r="H335" s="242">
        <f>(_xll.qlYieldTSDiscount($C$4,B335)-_xll.qlYieldTSDiscount($C$3,B335))/1%</f>
        <v>-0.5613874313803946</v>
      </c>
      <c r="I335" s="245">
        <v>0</v>
      </c>
    </row>
    <row r="336" spans="2:9">
      <c r="B336" s="111">
        <f>_xll.qlCalendarAdvance("Null",B335,"1m")</f>
        <v>53175</v>
      </c>
      <c r="C336" s="112">
        <f t="shared" si="15"/>
        <v>25.852054794520548</v>
      </c>
      <c r="D336" s="77">
        <f>_xll.qlYieldTSForwardRate($C$3,B336,B336,"Act/365 (fixed)","Continuous",,TRUE)</f>
        <v>4.2877233620432741E-2</v>
      </c>
      <c r="E336" s="236">
        <f t="shared" si="16"/>
        <v>-1.0460284883743161E-3</v>
      </c>
      <c r="F336" s="236">
        <f t="shared" si="17"/>
        <v>9.4862745564784818E-4</v>
      </c>
      <c r="G336" s="77">
        <f>_xll.qlYieldTSForwardRate($C$4,B336,B336,"Act/365 (fixed)","Continuous",,TRUE)</f>
        <v>4.2988802239838329E-2</v>
      </c>
      <c r="H336" s="242">
        <f>(_xll.qlYieldTSDiscount($C$4,B336)-_xll.qlYieldTSDiscount($C$3,B336))/1%</f>
        <v>-0.55965414803320623</v>
      </c>
      <c r="I336" s="245">
        <v>0</v>
      </c>
    </row>
    <row r="337" spans="2:9">
      <c r="B337" s="111">
        <f>_xll.qlCalendarAdvance("Null",B336,"1m")</f>
        <v>53206</v>
      </c>
      <c r="C337" s="112">
        <f t="shared" si="15"/>
        <v>25.936986301369863</v>
      </c>
      <c r="D337" s="77">
        <f>_xll.qlYieldTSForwardRate($C$3,B337,B337,"Act/365 (fixed)","Continuous",,TRUE)</f>
        <v>4.2868697292082356E-2</v>
      </c>
      <c r="E337" s="236">
        <f t="shared" si="16"/>
        <v>-9.6625844860984752E-4</v>
      </c>
      <c r="F337" s="236">
        <f t="shared" si="17"/>
        <v>9.524961729736642E-4</v>
      </c>
      <c r="G337" s="77">
        <f>_xll.qlYieldTSForwardRate($C$4,B337,B337,"Act/365 (fixed)","Continuous",,TRUE)</f>
        <v>4.2988023623794308E-2</v>
      </c>
      <c r="H337" s="242">
        <f>(_xll.qlYieldTSDiscount($C$4,B337)-_xll.qlYieldTSDiscount($C$3,B337))/1%</f>
        <v>-0.55794949473996769</v>
      </c>
      <c r="I337" s="245">
        <v>0</v>
      </c>
    </row>
    <row r="338" spans="2:9">
      <c r="B338" s="111">
        <f>_xll.qlCalendarAdvance("Null",B337,"1m")</f>
        <v>53236</v>
      </c>
      <c r="C338" s="112">
        <f t="shared" si="15"/>
        <v>26.019178082191782</v>
      </c>
      <c r="D338" s="77">
        <f>_xll.qlYieldTSForwardRate($C$3,B338,B338,"Act/365 (fixed)","Continuous",,TRUE)</f>
        <v>4.2861085191565562E-2</v>
      </c>
      <c r="E338" s="236">
        <f t="shared" si="16"/>
        <v>-8.8684419645268845E-4</v>
      </c>
      <c r="F338" s="236">
        <f t="shared" si="17"/>
        <v>9.2553561078611863E-4</v>
      </c>
      <c r="G338" s="77">
        <f>_xll.qlYieldTSForwardRate($C$4,B338,B338,"Act/365 (fixed)","Continuous",,TRUE)</f>
        <v>4.2987329308842526E-2</v>
      </c>
      <c r="H338" s="242">
        <f>(_xll.qlYieldTSDiscount($C$4,B338)-_xll.qlYieldTSDiscount($C$3,B338))/1%</f>
        <v>-0.55632512920313348</v>
      </c>
      <c r="I338" s="245">
        <v>0</v>
      </c>
    </row>
    <row r="339" spans="2:9">
      <c r="B339" s="111">
        <f>_xll.qlCalendarAdvance("Null",B338,"1m")</f>
        <v>53267</v>
      </c>
      <c r="C339" s="112">
        <f t="shared" si="15"/>
        <v>26.104109589041094</v>
      </c>
      <c r="D339" s="77">
        <f>_xll.qlYieldTSForwardRate($C$3,B339,B339,"Act/365 (fixed)","Continuous",,TRUE)</f>
        <v>4.2853876060306023E-2</v>
      </c>
      <c r="E339" s="236">
        <f t="shared" si="16"/>
        <v>-8.1157989447847056E-4</v>
      </c>
      <c r="F339" s="236">
        <f t="shared" si="17"/>
        <v>9.0589605511989064E-4</v>
      </c>
      <c r="G339" s="77">
        <f>_xll.qlYieldTSForwardRate($C$4,B339,B339,"Act/365 (fixed)","Continuous",,TRUE)</f>
        <v>4.2986671748776163E-2</v>
      </c>
      <c r="H339" s="242">
        <f>(_xll.qlYieldTSDiscount($C$4,B339)-_xll.qlYieldTSDiscount($C$3,B339))/1%</f>
        <v>-0.55467079748486858</v>
      </c>
      <c r="I339" s="245">
        <v>0</v>
      </c>
    </row>
    <row r="340" spans="2:9">
      <c r="B340" s="111">
        <f>_xll.qlCalendarAdvance("Null",B339,"1m")</f>
        <v>53297</v>
      </c>
      <c r="C340" s="112">
        <f t="shared" si="15"/>
        <v>26.186301369863013</v>
      </c>
      <c r="D340" s="77">
        <f>_xll.qlYieldTSForwardRate($C$3,B340,B340,"Act/365 (fixed)","Continuous",,TRUE)</f>
        <v>4.2847521801548251E-2</v>
      </c>
      <c r="E340" s="236">
        <f t="shared" si="16"/>
        <v>-7.3544786943265366E-4</v>
      </c>
      <c r="F340" s="236">
        <f t="shared" si="17"/>
        <v>8.9394676833263564E-4</v>
      </c>
      <c r="G340" s="77">
        <f>_xll.qlYieldTSForwardRate($C$4,B340,B340,"Act/365 (fixed)","Continuous",,TRUE)</f>
        <v>4.2986092165998926E-2</v>
      </c>
      <c r="H340" s="242">
        <f>(_xll.qlYieldTSDiscount($C$4,B340)-_xll.qlYieldTSDiscount($C$3,B340))/1%</f>
        <v>-0.55309141082559021</v>
      </c>
      <c r="I340" s="245">
        <v>0</v>
      </c>
    </row>
    <row r="341" spans="2:9">
      <c r="B341" s="111">
        <f>_xll.qlCalendarAdvance("Null",B340,"1m")</f>
        <v>53328</v>
      </c>
      <c r="C341" s="112">
        <f t="shared" si="15"/>
        <v>26.271232876712329</v>
      </c>
      <c r="D341" s="77">
        <f>_xll.qlYieldTSForwardRate($C$3,B341,B341,"Act/365 (fixed)","Continuous",,TRUE)</f>
        <v>4.2841585013720984E-2</v>
      </c>
      <c r="E341" s="236">
        <f t="shared" si="16"/>
        <v>-6.6218057155164505E-4</v>
      </c>
      <c r="F341" s="236">
        <f t="shared" si="17"/>
        <v>8.3968533296796446E-4</v>
      </c>
      <c r="G341" s="77">
        <f>_xll.qlYieldTSForwardRate($C$4,B341,B341,"Act/365 (fixed)","Continuous",,TRUE)</f>
        <v>4.2985550659266826E-2</v>
      </c>
      <c r="H341" s="242">
        <f>(_xll.qlYieldTSDiscount($C$4,B341)-_xll.qlYieldTSDiscount($C$3,B341))/1%</f>
        <v>-0.5514798364778084</v>
      </c>
      <c r="I341" s="245">
        <v>0</v>
      </c>
    </row>
    <row r="342" spans="2:9">
      <c r="B342" s="111">
        <f>_xll.qlCalendarAdvance("Null",B341,"1m")</f>
        <v>53359</v>
      </c>
      <c r="C342" s="112">
        <f t="shared" si="15"/>
        <v>26.356164383561644</v>
      </c>
      <c r="D342" s="77">
        <f>_xll.qlYieldTSForwardRate($C$3,B342,B342,"Act/365 (fixed)","Continuous",,TRUE)</f>
        <v>4.2836273802798606E-2</v>
      </c>
      <c r="E342" s="236">
        <f t="shared" si="16"/>
        <v>-5.9281638821617679E-4</v>
      </c>
      <c r="F342" s="236">
        <f t="shared" si="17"/>
        <v>8.698168795250584E-4</v>
      </c>
      <c r="G342" s="77">
        <f>_xll.qlYieldTSForwardRate($C$4,B342,B342,"Act/365 (fixed)","Continuous",,TRUE)</f>
        <v>4.2985066215532428E-2</v>
      </c>
      <c r="H342" s="242">
        <f>(_xll.qlYieldTSDiscount($C$4,B342)-_xll.qlYieldTSDiscount($C$3,B342))/1%</f>
        <v>-0.54988724705378189</v>
      </c>
      <c r="I342" s="245">
        <v>0</v>
      </c>
    </row>
    <row r="343" spans="2:9">
      <c r="B343" s="111">
        <f>_xll.qlCalendarAdvance("Null",B342,"1m")</f>
        <v>53387</v>
      </c>
      <c r="C343" s="112">
        <f t="shared" si="15"/>
        <v>26.432876712328767</v>
      </c>
      <c r="D343" s="77">
        <f>_xll.qlYieldTSForwardRate($C$3,B343,B343,"Act/365 (fixed)","Continuous",,TRUE)</f>
        <v>4.283200250224023E-2</v>
      </c>
      <c r="E343" s="236">
        <f t="shared" si="16"/>
        <v>-5.2158003486129343E-4</v>
      </c>
      <c r="F343" s="236">
        <f t="shared" si="17"/>
        <v>8.4351468466696566E-4</v>
      </c>
      <c r="G343" s="77">
        <f>_xll.qlYieldTSForwardRate($C$4,B343,B343,"Act/365 (fixed)","Continuous",,TRUE)</f>
        <v>4.2984676619963746E-2</v>
      </c>
      <c r="H343" s="242">
        <f>(_xll.qlYieldTSDiscount($C$4,B343)-_xll.qlYieldTSDiscount($C$3,B343))/1%</f>
        <v>-0.54846362578512275</v>
      </c>
      <c r="I343" s="245">
        <v>0</v>
      </c>
    </row>
    <row r="344" spans="2:9">
      <c r="B344" s="111">
        <f>_xll.qlCalendarAdvance("Null",B343,"1m")</f>
        <v>53418</v>
      </c>
      <c r="C344" s="112">
        <f t="shared" si="15"/>
        <v>26.517808219178082</v>
      </c>
      <c r="D344" s="77">
        <f>_xll.qlYieldTSForwardRate($C$3,B344,B344,"Act/365 (fixed)","Continuous",,TRUE)</f>
        <v>4.2827842783057013E-2</v>
      </c>
      <c r="E344" s="236">
        <f t="shared" si="16"/>
        <v>-4.5646743918781823E-4</v>
      </c>
      <c r="F344" s="236">
        <f t="shared" si="17"/>
        <v>7.9654067967879218E-4</v>
      </c>
      <c r="G344" s="77">
        <f>_xll.qlYieldTSForwardRate($C$4,B344,B344,"Act/365 (fixed)","Continuous",,TRUE)</f>
        <v>4.2984297205096431E-2</v>
      </c>
      <c r="H344" s="242">
        <f>(_xll.qlYieldTSDiscount($C$4,B344)-_xll.qlYieldTSDiscount($C$3,B344))/1%</f>
        <v>-0.54690233669876798</v>
      </c>
      <c r="I344" s="245">
        <v>0</v>
      </c>
    </row>
    <row r="345" spans="2:9">
      <c r="B345" s="111">
        <f>_xll.qlCalendarAdvance("Null",B344,"1m")</f>
        <v>53448</v>
      </c>
      <c r="C345" s="112">
        <f t="shared" si="15"/>
        <v>26.6</v>
      </c>
      <c r="D345" s="77">
        <f>_xll.qlYieldTSForwardRate($C$3,B345,B345,"Act/365 (fixed)","Continuous",,TRUE)</f>
        <v>4.2824373868325036E-2</v>
      </c>
      <c r="E345" s="236">
        <f t="shared" si="16"/>
        <v>-3.8845953770949397E-4</v>
      </c>
      <c r="F345" s="236">
        <f t="shared" si="17"/>
        <v>7.9123631179033602E-4</v>
      </c>
      <c r="G345" s="77">
        <f>_xll.qlYieldTSForwardRate($C$4,B345,B345,"Act/365 (fixed)","Continuous",,TRUE)</f>
        <v>4.2983980797335362E-2</v>
      </c>
      <c r="H345" s="242">
        <f>(_xll.qlYieldTSDiscount($C$4,B345)-_xll.qlYieldTSDiscount($C$3,B345))/1%</f>
        <v>-0.54540477823619149</v>
      </c>
      <c r="I345" s="245">
        <v>0</v>
      </c>
    </row>
    <row r="346" spans="2:9">
      <c r="B346" s="111">
        <f>_xll.qlCalendarAdvance("Null",B345,"1m")</f>
        <v>53479</v>
      </c>
      <c r="C346" s="112">
        <f t="shared" ref="C346:C386" si="18">(B346-$B$26)/365</f>
        <v>26.684931506849313</v>
      </c>
      <c r="D346" s="77">
        <f>_xll.qlYieldTSForwardRate($C$3,B346,B346,"Act/365 (fixed)","Continuous",,TRUE)</f>
        <v>4.2821350719550087E-2</v>
      </c>
      <c r="E346" s="236">
        <f t="shared" si="16"/>
        <v>-3.242334254365581E-4</v>
      </c>
      <c r="F346" s="236">
        <f t="shared" si="17"/>
        <v>7.7159516479793661E-4</v>
      </c>
      <c r="G346" s="77">
        <f>_xll.qlYieldTSForwardRate($C$4,B346,B346,"Act/365 (fixed)","Continuous",,TRUE)</f>
        <v>4.2983705050207557E-2</v>
      </c>
      <c r="H346" s="242">
        <f>(_xll.qlYieldTSDiscount($C$4,B346)-_xll.qlYieldTSDiscount($C$3,B346))/1%</f>
        <v>-0.54386956163585132</v>
      </c>
      <c r="I346" s="245">
        <v>0</v>
      </c>
    </row>
    <row r="347" spans="2:9">
      <c r="B347" s="111">
        <f>_xll.qlCalendarAdvance("Null",B346,"1m")</f>
        <v>53509</v>
      </c>
      <c r="C347" s="112">
        <f t="shared" si="18"/>
        <v>26.767123287671232</v>
      </c>
      <c r="D347" s="77">
        <f>_xll.qlYieldTSForwardRate($C$3,B347,B347,"Act/365 (fixed)","Continuous",,TRUE)</f>
        <v>4.281895517272185E-2</v>
      </c>
      <c r="E347" s="236">
        <f t="shared" si="16"/>
        <v>-2.5950801701723754E-4</v>
      </c>
      <c r="F347" s="236">
        <f t="shared" si="17"/>
        <v>7.5854478305085018E-4</v>
      </c>
      <c r="G347" s="77">
        <f>_xll.qlYieldTSForwardRate($C$4,B347,B347,"Act/365 (fixed)","Continuous",,TRUE)</f>
        <v>4.2983486548153281E-2</v>
      </c>
      <c r="H347" s="242">
        <f>(_xll.qlYieldTSDiscount($C$4,B347)-_xll.qlYieldTSDiscount($C$3,B347))/1%</f>
        <v>-0.54239430144039091</v>
      </c>
      <c r="I347" s="245">
        <v>0</v>
      </c>
    </row>
    <row r="348" spans="2:9">
      <c r="B348" s="111">
        <f>_xll.qlCalendarAdvance("Null",B347,"1m")</f>
        <v>53540</v>
      </c>
      <c r="C348" s="112">
        <f t="shared" si="18"/>
        <v>26.852054794520548</v>
      </c>
      <c r="D348" s="77">
        <f>_xll.qlYieldTSForwardRate($C$3,B348,B348,"Act/365 (fixed)","Continuous",,TRUE)</f>
        <v>4.2817013736251991E-2</v>
      </c>
      <c r="E348" s="236">
        <f t="shared" ref="E348:E385" si="19">(D349-D347)/(C349-C347)*10</f>
        <v>-1.9746292744723669E-4</v>
      </c>
      <c r="F348" s="236">
        <f t="shared" ref="F348:F385" si="20">(E349-E347)/(C349-C347)</f>
        <v>7.2113180351781247E-4</v>
      </c>
      <c r="G348" s="77">
        <f>_xll.qlYieldTSForwardRate($C$4,B348,B348,"Act/365 (fixed)","Continuous",,TRUE)</f>
        <v>4.298330946390113E-2</v>
      </c>
      <c r="H348" s="242">
        <f>(_xll.qlYieldTSDiscount($C$4,B348)-_xll.qlYieldTSDiscount($C$3,B348))/1%</f>
        <v>-0.54087920634976472</v>
      </c>
      <c r="I348" s="245">
        <v>0</v>
      </c>
    </row>
    <row r="349" spans="2:9">
      <c r="B349" s="111">
        <f>_xll.qlCalendarAdvance("Null",B348,"1m")</f>
        <v>53571</v>
      </c>
      <c r="C349" s="112">
        <f t="shared" si="18"/>
        <v>26.936986301369863</v>
      </c>
      <c r="D349" s="77">
        <f>_xll.qlYieldTSForwardRate($C$3,B349,B349,"Act/365 (fixed)","Continuous",,TRUE)</f>
        <v>4.2815601007926855E-2</v>
      </c>
      <c r="E349" s="236">
        <f t="shared" si="19"/>
        <v>-1.3701439559777288E-4</v>
      </c>
      <c r="F349" s="236">
        <f t="shared" si="20"/>
        <v>7.1937565974897341E-4</v>
      </c>
      <c r="G349" s="77">
        <f>_xll.qlYieldTSForwardRate($C$4,B349,B349,"Act/365 (fixed)","Continuous",,TRUE)</f>
        <v>4.298318060530943E-2</v>
      </c>
      <c r="H349" s="242">
        <f>(_xll.qlYieldTSDiscount($C$4,B349)-_xll.qlYieldTSDiscount($C$3,B349))/1%</f>
        <v>-0.53937219617719023</v>
      </c>
      <c r="I349" s="245">
        <v>0</v>
      </c>
    </row>
    <row r="350" spans="2:9">
      <c r="B350" s="111">
        <f>_xll.qlCalendarAdvance("Null",B349,"1m")</f>
        <v>53601</v>
      </c>
      <c r="C350" s="112">
        <f t="shared" si="18"/>
        <v>27.019178082191782</v>
      </c>
      <c r="D350" s="77">
        <f>_xll.qlYieldTSForwardRate($C$3,B350,B350,"Act/365 (fixed)","Continuous",,TRUE)</f>
        <v>4.2814723906626932E-2</v>
      </c>
      <c r="E350" s="236">
        <f t="shared" si="19"/>
        <v>-7.7238502119324873E-5</v>
      </c>
      <c r="F350" s="236">
        <f t="shared" si="20"/>
        <v>6.9430972244705286E-4</v>
      </c>
      <c r="G350" s="77">
        <f>_xll.qlYieldTSForwardRate($C$4,B350,B350,"Act/365 (fixed)","Continuous",,TRUE)</f>
        <v>4.2983100605202593E-2</v>
      </c>
      <c r="H350" s="242">
        <f>(_xll.qlYieldTSDiscount($C$4,B350)-_xll.qlYieldTSDiscount($C$3,B350))/1%</f>
        <v>-0.53792020766291748</v>
      </c>
      <c r="I350" s="245">
        <v>0</v>
      </c>
    </row>
    <row r="351" spans="2:9">
      <c r="B351" s="111">
        <f>_xll.qlCalendarAdvance("Null",B350,"1m")</f>
        <v>53632</v>
      </c>
      <c r="C351" s="112">
        <f t="shared" si="18"/>
        <v>27.104109589041094</v>
      </c>
      <c r="D351" s="77">
        <f>_xll.qlYieldTSForwardRate($C$3,B351,B351,"Act/365 (fixed)","Continuous",,TRUE)</f>
        <v>4.2814310172685957E-2</v>
      </c>
      <c r="E351" s="236">
        <f t="shared" si="19"/>
        <v>-2.0979072120321546E-5</v>
      </c>
      <c r="F351" s="236">
        <f t="shared" si="20"/>
        <v>6.7467016480554794E-4</v>
      </c>
      <c r="G351" s="77">
        <f>_xll.qlYieldTSForwardRate($C$4,B351,B351,"Act/365 (fixed)","Continuous",,TRUE)</f>
        <v>4.298306286666375E-2</v>
      </c>
      <c r="H351" s="242">
        <f>(_xll.qlYieldTSDiscount($C$4,B351)-_xll.qlYieldTSDiscount($C$3,B351))/1%</f>
        <v>-0.53642516219785663</v>
      </c>
      <c r="I351" s="245">
        <v>0</v>
      </c>
    </row>
    <row r="352" spans="2:9">
      <c r="B352" s="111">
        <f>_xll.qlCalendarAdvance("Null",B351,"1m")</f>
        <v>53662</v>
      </c>
      <c r="C352" s="112">
        <f t="shared" si="18"/>
        <v>27.186301369863013</v>
      </c>
      <c r="D352" s="77">
        <f>_xll.qlYieldTSForwardRate($C$3,B352,B352,"Act/365 (fixed)","Continuous",,TRUE)</f>
        <v>4.2814373297476428E-2</v>
      </c>
      <c r="E352" s="236">
        <f t="shared" si="19"/>
        <v>3.5514593916669519E-5</v>
      </c>
      <c r="F352" s="236">
        <f t="shared" si="20"/>
        <v>6.6082750580825174E-4</v>
      </c>
      <c r="G352" s="77">
        <f>_xll.qlYieldTSForwardRate($C$4,B352,B352,"Act/365 (fixed)","Continuous",,TRUE)</f>
        <v>4.2983068626476044E-2</v>
      </c>
      <c r="H352" s="242">
        <f>(_xll.qlYieldTSDiscount($C$4,B352)-_xll.qlYieldTSDiscount($C$3,B352))/1%</f>
        <v>-0.53498233935327932</v>
      </c>
      <c r="I352" s="245">
        <v>0</v>
      </c>
    </row>
    <row r="353" spans="2:9">
      <c r="B353" s="111">
        <f>_xll.qlCalendarAdvance("Null",B352,"1m")</f>
        <v>53693</v>
      </c>
      <c r="C353" s="112">
        <f t="shared" si="18"/>
        <v>27.271232876712329</v>
      </c>
      <c r="D353" s="77">
        <f>_xll.qlYieldTSForwardRate($C$3,B353,B353,"Act/365 (fixed)","Continuous",,TRUE)</f>
        <v>4.2814903704255523E-2</v>
      </c>
      <c r="E353" s="236">
        <f t="shared" si="19"/>
        <v>8.9460593233935311E-5</v>
      </c>
      <c r="F353" s="236">
        <f t="shared" si="20"/>
        <v>6.1592104516700378E-4</v>
      </c>
      <c r="G353" s="77">
        <f>_xll.qlYieldTSForwardRate($C$4,B353,B353,"Act/365 (fixed)","Continuous",,TRUE)</f>
        <v>4.2983117003126181E-2</v>
      </c>
      <c r="H353" s="242">
        <f>(_xll.qlYieldTSDiscount($C$4,B353)-_xll.qlYieldTSDiscount($C$3,B353))/1%</f>
        <v>-0.53349437458029003</v>
      </c>
      <c r="I353" s="245">
        <v>0</v>
      </c>
    </row>
    <row r="354" spans="2:9">
      <c r="B354" s="111">
        <f>_xll.qlCalendarAdvance("Null",B353,"1m")</f>
        <v>53724</v>
      </c>
      <c r="C354" s="112">
        <f t="shared" si="18"/>
        <v>27.356164383561644</v>
      </c>
      <c r="D354" s="77">
        <f>_xll.qlYieldTSForwardRate($C$3,B354,B354,"Act/365 (fixed)","Continuous",,TRUE)</f>
        <v>4.2815892902073827E-2</v>
      </c>
      <c r="E354" s="236">
        <f t="shared" si="19"/>
        <v>1.4013679884914741E-4</v>
      </c>
      <c r="F354" s="236">
        <f t="shared" si="20"/>
        <v>6.3271222352706893E-4</v>
      </c>
      <c r="G354" s="77">
        <f>_xll.qlYieldTSForwardRate($C$4,B354,B354,"Act/365 (fixed)","Continuous",,TRUE)</f>
        <v>4.2983207230563564E-2</v>
      </c>
      <c r="H354" s="242">
        <f>(_xll.qlYieldTSDiscount($C$4,B354)-_xll.qlYieldTSDiscount($C$3,B354))/1%</f>
        <v>-0.5320082663348602</v>
      </c>
      <c r="I354" s="245">
        <v>0</v>
      </c>
    </row>
    <row r="355" spans="2:9">
      <c r="B355" s="111">
        <f>_xll.qlCalendarAdvance("Null",B354,"1m")</f>
        <v>53752</v>
      </c>
      <c r="C355" s="112">
        <f t="shared" si="18"/>
        <v>27.432876712328767</v>
      </c>
      <c r="D355" s="77">
        <f>_xll.qlYieldTSForwardRate($C$3,B355,B355,"Act/365 (fixed)","Continuous",,TRUE)</f>
        <v>4.2817168929223222E-2</v>
      </c>
      <c r="E355" s="236">
        <f t="shared" si="19"/>
        <v>1.9173462388625583E-4</v>
      </c>
      <c r="F355" s="236">
        <f t="shared" si="20"/>
        <v>6.083700410396528E-4</v>
      </c>
      <c r="G355" s="77">
        <f>_xll.qlYieldTSForwardRate($C$4,B355,B355,"Act/365 (fixed)","Continuous",,TRUE)</f>
        <v>4.2983323621404286E-2</v>
      </c>
      <c r="H355" s="242">
        <f>(_xll.qlYieldTSDiscount($C$4,B355)-_xll.qlYieldTSDiscount($C$3,B355))/1%</f>
        <v>-0.53066665050776063</v>
      </c>
      <c r="I355" s="245">
        <v>0</v>
      </c>
    </row>
    <row r="356" spans="2:9">
      <c r="B356" s="111">
        <f>_xll.qlCalendarAdvance("Null",B355,"1m")</f>
        <v>53783</v>
      </c>
      <c r="C356" s="112">
        <f t="shared" si="18"/>
        <v>27.517808219178082</v>
      </c>
      <c r="D356" s="77">
        <f>_xll.qlYieldTSForwardRate($C$3,B356,B356,"Act/365 (fixed)","Continuous",,TRUE)</f>
        <v>4.2818992174076372E-2</v>
      </c>
      <c r="E356" s="236">
        <f t="shared" si="19"/>
        <v>2.384760657569267E-4</v>
      </c>
      <c r="F356" s="236">
        <f t="shared" si="20"/>
        <v>5.6910511575873233E-4</v>
      </c>
      <c r="G356" s="77">
        <f>_xll.qlYieldTSForwardRate($C$4,B356,B356,"Act/365 (fixed)","Continuous",,TRUE)</f>
        <v>4.2983489923216767E-2</v>
      </c>
      <c r="H356" s="242">
        <f>(_xll.qlYieldTSDiscount($C$4,B356)-_xll.qlYieldTSDiscount($C$3,B356))/1%</f>
        <v>-0.52918106503997975</v>
      </c>
      <c r="I356" s="245">
        <v>0</v>
      </c>
    </row>
    <row r="357" spans="2:9">
      <c r="B357" s="111">
        <f>_xll.qlCalendarAdvance("Null",B356,"1m")</f>
        <v>53813</v>
      </c>
      <c r="C357" s="112">
        <f t="shared" si="18"/>
        <v>27.6</v>
      </c>
      <c r="D357" s="77">
        <f>_xll.qlYieldTSForwardRate($C$3,B357,B357,"Act/365 (fixed)","Continuous",,TRUE)</f>
        <v>4.2821154419637242E-2</v>
      </c>
      <c r="E357" s="236">
        <f t="shared" si="19"/>
        <v>2.8684534186237368E-4</v>
      </c>
      <c r="F357" s="236">
        <f t="shared" si="20"/>
        <v>5.6000802745013003E-4</v>
      </c>
      <c r="G357" s="77">
        <f>_xll.qlYieldTSForwardRate($C$4,B357,B357,"Act/365 (fixed)","Continuous",,TRUE)</f>
        <v>4.2983687144607576E-2</v>
      </c>
      <c r="H357" s="242">
        <f>(_xll.qlYieldTSDiscount($C$4,B357)-_xll.qlYieldTSDiscount($C$3,B357))/1%</f>
        <v>-0.52774225815222509</v>
      </c>
      <c r="I357" s="245">
        <v>0</v>
      </c>
    </row>
    <row r="358" spans="2:9">
      <c r="B358" s="111">
        <f>_xll.qlCalendarAdvance("Null",B357,"1m")</f>
        <v>53844</v>
      </c>
      <c r="C358" s="112">
        <f t="shared" si="18"/>
        <v>27.684931506849313</v>
      </c>
      <c r="D358" s="77">
        <f>_xll.qlYieldTSForwardRate($C$3,B358,B358,"Act/365 (fixed)","Continuous",,TRUE)</f>
        <v>4.2823786027734893E-2</v>
      </c>
      <c r="E358" s="236">
        <f t="shared" si="19"/>
        <v>3.320664484266734E-4</v>
      </c>
      <c r="F358" s="236">
        <f t="shared" si="20"/>
        <v>5.403708542796959E-4</v>
      </c>
      <c r="G358" s="77">
        <f>_xll.qlYieldTSForwardRate($C$4,B358,B358,"Act/365 (fixed)","Continuous",,TRUE)</f>
        <v>4.2983927178234634E-2</v>
      </c>
      <c r="H358" s="242">
        <f>(_xll.qlYieldTSDiscount($C$4,B358)-_xll.qlYieldTSDiscount($C$3,B358))/1%</f>
        <v>-0.52625337513022563</v>
      </c>
      <c r="I358" s="245">
        <v>0</v>
      </c>
    </row>
    <row r="359" spans="2:9">
      <c r="B359" s="111">
        <f>_xll.qlCalendarAdvance("Null",B358,"1m")</f>
        <v>53874</v>
      </c>
      <c r="C359" s="112">
        <f t="shared" si="18"/>
        <v>27.767123287671232</v>
      </c>
      <c r="D359" s="77">
        <f>_xll.qlYieldTSForwardRate($C$3,B359,B359,"Act/365 (fixed)","Continuous",,TRUE)</f>
        <v>4.2826704023295879E-2</v>
      </c>
      <c r="E359" s="236">
        <f t="shared" si="19"/>
        <v>3.7715389559130812E-4</v>
      </c>
      <c r="F359" s="236">
        <f t="shared" si="20"/>
        <v>5.2542626758496445E-4</v>
      </c>
      <c r="G359" s="77">
        <f>_xll.qlYieldTSForwardRate($C$4,B359,B359,"Act/365 (fixed)","Continuous",,TRUE)</f>
        <v>4.2984193333076737E-2</v>
      </c>
      <c r="H359" s="242">
        <f>(_xll.qlYieldTSDiscount($C$4,B359)-_xll.qlYieldTSDiscount($C$3,B359))/1%</f>
        <v>-0.52480962338721793</v>
      </c>
      <c r="I359" s="245">
        <v>0</v>
      </c>
    </row>
    <row r="360" spans="2:9">
      <c r="B360" s="111">
        <f>_xll.qlCalendarAdvance("Null",B359,"1m")</f>
        <v>53905</v>
      </c>
      <c r="C360" s="112">
        <f t="shared" si="18"/>
        <v>27.852054794520548</v>
      </c>
      <c r="D360" s="77">
        <f>_xll.qlYieldTSForwardRate($C$3,B360,B360,"Act/365 (fixed)","Continuous",,TRUE)</f>
        <v>4.2830089147633817E-2</v>
      </c>
      <c r="E360" s="236">
        <f t="shared" si="19"/>
        <v>4.1987741369429847E-4</v>
      </c>
      <c r="F360" s="236">
        <f t="shared" si="20"/>
        <v>4.9363456894816122E-4</v>
      </c>
      <c r="G360" s="77">
        <f>_xll.qlYieldTSForwardRate($C$4,B360,B360,"Act/365 (fixed)","Continuous",,TRUE)</f>
        <v>4.2984502098095345E-2</v>
      </c>
      <c r="H360" s="242">
        <f>(_xll.qlYieldTSDiscount($C$4,B360)-_xll.qlYieldTSDiscount($C$3,B360))/1%</f>
        <v>-0.52331391130532312</v>
      </c>
      <c r="I360" s="245">
        <v>0</v>
      </c>
    </row>
    <row r="361" spans="2:9">
      <c r="B361" s="111">
        <f>_xll.qlCalendarAdvance("Null",B360,"1m")</f>
        <v>53936</v>
      </c>
      <c r="C361" s="112">
        <f t="shared" si="18"/>
        <v>27.936986301369863</v>
      </c>
      <c r="D361" s="77">
        <f>_xll.qlYieldTSForwardRate($C$3,B361,B361,"Act/365 (fixed)","Continuous",,TRUE)</f>
        <v>4.2833836187583289E-2</v>
      </c>
      <c r="E361" s="236">
        <f t="shared" si="19"/>
        <v>4.6100415113866744E-4</v>
      </c>
      <c r="F361" s="236">
        <f t="shared" si="20"/>
        <v>4.8625342399986589E-4</v>
      </c>
      <c r="G361" s="77">
        <f>_xll.qlYieldTSForwardRate($C$4,B361,B361,"Act/365 (fixed)","Continuous",,TRUE)</f>
        <v>4.2984843874343467E-2</v>
      </c>
      <c r="H361" s="242">
        <f>(_xll.qlYieldTSDiscount($C$4,B361)-_xll.qlYieldTSDiscount($C$3,B361))/1%</f>
        <v>-0.5218134922060802</v>
      </c>
      <c r="I361" s="245">
        <v>0</v>
      </c>
    </row>
    <row r="362" spans="2:9">
      <c r="B362" s="111">
        <f>_xll.qlCalendarAdvance("Null",B361,"1m")</f>
        <v>53966</v>
      </c>
      <c r="C362" s="112">
        <f t="shared" si="18"/>
        <v>28.019178082191782</v>
      </c>
      <c r="D362" s="77">
        <f>_xll.qlYieldTSForwardRate($C$3,B362,B362,"Act/365 (fixed)","Continuous",,TRUE)</f>
        <v>4.2837793600570655E-2</v>
      </c>
      <c r="E362" s="236">
        <f t="shared" si="19"/>
        <v>5.0114168455455083E-4</v>
      </c>
      <c r="F362" s="236">
        <f t="shared" si="20"/>
        <v>4.630854084632725E-4</v>
      </c>
      <c r="G362" s="77">
        <f>_xll.qlYieldTSForwardRate($C$4,B362,B362,"Act/365 (fixed)","Continuous",,TRUE)</f>
        <v>4.298520483516298E-2</v>
      </c>
      <c r="H362" s="242">
        <f>(_xll.qlYieldTSDiscount($C$4,B362)-_xll.qlYieldTSDiscount($C$3,B362))/1%</f>
        <v>-0.52035626504498</v>
      </c>
      <c r="I362" s="245">
        <v>0</v>
      </c>
    </row>
    <row r="363" spans="2:9">
      <c r="B363" s="111">
        <f>_xll.qlCalendarAdvance("Null",B362,"1m")</f>
        <v>53997</v>
      </c>
      <c r="C363" s="112">
        <f t="shared" si="18"/>
        <v>28.104109589041094</v>
      </c>
      <c r="D363" s="77">
        <f>_xll.qlYieldTSForwardRate($C$3,B363,B363,"Act/365 (fixed)","Continuous",,TRUE)</f>
        <v>4.2842211432174475E-2</v>
      </c>
      <c r="E363" s="236">
        <f t="shared" si="19"/>
        <v>5.3839650707362442E-4</v>
      </c>
      <c r="F363" s="236">
        <f t="shared" si="20"/>
        <v>4.4344664517165683E-4</v>
      </c>
      <c r="G363" s="77">
        <f>_xll.qlYieldTSForwardRate($C$4,B363,B363,"Act/365 (fixed)","Continuous",,TRUE)</f>
        <v>4.2985607795538956E-2</v>
      </c>
      <c r="H363" s="242">
        <f>(_xll.qlYieldTSDiscount($C$4,B363)-_xll.qlYieldTSDiscount($C$3,B363))/1%</f>
        <v>-0.51884437442393239</v>
      </c>
      <c r="I363" s="245">
        <v>0</v>
      </c>
    </row>
    <row r="364" spans="2:9">
      <c r="B364" s="111">
        <f>_xll.qlCalendarAdvance("Null",B363,"1m")</f>
        <v>54027</v>
      </c>
      <c r="C364" s="112">
        <f t="shared" si="18"/>
        <v>28.186301369863013</v>
      </c>
      <c r="D364" s="77">
        <f>_xll.qlYieldTSForwardRate($C$3,B364,B364,"Act/365 (fixed)","Continuous",,TRUE)</f>
        <v>4.284679146000394E-2</v>
      </c>
      <c r="E364" s="236">
        <f t="shared" si="19"/>
        <v>5.7525194580241592E-4</v>
      </c>
      <c r="F364" s="236">
        <f t="shared" si="20"/>
        <v>4.2770678120543777E-4</v>
      </c>
      <c r="G364" s="77">
        <f>_xll.qlYieldTSForwardRate($C$4,B364,B364,"Act/365 (fixed)","Continuous",,TRUE)</f>
        <v>4.2986025548462911E-2</v>
      </c>
      <c r="H364" s="242">
        <f>(_xll.qlYieldTSDiscount($C$4,B364)-_xll.qlYieldTSDiscount($C$3,B364))/1%</f>
        <v>-0.51737472638029858</v>
      </c>
      <c r="I364" s="245">
        <v>0</v>
      </c>
    </row>
    <row r="365" spans="2:9">
      <c r="B365" s="111">
        <f>_xll.qlCalendarAdvance("Null",B364,"1m")</f>
        <v>54058</v>
      </c>
      <c r="C365" s="112">
        <f t="shared" si="18"/>
        <v>28.271232876712329</v>
      </c>
      <c r="D365" s="77">
        <f>_xll.qlYieldTSForwardRate($C$3,B365,B365,"Act/365 (fixed)","Continuous",,TRUE)</f>
        <v>4.2851825231816652E-2</v>
      </c>
      <c r="E365" s="236">
        <f t="shared" si="19"/>
        <v>6.0987627050795856E-4</v>
      </c>
      <c r="F365" s="236">
        <f t="shared" si="20"/>
        <v>3.9521358582714049E-4</v>
      </c>
      <c r="G365" s="77">
        <f>_xll.qlYieldTSForwardRate($C$4,B365,B365,"Act/365 (fixed)","Continuous",,TRUE)</f>
        <v>4.2986484690323297E-2</v>
      </c>
      <c r="H365" s="242">
        <f>(_xll.qlYieldTSDiscount($C$4,B365)-_xll.qlYieldTSDiscount($C$3,B365))/1%</f>
        <v>-0.51584872325375897</v>
      </c>
      <c r="I365" s="245">
        <v>0</v>
      </c>
    </row>
    <row r="366" spans="2:9">
      <c r="B366" s="111">
        <f>_xll.qlCalendarAdvance("Null",B365,"1m")</f>
        <v>54089</v>
      </c>
      <c r="C366" s="112">
        <f t="shared" si="18"/>
        <v>28.356164383561644</v>
      </c>
      <c r="D366" s="77">
        <f>_xll.qlYieldTSForwardRate($C$3,B366,B366,"Act/365 (fixed)","Continuous",,TRUE)</f>
        <v>4.2857151002133116E-2</v>
      </c>
      <c r="E366" s="236">
        <f t="shared" si="19"/>
        <v>6.4238411654565656E-4</v>
      </c>
      <c r="F366" s="236">
        <f t="shared" si="20"/>
        <v>3.9201294280832134E-4</v>
      </c>
      <c r="G366" s="77">
        <f>_xll.qlYieldTSForwardRate($C$4,B366,B366,"Act/365 (fixed)","Continuous",,TRUE)</f>
        <v>4.2986970464099092E-2</v>
      </c>
      <c r="H366" s="242">
        <f>(_xll.qlYieldTSDiscount($C$4,B366)-_xll.qlYieldTSDiscount($C$3,B366))/1%</f>
        <v>-0.51431464416276662</v>
      </c>
      <c r="I366" s="245">
        <v>0</v>
      </c>
    </row>
    <row r="367" spans="2:9">
      <c r="B367" s="111">
        <f>_xll.qlCalendarAdvance("Null",B366,"1m")</f>
        <v>54118</v>
      </c>
      <c r="C367" s="112">
        <f t="shared" si="18"/>
        <v>28.435616438356163</v>
      </c>
      <c r="D367" s="77">
        <f>_xll.qlYieldTSForwardRate($C$3,B367,B367,"Act/365 (fixed)","Continuous",,TRUE)</f>
        <v>4.2862384970718773E-2</v>
      </c>
      <c r="E367" s="236">
        <f t="shared" si="19"/>
        <v>6.7431675425727122E-4</v>
      </c>
      <c r="F367" s="236">
        <f t="shared" si="20"/>
        <v>3.6963892174190826E-4</v>
      </c>
      <c r="G367" s="77">
        <f>_xll.qlYieldTSForwardRate($C$4,B367,B367,"Act/365 (fixed)","Continuous",,TRUE)</f>
        <v>4.2987447862388367E-2</v>
      </c>
      <c r="H367" s="242">
        <f>(_xll.qlYieldTSDiscount($C$4,B367)-_xll.qlYieldTSDiscount($C$3,B367))/1%</f>
        <v>-0.51287173702923017</v>
      </c>
      <c r="I367" s="245">
        <v>0</v>
      </c>
    </row>
    <row r="368" spans="2:9">
      <c r="B368" s="111">
        <f>_xll.qlCalendarAdvance("Null",B367,"1m")</f>
        <v>54149</v>
      </c>
      <c r="C368" s="112">
        <f t="shared" si="18"/>
        <v>28.520547945205479</v>
      </c>
      <c r="D368" s="77">
        <f>_xll.qlYieldTSForwardRate($C$3,B368,B368,"Act/365 (fixed)","Continuous",,TRUE)</f>
        <v>4.2868235661107208E-2</v>
      </c>
      <c r="E368" s="236">
        <f t="shared" si="19"/>
        <v>7.0314667902377805E-4</v>
      </c>
      <c r="F368" s="236">
        <f t="shared" si="20"/>
        <v>3.4409945003916197E-4</v>
      </c>
      <c r="G368" s="77">
        <f>_xll.qlYieldTSForwardRate($C$4,B368,B368,"Act/365 (fixed)","Continuous",,TRUE)</f>
        <v>4.2987981515436445E-2</v>
      </c>
      <c r="H368" s="242">
        <f>(_xll.qlYieldTSDiscount($C$4,B368)-_xll.qlYieldTSDiscount($C$3,B368))/1%</f>
        <v>-0.51132049622629183</v>
      </c>
      <c r="I368" s="245">
        <v>0</v>
      </c>
    </row>
    <row r="369" spans="2:9">
      <c r="B369" s="111">
        <f>_xll.qlCalendarAdvance("Null",B368,"1m")</f>
        <v>54179</v>
      </c>
      <c r="C369" s="112">
        <f t="shared" si="18"/>
        <v>28.602739726027398</v>
      </c>
      <c r="D369" s="77">
        <f>_xll.qlYieldTSForwardRate($C$3,B369,B369,"Act/365 (fixed)","Continuous",,TRUE)</f>
        <v>4.2874136189190129E-2</v>
      </c>
      <c r="E369" s="236">
        <f t="shared" si="19"/>
        <v>7.3182378563367968E-4</v>
      </c>
      <c r="F369" s="236">
        <f t="shared" si="20"/>
        <v>3.2815009979251283E-4</v>
      </c>
      <c r="G369" s="77">
        <f>_xll.qlYieldTSForwardRate($C$4,B369,B369,"Act/365 (fixed)","Continuous",,TRUE)</f>
        <v>4.2988519718158889E-2</v>
      </c>
      <c r="H369" s="242">
        <f>(_xll.qlYieldTSDiscount($C$4,B369)-_xll.qlYieldTSDiscount($C$3,B369))/1%</f>
        <v>-0.50981018149634516</v>
      </c>
      <c r="I369" s="245">
        <v>0</v>
      </c>
    </row>
    <row r="370" spans="2:9">
      <c r="B370" s="111">
        <f>_xll.qlCalendarAdvance("Null",B369,"1m")</f>
        <v>54210</v>
      </c>
      <c r="C370" s="112">
        <f t="shared" si="18"/>
        <v>28.687671232876713</v>
      </c>
      <c r="D370" s="77">
        <f>_xll.qlYieldTSForwardRate($C$3,B370,B370,"Act/365 (fixed)","Continuous",,TRUE)</f>
        <v>4.2880466140812319E-2</v>
      </c>
      <c r="E370" s="236">
        <f t="shared" si="19"/>
        <v>7.5798820255074649E-4</v>
      </c>
      <c r="F370" s="236">
        <f t="shared" si="20"/>
        <v>3.0851372155851141E-4</v>
      </c>
      <c r="G370" s="77">
        <f>_xll.qlYieldTSForwardRate($C$4,B370,B370,"Act/365 (fixed)","Continuous",,TRUE)</f>
        <v>4.2989097084940364E-2</v>
      </c>
      <c r="H370" s="242">
        <f>(_xll.qlYieldTSDiscount($C$4,B370)-_xll.qlYieldTSDiscount($C$3,B370))/1%</f>
        <v>-0.50823968633338934</v>
      </c>
      <c r="I370" s="245">
        <v>0</v>
      </c>
    </row>
    <row r="371" spans="2:9">
      <c r="B371" s="111">
        <f>_xll.qlCalendarAdvance("Null",B370,"1m")</f>
        <v>54240</v>
      </c>
      <c r="C371" s="112">
        <f t="shared" si="18"/>
        <v>28.769863013698629</v>
      </c>
      <c r="D371" s="77">
        <f>_xll.qlYieldTSForwardRate($C$3,B371,B371,"Act/365 (fixed)","Continuous",,TRUE)</f>
        <v>4.2886803937232758E-2</v>
      </c>
      <c r="E371" s="236">
        <f t="shared" si="19"/>
        <v>7.8338361307222484E-4</v>
      </c>
      <c r="F371" s="236">
        <f t="shared" si="20"/>
        <v>2.9166763487741037E-4</v>
      </c>
      <c r="G371" s="77">
        <f>_xll.qlYieldTSForwardRate($C$4,B371,B371,"Act/365 (fixed)","Continuous",,TRUE)</f>
        <v>4.2989675162261494E-2</v>
      </c>
      <c r="H371" s="242">
        <f>(_xll.qlYieldTSDiscount($C$4,B371)-_xll.qlYieldTSDiscount($C$3,B371))/1%</f>
        <v>-0.50670996907192234</v>
      </c>
      <c r="I371" s="245">
        <v>0</v>
      </c>
    </row>
    <row r="372" spans="2:9">
      <c r="B372" s="111">
        <f>_xll.qlCalendarAdvance("Null",B371,"1m")</f>
        <v>54271</v>
      </c>
      <c r="C372" s="112">
        <f t="shared" si="18"/>
        <v>28.854794520547944</v>
      </c>
      <c r="D372" s="77">
        <f>_xll.qlYieldTSForwardRate($C$3,B372,B372,"Act/365 (fixed)","Continuous",,TRUE)</f>
        <v>4.2893558305304759E-2</v>
      </c>
      <c r="E372" s="236">
        <f t="shared" si="19"/>
        <v>8.067326565987515E-4</v>
      </c>
      <c r="F372" s="236">
        <f t="shared" si="20"/>
        <v>2.6551472095752676E-4</v>
      </c>
      <c r="G372" s="77">
        <f>_xll.qlYieldTSForwardRate($C$4,B372,B372,"Act/365 (fixed)","Continuous",,TRUE)</f>
        <v>4.2990291244573771E-2</v>
      </c>
      <c r="H372" s="242">
        <f>(_xll.qlYieldTSDiscount($C$4,B372)-_xll.qlYieldTSDiscount($C$3,B372))/1%</f>
        <v>-0.50511870639148859</v>
      </c>
      <c r="I372" s="245">
        <v>0</v>
      </c>
    </row>
    <row r="373" spans="2:9">
      <c r="B373" s="111">
        <f>_xll.qlCalendarAdvance("Null",B372,"1m")</f>
        <v>54302</v>
      </c>
      <c r="C373" s="112">
        <f t="shared" si="18"/>
        <v>28.93972602739726</v>
      </c>
      <c r="D373" s="77">
        <f>_xll.qlYieldTSForwardRate($C$3,B373,B373,"Act/365 (fixed)","Continuous",,TRUE)</f>
        <v>4.2900507341262654E-2</v>
      </c>
      <c r="E373" s="236">
        <f t="shared" si="19"/>
        <v>8.2848474375542139E-4</v>
      </c>
      <c r="F373" s="236">
        <f t="shared" si="20"/>
        <v>2.52492150069872E-4</v>
      </c>
      <c r="G373" s="77">
        <f>_xll.qlYieldTSForwardRate($C$4,B373,B373,"Act/365 (fixed)","Continuous",,TRUE)</f>
        <v>4.2990925079275856E-2</v>
      </c>
      <c r="H373" s="242">
        <f>(_xll.qlYieldTSDiscount($C$4,B373)-_xll.qlYieldTSDiscount($C$3,B373))/1%</f>
        <v>-0.50351640638615081</v>
      </c>
      <c r="I373" s="245">
        <v>0</v>
      </c>
    </row>
    <row r="374" spans="2:9">
      <c r="B374" s="111">
        <f>_xll.qlCalendarAdvance("Null",B373,"1m")</f>
        <v>54332</v>
      </c>
      <c r="C374" s="112">
        <f t="shared" si="18"/>
        <v>29.021917808219179</v>
      </c>
      <c r="D374" s="77">
        <f>_xll.qlYieldTSForwardRate($C$3,B374,B374,"Act/365 (fixed)","Continuous",,TRUE)</f>
        <v>4.2907404214720946E-2</v>
      </c>
      <c r="E374" s="236">
        <f t="shared" si="19"/>
        <v>8.4892997482960723E-4</v>
      </c>
      <c r="F374" s="236">
        <f t="shared" si="20"/>
        <v>2.3122509616057692E-4</v>
      </c>
      <c r="G374" s="77">
        <f>_xll.qlYieldTSForwardRate($C$4,B374,B374,"Act/365 (fixed)","Continuous",,TRUE)</f>
        <v>4.2991554157802918E-2</v>
      </c>
      <c r="H374" s="242">
        <f>(_xll.qlYieldTSDiscount($C$4,B374)-_xll.qlYieldTSDiscount($C$3,B374))/1%</f>
        <v>-0.50195502543337045</v>
      </c>
      <c r="I374" s="245">
        <v>0</v>
      </c>
    </row>
    <row r="375" spans="2:9">
      <c r="B375" s="111">
        <f>_xll.qlCalendarAdvance("Null",B374,"1m")</f>
        <v>54363</v>
      </c>
      <c r="C375" s="112">
        <f t="shared" si="18"/>
        <v>29.106849315068494</v>
      </c>
      <c r="D375" s="77">
        <f>_xll.qlYieldTSForwardRate($C$3,B375,B375,"Act/365 (fixed)","Continuous",,TRUE)</f>
        <v>4.2914694938102273E-2</v>
      </c>
      <c r="E375" s="236">
        <f t="shared" si="19"/>
        <v>8.6712784201787435E-4</v>
      </c>
      <c r="F375" s="236">
        <f t="shared" si="20"/>
        <v>2.1158792312438472E-4</v>
      </c>
      <c r="G375" s="77">
        <f>_xll.qlYieldTSForwardRate($C$4,B375,B375,"Act/365 (fixed)","Continuous",,TRUE)</f>
        <v>4.2992219156331252E-2</v>
      </c>
      <c r="H375" s="242">
        <f>(_xll.qlYieldTSDiscount($C$4,B375)-_xll.qlYieldTSDiscount($C$3,B375))/1%</f>
        <v>-0.50033024026236994</v>
      </c>
      <c r="I375" s="245">
        <v>0</v>
      </c>
    </row>
    <row r="376" spans="2:9">
      <c r="B376" s="111">
        <f>_xll.qlCalendarAdvance("Null",B375,"1m")</f>
        <v>54393</v>
      </c>
      <c r="C376" s="112">
        <f t="shared" si="18"/>
        <v>29.18904109589041</v>
      </c>
      <c r="D376" s="77">
        <f>_xll.qlYieldTSForwardRate($C$3,B376,B376,"Act/365 (fixed)","Continuous",,TRUE)</f>
        <v>4.2921895940299874E-2</v>
      </c>
      <c r="E376" s="236">
        <f t="shared" si="19"/>
        <v>8.8429124417368208E-4</v>
      </c>
      <c r="F376" s="236">
        <f t="shared" si="20"/>
        <v>1.9394972664010863E-4</v>
      </c>
      <c r="G376" s="77">
        <f>_xll.qlYieldTSForwardRate($C$4,B376,B376,"Act/365 (fixed)","Continuous",,TRUE)</f>
        <v>4.2992875976991897E-2</v>
      </c>
      <c r="H376" s="242">
        <f>(_xll.qlYieldTSDiscount($C$4,B376)-_xll.qlYieldTSDiscount($C$3,B376))/1%</f>
        <v>-0.49874668845008019</v>
      </c>
      <c r="I376" s="245">
        <v>0</v>
      </c>
    </row>
    <row r="377" spans="2:9">
      <c r="B377" s="111">
        <f>_xll.qlCalendarAdvance("Null",B376,"1m")</f>
        <v>54424</v>
      </c>
      <c r="C377" s="112">
        <f t="shared" si="18"/>
        <v>29.273972602739725</v>
      </c>
      <c r="D377" s="77">
        <f>_xll.qlYieldTSForwardRate($C$3,B377,B377,"Act/365 (fixed)","Continuous",,TRUE)</f>
        <v>4.2929473504100792E-2</v>
      </c>
      <c r="E377" s="236">
        <f t="shared" si="19"/>
        <v>8.9954135797690583E-4</v>
      </c>
      <c r="F377" s="236">
        <f t="shared" si="20"/>
        <v>1.6777483558339911E-4</v>
      </c>
      <c r="G377" s="77">
        <f>_xll.qlYieldTSForwardRate($C$4,B377,B377,"Act/365 (fixed)","Continuous",,TRUE)</f>
        <v>4.2993567141143885E-2</v>
      </c>
      <c r="H377" s="242">
        <f>(_xll.qlYieldTSDiscount($C$4,B377)-_xll.qlYieldTSDiscount($C$3,B377))/1%</f>
        <v>-0.49709863919916719</v>
      </c>
      <c r="I377" s="245">
        <v>0</v>
      </c>
    </row>
    <row r="378" spans="2:9">
      <c r="B378" s="111">
        <f>_xll.qlCalendarAdvance("Null",B377,"1m")</f>
        <v>54455</v>
      </c>
      <c r="C378" s="112">
        <f t="shared" si="18"/>
        <v>29.358904109589041</v>
      </c>
      <c r="D378" s="77">
        <f>_xll.qlYieldTSForwardRate($C$3,B378,B378,"Act/365 (fixed)","Continuous",,TRUE)</f>
        <v>4.2937175820901126E-2</v>
      </c>
      <c r="E378" s="236">
        <f t="shared" si="19"/>
        <v>9.1278998336867057E-4</v>
      </c>
      <c r="F378" s="236">
        <f t="shared" si="20"/>
        <v>1.5785125375871107E-4</v>
      </c>
      <c r="G378" s="77">
        <f>_xll.qlYieldTSForwardRate($C$4,B378,B378,"Act/365 (fixed)","Continuous",,TRUE)</f>
        <v>4.2994269682812461E-2</v>
      </c>
      <c r="H378" s="242">
        <f>(_xll.qlYieldTSDiscount($C$4,B378)-_xll.qlYieldTSDiscount($C$3,B378))/1%</f>
        <v>-0.49543855747412602</v>
      </c>
      <c r="I378" s="245">
        <v>0</v>
      </c>
    </row>
    <row r="379" spans="2:9">
      <c r="B379" s="111">
        <f>_xll.qlCalendarAdvance("Null",B378,"1m")</f>
        <v>54483</v>
      </c>
      <c r="C379" s="112">
        <f t="shared" si="18"/>
        <v>29.435616438356163</v>
      </c>
      <c r="D379" s="77">
        <f>_xll.qlYieldTSForwardRate($C$3,B379,B379,"Act/365 (fixed)","Continuous",,TRUE)</f>
        <v>4.2944228191503189E-2</v>
      </c>
      <c r="E379" s="236">
        <f t="shared" si="19"/>
        <v>9.2505704009132757E-4</v>
      </c>
      <c r="F379" s="236">
        <f t="shared" si="20"/>
        <v>1.3743518988516045E-4</v>
      </c>
      <c r="G379" s="77">
        <f>_xll.qlYieldTSForwardRate($C$4,B379,B379,"Act/365 (fixed)","Continuous",,TRUE)</f>
        <v>4.2994912943267259E-2</v>
      </c>
      <c r="H379" s="242">
        <f>(_xll.qlYieldTSDiscount($C$4,B379)-_xll.qlYieldTSDiscount($C$3,B379))/1%</f>
        <v>-0.49392870735320282</v>
      </c>
      <c r="I379" s="245">
        <v>0</v>
      </c>
    </row>
    <row r="380" spans="2:9">
      <c r="B380" s="111">
        <f>_xll.qlCalendarAdvance("Null",B379,"1m")</f>
        <v>54514</v>
      </c>
      <c r="C380" s="112">
        <f t="shared" si="18"/>
        <v>29.520547945205479</v>
      </c>
      <c r="D380" s="77">
        <f>_xll.qlYieldTSForwardRate($C$3,B380,B380,"Act/365 (fixed)","Continuous",,TRUE)</f>
        <v>4.2952128797713561E-2</v>
      </c>
      <c r="E380" s="236">
        <f t="shared" si="19"/>
        <v>9.3500553461038139E-4</v>
      </c>
      <c r="F380" s="236">
        <f t="shared" si="20"/>
        <v>1.1361297508265699E-4</v>
      </c>
      <c r="G380" s="77">
        <f>_xll.qlYieldTSForwardRate($C$4,B380,B380,"Act/365 (fixed)","Continuous",,TRUE)</f>
        <v>4.2995633572611498E-2</v>
      </c>
      <c r="H380" s="242">
        <f>(_xll.qlYieldTSDiscount($C$4,B380)-_xll.qlYieldTSDiscount($C$3,B380))/1%</f>
        <v>-0.49224549290129427</v>
      </c>
      <c r="I380" s="245">
        <v>0</v>
      </c>
    </row>
    <row r="381" spans="2:9">
      <c r="B381" s="111">
        <f>_xll.qlCalendarAdvance("Null",B380,"1m")</f>
        <v>54544</v>
      </c>
      <c r="C381" s="112">
        <f t="shared" si="18"/>
        <v>29.602739726027398</v>
      </c>
      <c r="D381" s="77">
        <f>_xll.qlYieldTSForwardRate($C$3,B381,B381,"Act/365 (fixed)","Continuous",,TRUE)</f>
        <v>4.2959854311396678E-2</v>
      </c>
      <c r="E381" s="236">
        <f t="shared" si="19"/>
        <v>9.4404441400925126E-4</v>
      </c>
      <c r="F381" s="236">
        <f t="shared" si="20"/>
        <v>9.6924196293749859E-5</v>
      </c>
      <c r="G381" s="77">
        <f>_xll.qlYieldTSForwardRate($C$4,B381,B381,"Act/365 (fixed)","Continuous",,TRUE)</f>
        <v>4.2996338232576349E-2</v>
      </c>
      <c r="H381" s="242">
        <f>(_xll.qlYieldTSDiscount($C$4,B381)-_xll.qlYieldTSDiscount($C$3,B381))/1%</f>
        <v>-0.49060494871244198</v>
      </c>
      <c r="I381" s="245">
        <v>0</v>
      </c>
    </row>
    <row r="382" spans="2:9">
      <c r="B382" s="111">
        <f>_xll.qlCalendarAdvance("Null",B381,"1m")</f>
        <v>54575</v>
      </c>
      <c r="C382" s="112">
        <f t="shared" si="18"/>
        <v>29.687671232876713</v>
      </c>
      <c r="D382" s="77">
        <f>_xll.qlYieldTSForwardRate($C$3,B382,B382,"Act/365 (fixed)","Continuous",,TRUE)</f>
        <v>4.296790597833125E-2</v>
      </c>
      <c r="E382" s="236">
        <f t="shared" si="19"/>
        <v>9.5120382494988495E-4</v>
      </c>
      <c r="F382" s="236">
        <f t="shared" si="20"/>
        <v>7.7286228631753088E-5</v>
      </c>
      <c r="G382" s="77">
        <f>_xll.qlYieldTSForwardRate($C$4,B382,B382,"Act/365 (fixed)","Continuous",,TRUE)</f>
        <v>4.2997072641949415E-2</v>
      </c>
      <c r="H382" s="242">
        <f>(_xll.qlYieldTSDiscount($C$4,B382)-_xll.qlYieldTSDiscount($C$3,B382))/1%</f>
        <v>-0.48889770899863128</v>
      </c>
      <c r="I382" s="245">
        <v>0</v>
      </c>
    </row>
    <row r="383" spans="2:9">
      <c r="B383" s="111">
        <f>_xll.qlCalendarAdvance("Null",B382,"1m")</f>
        <v>54605</v>
      </c>
      <c r="C383" s="112">
        <f t="shared" si="18"/>
        <v>29.769863013698629</v>
      </c>
      <c r="D383" s="77">
        <f>_xll.qlYieldTSForwardRate($C$3,B383,B383,"Act/365 (fixed)","Continuous",,TRUE)</f>
        <v>4.2975751142443785E-2</v>
      </c>
      <c r="E383" s="236">
        <f t="shared" si="19"/>
        <v>9.5696074262990025E-4</v>
      </c>
      <c r="F383" s="236">
        <f t="shared" si="20"/>
        <v>5.8546374547609668E-5</v>
      </c>
      <c r="G383" s="77">
        <f>_xll.qlYieldTSForwardRate($C$4,B383,B383,"Act/365 (fixed)","Continuous",,TRUE)</f>
        <v>4.2997788213139147E-2</v>
      </c>
      <c r="H383" s="242">
        <f>(_xll.qlYieldTSDiscount($C$4,B383)-_xll.qlYieldTSDiscount($C$3,B383))/1%</f>
        <v>-0.48723395209875342</v>
      </c>
      <c r="I383" s="245">
        <v>0</v>
      </c>
    </row>
    <row r="384" spans="2:9">
      <c r="B384" s="111">
        <f>_xll.qlCalendarAdvance("Null",B383,"1m")</f>
        <v>54636</v>
      </c>
      <c r="C384" s="112">
        <f t="shared" si="18"/>
        <v>29.854794520547944</v>
      </c>
      <c r="D384" s="77">
        <f>_xll.qlYieldTSForwardRate($C$3,B384,B384,"Act/365 (fixed)","Continuous",,TRUE)</f>
        <v>4.2983899020879311E-2</v>
      </c>
      <c r="E384" s="236">
        <f t="shared" si="19"/>
        <v>9.6098828754551276E-4</v>
      </c>
      <c r="F384" s="236">
        <f t="shared" si="20"/>
        <v>3.7597460425849342E-5</v>
      </c>
      <c r="G384" s="77">
        <f>_xll.qlYieldTSForwardRate($C$4,B384,B384,"Act/365 (fixed)","Continuous",,TRUE)</f>
        <v>4.2998531397677162E-2</v>
      </c>
      <c r="H384" s="242">
        <f>(_xll.qlYieldTSDiscount($C$4,B384)-_xll.qlYieldTSDiscount($C$3,B384))/1%</f>
        <v>-0.48550282720907778</v>
      </c>
      <c r="I384" s="245">
        <v>0</v>
      </c>
    </row>
    <row r="385" spans="2:9">
      <c r="B385" s="111">
        <f>_xll.qlCalendarAdvance("Null",B384,"1m")</f>
        <v>54667</v>
      </c>
      <c r="C385" s="112">
        <f t="shared" si="18"/>
        <v>29.93972602739726</v>
      </c>
      <c r="D385" s="77">
        <f>_xll.qlYieldTSForwardRate($C$3,B385,B385,"Act/365 (fixed)","Continuous",,TRUE)</f>
        <v>4.2992074779108942E-2</v>
      </c>
      <c r="E385" s="236">
        <f t="shared" si="19"/>
        <v>9.6334716056525004E-4</v>
      </c>
      <c r="F385" s="236">
        <f t="shared" si="20"/>
        <v>1.8551300511510417E-5</v>
      </c>
      <c r="G385" s="77">
        <f>_xll.qlYieldTSForwardRate($C$4,B385,B385,"Act/365 (fixed)","Continuous",,TRUE)</f>
        <v>4.299927712683535E-2</v>
      </c>
      <c r="H385" s="242">
        <f>(_xll.qlYieldTSDiscount($C$4,B385)-_xll.qlYieldTSDiscount($C$3,B385))/1%</f>
        <v>-0.48375969623413728</v>
      </c>
      <c r="I385" s="245">
        <v>0</v>
      </c>
    </row>
    <row r="386" spans="2:9">
      <c r="B386" s="114">
        <f>_xll.qlCalendarAdvance("Null",B385,"1m")</f>
        <v>54697</v>
      </c>
      <c r="C386" s="115">
        <f t="shared" si="18"/>
        <v>30.021917808219179</v>
      </c>
      <c r="D386" s="78">
        <f>_xll.qlYieldTSForwardRate($C$3,B386,B386,"Act/365 (fixed)","Continuous",,TRUE)</f>
        <v>4.2999998795343553E-2</v>
      </c>
      <c r="E386" s="237">
        <f>(D386-D385)/(C386-C385)*10</f>
        <v>9.6408864187757343E-4</v>
      </c>
      <c r="F386" s="237">
        <f>(E386-E385)/(C386-C385)</f>
        <v>9.0213559666011938E-6</v>
      </c>
      <c r="G386" s="78">
        <f>_xll.qlYieldTSForwardRate($C$4,B386,B386,"Act/365 (fixed)","Continuous",,TRUE)</f>
        <v>4.2999999887798304E-2</v>
      </c>
      <c r="H386" s="243">
        <f>(_xll.qlYieldTSDiscount($C$4,B386)-_xll.qlYieldTSDiscount($C$3,B386))/1%</f>
        <v>-0.48206148666117277</v>
      </c>
      <c r="I386" s="80">
        <v>0</v>
      </c>
    </row>
    <row r="387" spans="2:9">
      <c r="C387" s="1"/>
      <c r="D387" s="2"/>
    </row>
    <row r="388" spans="2:9">
      <c r="C388" s="1"/>
      <c r="D388" s="2"/>
    </row>
    <row r="389" spans="2:9">
      <c r="C389" s="1"/>
      <c r="D389" s="2"/>
    </row>
    <row r="390" spans="2:9">
      <c r="C390" s="1"/>
      <c r="D390" s="2"/>
    </row>
    <row r="391" spans="2:9">
      <c r="C391" s="1"/>
      <c r="D391" s="2"/>
    </row>
    <row r="392" spans="2:9">
      <c r="C392" s="1"/>
      <c r="D392" s="2"/>
    </row>
    <row r="393" spans="2:9">
      <c r="C393" s="1"/>
      <c r="D393" s="2"/>
    </row>
    <row r="394" spans="2:9">
      <c r="C394" s="1"/>
      <c r="D394" s="2"/>
    </row>
    <row r="395" spans="2:9">
      <c r="C395" s="1"/>
      <c r="D395" s="2"/>
    </row>
    <row r="396" spans="2:9">
      <c r="C396" s="1"/>
      <c r="D396" s="2"/>
    </row>
    <row r="397" spans="2:9">
      <c r="C397" s="1"/>
      <c r="D397" s="2"/>
    </row>
    <row r="398" spans="2:9">
      <c r="C398" s="1"/>
      <c r="D398" s="2"/>
    </row>
    <row r="399" spans="2:9">
      <c r="C399" s="1"/>
      <c r="D399" s="2"/>
    </row>
    <row r="400" spans="2:9">
      <c r="C400" s="1"/>
      <c r="D400" s="2"/>
    </row>
    <row r="401" spans="3:4">
      <c r="C401" s="1"/>
      <c r="D401" s="2"/>
    </row>
    <row r="402" spans="3:4">
      <c r="C402" s="1"/>
      <c r="D402" s="2"/>
    </row>
    <row r="403" spans="3:4">
      <c r="C403" s="1"/>
      <c r="D403" s="2"/>
    </row>
    <row r="404" spans="3:4">
      <c r="C404" s="1"/>
      <c r="D404" s="2"/>
    </row>
    <row r="405" spans="3:4">
      <c r="C405" s="1"/>
      <c r="D405" s="2"/>
    </row>
    <row r="406" spans="3:4">
      <c r="C406" s="1"/>
      <c r="D406" s="2"/>
    </row>
    <row r="407" spans="3:4">
      <c r="C407" s="1"/>
      <c r="D407" s="2"/>
    </row>
    <row r="408" spans="3:4">
      <c r="C408" s="1"/>
      <c r="D408" s="2"/>
    </row>
    <row r="409" spans="3:4">
      <c r="C409" s="1"/>
      <c r="D409" s="2"/>
    </row>
    <row r="410" spans="3:4">
      <c r="C410" s="1"/>
      <c r="D410" s="2"/>
    </row>
    <row r="411" spans="3:4">
      <c r="C411" s="1"/>
      <c r="D411" s="2"/>
    </row>
    <row r="412" spans="3:4">
      <c r="C412" s="1"/>
      <c r="D412" s="2"/>
    </row>
    <row r="413" spans="3:4">
      <c r="C413" s="1"/>
      <c r="D413" s="2"/>
    </row>
    <row r="414" spans="3:4">
      <c r="C414" s="1"/>
      <c r="D414" s="2"/>
    </row>
    <row r="415" spans="3:4">
      <c r="C415" s="1"/>
      <c r="D415" s="2"/>
    </row>
    <row r="416" spans="3:4">
      <c r="C416" s="1"/>
      <c r="D416" s="2"/>
    </row>
    <row r="417" spans="3:4">
      <c r="C417" s="1"/>
      <c r="D417" s="2"/>
    </row>
    <row r="418" spans="3:4">
      <c r="C418" s="1"/>
      <c r="D418" s="2"/>
    </row>
    <row r="419" spans="3:4">
      <c r="C419" s="1"/>
      <c r="D419" s="2"/>
    </row>
    <row r="420" spans="3:4">
      <c r="C420" s="1"/>
      <c r="D420" s="2"/>
    </row>
    <row r="421" spans="3:4">
      <c r="C421" s="1"/>
      <c r="D421" s="2"/>
    </row>
    <row r="422" spans="3:4">
      <c r="C422" s="1"/>
      <c r="D422" s="2"/>
    </row>
    <row r="423" spans="3:4">
      <c r="C423" s="1"/>
      <c r="D423" s="2"/>
    </row>
    <row r="424" spans="3:4">
      <c r="C424" s="1"/>
      <c r="D424" s="2"/>
    </row>
    <row r="425" spans="3:4">
      <c r="C425" s="1"/>
      <c r="D425" s="2"/>
    </row>
    <row r="426" spans="3:4">
      <c r="C426" s="1"/>
      <c r="D426" s="2"/>
    </row>
    <row r="427" spans="3:4">
      <c r="C427" s="1"/>
      <c r="D427" s="2"/>
    </row>
    <row r="428" spans="3:4">
      <c r="C428" s="1"/>
      <c r="D428" s="2"/>
    </row>
    <row r="429" spans="3:4">
      <c r="C429" s="1"/>
      <c r="D429" s="2"/>
    </row>
    <row r="430" spans="3:4">
      <c r="C430" s="1"/>
      <c r="D430" s="2"/>
    </row>
    <row r="431" spans="3:4">
      <c r="C431" s="1"/>
      <c r="D431" s="2"/>
    </row>
    <row r="432" spans="3:4">
      <c r="C432" s="1"/>
      <c r="D432" s="2"/>
    </row>
    <row r="433" spans="3:4">
      <c r="C433" s="1"/>
      <c r="D433" s="2"/>
    </row>
    <row r="434" spans="3:4">
      <c r="C434" s="1"/>
      <c r="D434" s="2"/>
    </row>
    <row r="435" spans="3:4">
      <c r="C435" s="1"/>
      <c r="D435" s="2"/>
    </row>
    <row r="436" spans="3:4">
      <c r="C436" s="1"/>
      <c r="D436" s="2"/>
    </row>
    <row r="437" spans="3:4">
      <c r="C437" s="1"/>
      <c r="D437" s="2"/>
    </row>
    <row r="438" spans="3:4">
      <c r="C438" s="1"/>
      <c r="D438" s="2"/>
    </row>
    <row r="439" spans="3:4">
      <c r="C439" s="1"/>
      <c r="D439" s="2"/>
    </row>
    <row r="440" spans="3:4">
      <c r="C440" s="1"/>
      <c r="D440" s="2"/>
    </row>
    <row r="441" spans="3:4">
      <c r="C441" s="1"/>
      <c r="D441" s="2"/>
    </row>
    <row r="442" spans="3:4">
      <c r="C442" s="1"/>
      <c r="D442" s="2"/>
    </row>
    <row r="443" spans="3:4">
      <c r="C443" s="1"/>
      <c r="D443" s="2"/>
    </row>
    <row r="444" spans="3:4">
      <c r="C444" s="1"/>
      <c r="D444" s="2"/>
    </row>
    <row r="445" spans="3:4">
      <c r="C445" s="1"/>
      <c r="D445" s="2"/>
    </row>
    <row r="446" spans="3:4">
      <c r="C446" s="1"/>
      <c r="D446" s="2"/>
    </row>
    <row r="447" spans="3:4">
      <c r="C447" s="1"/>
      <c r="D447" s="2"/>
    </row>
    <row r="448" spans="3:4">
      <c r="C448" s="1"/>
      <c r="D448" s="2"/>
    </row>
    <row r="449" spans="3:4">
      <c r="C449" s="1"/>
      <c r="D449" s="2"/>
    </row>
    <row r="450" spans="3:4">
      <c r="C450" s="1"/>
      <c r="D450" s="2"/>
    </row>
    <row r="451" spans="3:4">
      <c r="C451" s="1"/>
      <c r="D451" s="2"/>
    </row>
    <row r="452" spans="3:4">
      <c r="C452" s="1"/>
      <c r="D452" s="2"/>
    </row>
    <row r="453" spans="3:4">
      <c r="C453" s="1"/>
      <c r="D453" s="2"/>
    </row>
    <row r="454" spans="3:4">
      <c r="C454" s="1"/>
      <c r="D454" s="2"/>
    </row>
    <row r="455" spans="3:4">
      <c r="C455" s="1"/>
      <c r="D455" s="2"/>
    </row>
    <row r="456" spans="3:4">
      <c r="C456" s="1"/>
      <c r="D456" s="2"/>
    </row>
    <row r="457" spans="3:4">
      <c r="C457" s="1"/>
      <c r="D457" s="2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YieldCurve</vt:lpstr>
      <vt:lpstr>Dates &amp; Fixed Leg</vt:lpstr>
      <vt:lpstr>Projection Curve</vt:lpstr>
      <vt:lpstr>IborLeg</vt:lpstr>
      <vt:lpstr>Densities</vt:lpstr>
      <vt:lpstr>MarketFit</vt:lpstr>
      <vt:lpstr>SABR</vt:lpstr>
      <vt:lpstr>Swaptions</vt:lpstr>
      <vt:lpstr>YieldCurve (2)</vt:lpstr>
      <vt:lpstr>YieldCurve (3)</vt:lpstr>
    </vt:vector>
  </TitlesOfParts>
  <Company>d-fine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Schlenkrich, Sebastian</dc:creator>
  <cp:lastModifiedBy>Schlenkrich, Sebastian</cp:lastModifiedBy>
  <dcterms:created xsi:type="dcterms:W3CDTF">2014-05-13T17:20:27Z</dcterms:created>
  <dcterms:modified xsi:type="dcterms:W3CDTF">2019-10-05T09:59:54Z</dcterms:modified>
</cp:coreProperties>
</file>